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drawings/drawing4.xml" ContentType="application/vnd.openxmlformats-officedocument.drawing+xml"/>
  <Override PartName="/xl/ctrlProps/ctrlProp6.xml" ContentType="application/vnd.ms-excel.controlproperties+xml"/>
  <Override PartName="/xl/ctrlProps/ctrlProp7.xml" ContentType="application/vnd.ms-excel.controlproperties+xml"/>
  <Override PartName="/xl/drawings/drawing5.xml" ContentType="application/vnd.openxmlformats-officedocument.drawing+xml"/>
  <Override PartName="/xl/ctrlProps/ctrlProp8.xml" ContentType="application/vnd.ms-excel.controlproperties+xml"/>
  <Override PartName="/xl/ctrlProps/ctrlProp9.xml" ContentType="application/vnd.ms-excel.controlproperties+xml"/>
  <Override PartName="/xl/drawings/drawing6.xml" ContentType="application/vnd.openxmlformats-officedocument.drawing+xml"/>
  <Override PartName="/xl/ctrlProps/ctrlProp10.xml" ContentType="application/vnd.ms-excel.controlproperties+xml"/>
  <Override PartName="/xl/ctrlProps/ctrlProp11.xml" ContentType="application/vnd.ms-excel.controlproperties+xml"/>
  <Override PartName="/xl/drawings/drawing7.xml" ContentType="application/vnd.openxmlformats-officedocument.drawing+xml"/>
  <Override PartName="/xl/ctrlProps/ctrlProp12.xml" ContentType="application/vnd.ms-excel.controlproperties+xml"/>
  <Override PartName="/xl/ctrlProps/ctrlProp13.xml" ContentType="application/vnd.ms-excel.controlproperties+xml"/>
  <Override PartName="/xl/drawings/drawing8.xml" ContentType="application/vnd.openxmlformats-officedocument.drawing+xml"/>
  <Override PartName="/xl/ctrlProps/ctrlProp14.xml" ContentType="application/vnd.ms-excel.controlproperties+xml"/>
  <Override PartName="/xl/ctrlProps/ctrlProp15.xml" ContentType="application/vnd.ms-excel.controlproperties+xml"/>
  <Override PartName="/xl/drawings/drawing9.xml" ContentType="application/vnd.openxmlformats-officedocument.drawing+xml"/>
  <Override PartName="/xl/ctrlProps/ctrlProp16.xml" ContentType="application/vnd.ms-excel.controlproperties+xml"/>
  <Override PartName="/xl/ctrlProps/ctrlProp17.xml" ContentType="application/vnd.ms-excel.controlproperties+xml"/>
  <Override PartName="/xl/drawings/drawing10.xml" ContentType="application/vnd.openxmlformats-officedocument.drawing+xml"/>
  <Override PartName="/xl/ctrlProps/ctrlProp18.xml" ContentType="application/vnd.ms-excel.controlproperties+xml"/>
  <Override PartName="/xl/ctrlProps/ctrlProp19.xml" ContentType="application/vnd.ms-excel.controlproperties+xml"/>
  <Override PartName="/xl/drawings/drawing11.xml" ContentType="application/vnd.openxmlformats-officedocument.drawing+xml"/>
  <Override PartName="/xl/ctrlProps/ctrlProp20.xml" ContentType="application/vnd.ms-excel.controlproperties+xml"/>
  <Override PartName="/xl/ctrlProps/ctrlProp21.xml" ContentType="application/vnd.ms-excel.controlproperties+xml"/>
  <Override PartName="/xl/drawings/drawing12.xml" ContentType="application/vnd.openxmlformats-officedocument.drawing+xml"/>
  <Override PartName="/xl/ctrlProps/ctrlProp22.xml" ContentType="application/vnd.ms-excel.controlproperties+xml"/>
  <Override PartName="/xl/ctrlProps/ctrlProp23.xml" ContentType="application/vnd.ms-excel.controlproperties+xml"/>
  <Override PartName="/xl/drawings/drawing13.xml" ContentType="application/vnd.openxmlformats-officedocument.drawing+xml"/>
  <Override PartName="/xl/ctrlProps/ctrlProp24.xml" ContentType="application/vnd.ms-excel.controlproperties+xml"/>
  <Override PartName="/xl/ctrlProps/ctrlProp25.xml" ContentType="application/vnd.ms-excel.controlproperties+xml"/>
  <Override PartName="/xl/drawings/drawing14.xml" ContentType="application/vnd.openxmlformats-officedocument.drawing+xml"/>
  <Override PartName="/xl/ctrlProps/ctrlProp26.xml" ContentType="application/vnd.ms-excel.controlproperties+xml"/>
  <Override PartName="/xl/ctrlProps/ctrlProp27.xml" ContentType="application/vnd.ms-excel.controlproperties+xml"/>
  <Override PartName="/xl/drawings/drawing15.xml" ContentType="application/vnd.openxmlformats-officedocument.drawing+xml"/>
  <Override PartName="/xl/ctrlProps/ctrlProp28.xml" ContentType="application/vnd.ms-excel.controlproperties+xml"/>
  <Override PartName="/xl/ctrlProps/ctrlProp29.xml" ContentType="application/vnd.ms-excel.controlproperties+xml"/>
  <Override PartName="/xl/drawings/drawing16.xml" ContentType="application/vnd.openxmlformats-officedocument.drawing+xml"/>
  <Override PartName="/xl/ctrlProps/ctrlProp30.xml" ContentType="application/vnd.ms-excel.controlproperties+xml"/>
  <Override PartName="/xl/ctrlProps/ctrlProp3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30" windowWidth="22980" windowHeight="9030"/>
  </bookViews>
  <sheets>
    <sheet name="г. Болотное газ" sheetId="17" r:id="rId1"/>
    <sheet name="г. Болотное уголь" sheetId="32" r:id="rId2"/>
    <sheet name="Ачинский" sheetId="18" r:id="rId3"/>
    <sheet name="Байкальский" sheetId="19" r:id="rId4"/>
    <sheet name="Баратаевский" sheetId="20" r:id="rId5"/>
    <sheet name="Боровской" sheetId="21" r:id="rId6"/>
    <sheet name="Варламовский" sheetId="22" r:id="rId7"/>
    <sheet name="Дивинский" sheetId="23" r:id="rId8"/>
    <sheet name="Егоровский" sheetId="24" r:id="rId9"/>
    <sheet name="Зудовский" sheetId="25" r:id="rId10"/>
    <sheet name="Карасевский" sheetId="26" r:id="rId11"/>
    <sheet name="Корниловский" sheetId="27" r:id="rId12"/>
    <sheet name="Кунчурукский" sheetId="28" r:id="rId13"/>
    <sheet name="Новобибеевский" sheetId="29" r:id="rId14"/>
    <sheet name="Ояшинский" sheetId="30" r:id="rId15"/>
    <sheet name="Светлополянский" sheetId="31"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17" i="31" l="1"/>
  <c r="C223" i="30" l="1"/>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17" i="30" l="1"/>
  <c r="C223" i="29" l="1"/>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17" i="29" l="1"/>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17" i="28" l="1"/>
  <c r="C223" i="27" l="1"/>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C225" i="26" l="1"/>
  <c r="C224" i="26"/>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B146" i="26"/>
  <c r="B147" i="26" s="1"/>
  <c r="B148" i="26" s="1"/>
  <c r="B149" i="26" s="1"/>
  <c r="B150" i="26" s="1"/>
  <c r="B151" i="26" s="1"/>
  <c r="B152" i="26" s="1"/>
  <c r="B153" i="26" s="1"/>
  <c r="B154" i="26" s="1"/>
  <c r="B155" i="26" s="1"/>
  <c r="B156" i="26" s="1"/>
  <c r="B157" i="26" s="1"/>
  <c r="B158" i="26" s="1"/>
  <c r="B159" i="26" s="1"/>
  <c r="B160" i="26" s="1"/>
  <c r="B161" i="26" s="1"/>
  <c r="B162" i="26" s="1"/>
  <c r="C145" i="26"/>
  <c r="C142" i="26"/>
  <c r="C140" i="26"/>
  <c r="C139" i="26"/>
  <c r="C138" i="26"/>
  <c r="C137" i="26"/>
  <c r="C135" i="26"/>
  <c r="C134" i="26"/>
  <c r="C133" i="26"/>
  <c r="C132" i="26"/>
  <c r="C131" i="26"/>
  <c r="C130" i="26"/>
  <c r="C127" i="26"/>
  <c r="C124" i="26"/>
  <c r="C123" i="26"/>
  <c r="C122" i="26"/>
  <c r="C121" i="26"/>
  <c r="C120" i="26"/>
  <c r="C119" i="26"/>
  <c r="C118" i="26"/>
  <c r="C117" i="26"/>
  <c r="C116" i="26"/>
  <c r="C115" i="26"/>
  <c r="C114" i="26"/>
  <c r="C113" i="26"/>
  <c r="C112" i="26"/>
  <c r="C111" i="26"/>
  <c r="C110" i="26"/>
  <c r="C109" i="26"/>
  <c r="C108" i="26"/>
  <c r="C107" i="26"/>
  <c r="C106" i="26"/>
  <c r="C105" i="26"/>
  <c r="C104" i="26"/>
  <c r="C103" i="26"/>
  <c r="C102" i="26"/>
  <c r="C99" i="26"/>
  <c r="C98" i="26"/>
  <c r="C97" i="26"/>
  <c r="C96" i="26"/>
  <c r="C95" i="26"/>
  <c r="C94" i="26"/>
  <c r="C93" i="26"/>
  <c r="C92" i="26"/>
  <c r="C91" i="26"/>
  <c r="C88" i="26"/>
  <c r="C87" i="26"/>
  <c r="C86" i="26"/>
  <c r="C85" i="26"/>
  <c r="C84" i="26"/>
  <c r="C83"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3" i="26"/>
  <c r="C42" i="26"/>
  <c r="C41" i="26"/>
  <c r="C40" i="26"/>
  <c r="C39" i="26"/>
  <c r="C38" i="26"/>
  <c r="C37" i="26"/>
  <c r="C36" i="26"/>
  <c r="C35" i="26"/>
  <c r="C34" i="26"/>
  <c r="B34" i="26"/>
  <c r="C33" i="26"/>
  <c r="B33" i="26"/>
  <c r="C32" i="26"/>
  <c r="B32" i="26"/>
  <c r="C31" i="26"/>
  <c r="B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B225" i="26"/>
  <c r="B163" i="26"/>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B224" i="26" s="1"/>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4" l="1"/>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C223" i="23" l="1"/>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17" i="23" l="1"/>
  <c r="C223" i="22" l="1"/>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17" i="22" l="1"/>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17" i="21" l="1"/>
  <c r="C225" i="20" l="1"/>
  <c r="C224" i="20"/>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B146" i="20"/>
  <c r="B147" i="20" s="1"/>
  <c r="B148" i="20" s="1"/>
  <c r="B149" i="20" s="1"/>
  <c r="B150" i="20" s="1"/>
  <c r="B151" i="20" s="1"/>
  <c r="B152" i="20" s="1"/>
  <c r="B153" i="20" s="1"/>
  <c r="B154" i="20" s="1"/>
  <c r="B155" i="20" s="1"/>
  <c r="B156" i="20" s="1"/>
  <c r="B157" i="20" s="1"/>
  <c r="B158" i="20" s="1"/>
  <c r="B159" i="20" s="1"/>
  <c r="B160" i="20" s="1"/>
  <c r="B161" i="20" s="1"/>
  <c r="B162" i="20" s="1"/>
  <c r="C145" i="20"/>
  <c r="C142" i="20"/>
  <c r="C140" i="20"/>
  <c r="C139" i="20"/>
  <c r="C138" i="20"/>
  <c r="C137" i="20"/>
  <c r="C135" i="20"/>
  <c r="C134" i="20"/>
  <c r="C133" i="20"/>
  <c r="C132" i="20"/>
  <c r="C131" i="20"/>
  <c r="C130" i="20"/>
  <c r="C127" i="20"/>
  <c r="C124" i="20"/>
  <c r="C123" i="20"/>
  <c r="C122" i="20"/>
  <c r="C121" i="20"/>
  <c r="C120" i="20"/>
  <c r="C119" i="20"/>
  <c r="C118" i="20"/>
  <c r="C117" i="20"/>
  <c r="C116" i="20"/>
  <c r="C115" i="20"/>
  <c r="C114" i="20"/>
  <c r="C113" i="20"/>
  <c r="C112" i="20"/>
  <c r="C111" i="20"/>
  <c r="C110" i="20"/>
  <c r="C109" i="20"/>
  <c r="C108" i="20"/>
  <c r="C107" i="20"/>
  <c r="C106" i="20"/>
  <c r="C105" i="20"/>
  <c r="C104" i="20"/>
  <c r="C103" i="20"/>
  <c r="C102" i="20"/>
  <c r="C99" i="20"/>
  <c r="C98" i="20"/>
  <c r="C97" i="20"/>
  <c r="C96" i="20"/>
  <c r="C95" i="20"/>
  <c r="C94" i="20"/>
  <c r="C93" i="20"/>
  <c r="C92" i="20"/>
  <c r="C91" i="20"/>
  <c r="C88" i="20"/>
  <c r="C87" i="20"/>
  <c r="C86" i="20"/>
  <c r="C85" i="20"/>
  <c r="C84" i="20"/>
  <c r="C83"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3" i="20"/>
  <c r="C42" i="20"/>
  <c r="C41" i="20"/>
  <c r="C40" i="20"/>
  <c r="C39" i="20"/>
  <c r="C38" i="20"/>
  <c r="C37" i="20"/>
  <c r="C36" i="20"/>
  <c r="C35" i="20"/>
  <c r="C34" i="20"/>
  <c r="B34" i="20"/>
  <c r="C33" i="20"/>
  <c r="B33" i="20"/>
  <c r="C32" i="20"/>
  <c r="B32" i="20"/>
  <c r="C31" i="20"/>
  <c r="B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17" i="20" l="1"/>
  <c r="B225" i="20"/>
  <c r="B163" i="20"/>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B224" i="20" s="1"/>
  <c r="C223" i="19" l="1"/>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17" i="19" l="1"/>
  <c r="C223" i="18"/>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C145" i="18"/>
  <c r="C144" i="18"/>
  <c r="B144" i="18"/>
  <c r="B145" i="18" s="1"/>
  <c r="B146" i="18" s="1"/>
  <c r="B147" i="18" s="1"/>
  <c r="B148" i="18" s="1"/>
  <c r="B149" i="18" s="1"/>
  <c r="B150" i="18" s="1"/>
  <c r="B151" i="18" s="1"/>
  <c r="B152" i="18" s="1"/>
  <c r="B153" i="18" s="1"/>
  <c r="B154" i="18" s="1"/>
  <c r="B155" i="18" s="1"/>
  <c r="B156" i="18" s="1"/>
  <c r="B157" i="18" s="1"/>
  <c r="B158" i="18" s="1"/>
  <c r="B159" i="18" s="1"/>
  <c r="B160" i="18" s="1"/>
  <c r="B161" i="18" s="1"/>
  <c r="B162" i="18" s="1"/>
  <c r="B163" i="18" s="1"/>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C143" i="18"/>
  <c r="C140" i="18"/>
  <c r="C138" i="18"/>
  <c r="C137" i="18"/>
  <c r="C136" i="18"/>
  <c r="C135" i="18"/>
  <c r="C125" i="18"/>
  <c r="C122" i="18"/>
  <c r="C121" i="18"/>
  <c r="C120" i="18"/>
  <c r="C119" i="18"/>
  <c r="C118" i="18"/>
  <c r="C117" i="18"/>
  <c r="C116" i="18"/>
  <c r="C115" i="18"/>
  <c r="C114" i="18"/>
  <c r="C113" i="18"/>
  <c r="C112" i="18"/>
  <c r="C111" i="18"/>
  <c r="C110" i="18"/>
  <c r="C109" i="18"/>
  <c r="C108" i="18"/>
  <c r="C107" i="18"/>
  <c r="C106" i="18"/>
  <c r="C105" i="18"/>
  <c r="C104" i="18"/>
  <c r="C103" i="18"/>
  <c r="C102" i="18"/>
  <c r="C101" i="18"/>
  <c r="C100" i="18"/>
  <c r="C99" i="18"/>
  <c r="C98" i="18"/>
  <c r="C97" i="18"/>
  <c r="C96" i="18"/>
  <c r="C93" i="18"/>
  <c r="C92" i="18"/>
  <c r="C91" i="18"/>
  <c r="C90" i="18"/>
  <c r="C89" i="18"/>
  <c r="C88" i="18"/>
  <c r="C87" i="18"/>
  <c r="C86" i="18"/>
  <c r="C85" i="18"/>
  <c r="C82" i="18"/>
  <c r="C81" i="18"/>
  <c r="C80" i="18"/>
  <c r="C79" i="18"/>
  <c r="C78" i="18"/>
  <c r="C77" i="18"/>
  <c r="C76" i="18"/>
  <c r="C75" i="18"/>
  <c r="C74" i="18"/>
  <c r="C73" i="18"/>
  <c r="C72"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5" i="18"/>
  <c r="C44" i="18"/>
  <c r="C43" i="18"/>
  <c r="C42" i="18"/>
  <c r="C41" i="18"/>
  <c r="C38" i="18"/>
  <c r="C37" i="18"/>
  <c r="C36" i="18"/>
  <c r="C35" i="18"/>
  <c r="C34" i="18"/>
  <c r="C33" i="18"/>
  <c r="C32" i="18"/>
  <c r="C31" i="18"/>
  <c r="C30" i="18"/>
  <c r="C29" i="18"/>
  <c r="C28" i="18"/>
  <c r="C23" i="18"/>
  <c r="C22" i="18"/>
  <c r="C21" i="18"/>
  <c r="C20" i="18"/>
  <c r="C19" i="18"/>
  <c r="C18" i="18"/>
  <c r="C13" i="18"/>
  <c r="B13" i="18"/>
  <c r="C12" i="18"/>
  <c r="B12" i="18"/>
  <c r="C11" i="18"/>
  <c r="B11" i="18"/>
  <c r="C10" i="18"/>
  <c r="B10" i="18"/>
  <c r="C9" i="18"/>
  <c r="B9" i="18"/>
  <c r="C8" i="18"/>
  <c r="B8" i="18"/>
  <c r="C7" i="18"/>
  <c r="B7" i="18"/>
  <c r="C6" i="18"/>
  <c r="B6" i="18"/>
  <c r="C5" i="18"/>
  <c r="B5" i="18"/>
  <c r="C4" i="18"/>
  <c r="B4" i="18"/>
  <c r="C17" i="18" l="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17" i="32" l="1"/>
  <c r="C225" i="17" l="1"/>
  <c r="C224" i="17"/>
  <c r="C223" i="17"/>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C146" i="17"/>
  <c r="B146" i="17"/>
  <c r="B147" i="17" s="1"/>
  <c r="B148" i="17" s="1"/>
  <c r="B149" i="17" s="1"/>
  <c r="B150" i="17" s="1"/>
  <c r="B151" i="17" s="1"/>
  <c r="B152" i="17" s="1"/>
  <c r="B153" i="17" s="1"/>
  <c r="B154" i="17" s="1"/>
  <c r="B155" i="17" s="1"/>
  <c r="B156" i="17" s="1"/>
  <c r="B157" i="17" s="1"/>
  <c r="B158" i="17" s="1"/>
  <c r="B159" i="17" s="1"/>
  <c r="B160" i="17" s="1"/>
  <c r="B161" i="17" s="1"/>
  <c r="B162" i="17" s="1"/>
  <c r="C145" i="17"/>
  <c r="C142" i="17"/>
  <c r="C140" i="17"/>
  <c r="C139" i="17"/>
  <c r="C138" i="17"/>
  <c r="C137" i="17"/>
  <c r="C135" i="17"/>
  <c r="C134" i="17"/>
  <c r="C133" i="17"/>
  <c r="C132" i="17"/>
  <c r="C131" i="17"/>
  <c r="C130" i="17"/>
  <c r="C127" i="17"/>
  <c r="C124" i="17"/>
  <c r="C123" i="17"/>
  <c r="C122" i="17"/>
  <c r="C121" i="17"/>
  <c r="C120" i="17"/>
  <c r="C119" i="17"/>
  <c r="C118" i="17"/>
  <c r="C117" i="17"/>
  <c r="C116" i="17"/>
  <c r="C115" i="17"/>
  <c r="C114" i="17"/>
  <c r="C113" i="17"/>
  <c r="C112" i="17"/>
  <c r="C111" i="17"/>
  <c r="C110" i="17"/>
  <c r="C109" i="17"/>
  <c r="C108" i="17"/>
  <c r="C107" i="17"/>
  <c r="C106" i="17"/>
  <c r="C105" i="17"/>
  <c r="C104" i="17"/>
  <c r="C103" i="17"/>
  <c r="C102" i="17"/>
  <c r="C99" i="17"/>
  <c r="C98" i="17"/>
  <c r="C97" i="17"/>
  <c r="C96" i="17"/>
  <c r="C95" i="17"/>
  <c r="C94" i="17"/>
  <c r="C93" i="17"/>
  <c r="C92" i="17"/>
  <c r="C91" i="17"/>
  <c r="C88" i="17"/>
  <c r="C87" i="17"/>
  <c r="C86" i="17"/>
  <c r="C85" i="17"/>
  <c r="C84" i="17"/>
  <c r="C83"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3" i="17"/>
  <c r="C42" i="17"/>
  <c r="C41" i="17"/>
  <c r="C40" i="17"/>
  <c r="C39" i="17"/>
  <c r="C38" i="17"/>
  <c r="C37" i="17"/>
  <c r="C36" i="17"/>
  <c r="C35" i="17"/>
  <c r="C34" i="17"/>
  <c r="B34" i="17"/>
  <c r="C33" i="17"/>
  <c r="B33" i="17"/>
  <c r="C32" i="17"/>
  <c r="B32" i="17"/>
  <c r="C31" i="17"/>
  <c r="B31" i="17"/>
  <c r="C30" i="17"/>
  <c r="C29" i="17"/>
  <c r="C28" i="17"/>
  <c r="C23" i="17"/>
  <c r="C22" i="17"/>
  <c r="C21" i="17"/>
  <c r="C20" i="17"/>
  <c r="C19" i="17"/>
  <c r="C18" i="17"/>
  <c r="C13" i="17"/>
  <c r="B13" i="17"/>
  <c r="C12" i="17"/>
  <c r="B12" i="17"/>
  <c r="C11" i="17"/>
  <c r="B11" i="17"/>
  <c r="C10" i="17"/>
  <c r="B10" i="17"/>
  <c r="C9" i="17"/>
  <c r="B9" i="17"/>
  <c r="C8" i="17"/>
  <c r="B8" i="17"/>
  <c r="C7" i="17"/>
  <c r="B7" i="17"/>
  <c r="C6" i="17"/>
  <c r="B6" i="17"/>
  <c r="C5" i="17"/>
  <c r="B5" i="17"/>
  <c r="C4" i="17"/>
  <c r="B4" i="17"/>
  <c r="C17" i="17" l="1"/>
  <c r="B225" i="17"/>
  <c r="B163" i="17"/>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B224" i="17" s="1"/>
</calcChain>
</file>

<file path=xl/sharedStrings.xml><?xml version="1.0" encoding="utf-8"?>
<sst xmlns="http://schemas.openxmlformats.org/spreadsheetml/2006/main" count="3850" uniqueCount="259">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</sst>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
    <numFmt numFmtId="165" formatCode="#,##0.000"/>
    <numFmt numFmtId="166" formatCode="0.000"/>
    <numFmt numFmtId="167" formatCode="0.0%"/>
    <numFmt numFmtId="168" formatCode="[$-409]mmm\-yy;@"/>
    <numFmt numFmtId="169" formatCode="&quot;$&quot;#,##0.0,,&quot;M&quot;_);[Red]\(&quot;$&quot;#,##0.0,,&quot;M&quot;\)"/>
    <numFmt numFmtId="170" formatCode="0.0%_);\(0.0%\)"/>
    <numFmt numFmtId="171" formatCode="_-[$$-1009]* #,##0.00_-;\-[$$-1009]* #,##0.00_-;_-[$$-1009]* &quot;-&quot;??_-;_-@_-"/>
    <numFmt numFmtId="172" formatCode="#,##0.0_);\(#,##0.0\)"/>
    <numFmt numFmtId="173" formatCode="\t0.00%"/>
    <numFmt numFmtId="174" formatCode="#,##0.0;\(#,##0.0\);\-"/>
    <numFmt numFmtId="175" formatCode="#,##0_);[Red]\(#,##0\)"/>
    <numFmt numFmtId="176" formatCode="#,##0.0_);[Red]\(#,##0.0\)"/>
    <numFmt numFmtId="177" formatCode="\t#\ ??/??"/>
    <numFmt numFmtId="178" formatCode="_-* #,##0.00[$€-1]_-;\-* #,##0.00[$€-1]_-;_-* &quot;-&quot;??[$€-1]_-"/>
    <numFmt numFmtId="179" formatCode="[$-419]mmmm\ yyyy;@"/>
    <numFmt numFmtId="180" formatCode="[Magenta]\ &quot;Ошибка&quot;;[Magenta]\ &quot;Ошибка&quot;;[Blue]\ &quot;OK&quot;"/>
    <numFmt numFmtId="181" formatCode="#.##0\.00"/>
    <numFmt numFmtId="182" formatCode="#\.00"/>
    <numFmt numFmtId="183" formatCode="_-* #,##0.00&quot;р.&quot;_-;\-* #,##0.00&quot;р.&quot;_-;_-* &quot;-&quot;??&quot;р.&quot;_-;_-@_-"/>
    <numFmt numFmtId="184" formatCode="\$#\.00"/>
    <numFmt numFmtId="185" formatCode="\£\ #,##0_);[Red]\(\£\ #,##0\)"/>
    <numFmt numFmtId="186" formatCode="\¥\ #,##0_);[Red]\(\¥\ #,##0\)"/>
    <numFmt numFmtId="187" formatCode="#\."/>
    <numFmt numFmtId="188" formatCode="_-* #,##0\ &quot;руб&quot;_-;\-* #,##0\ &quot;руб&quot;_-;_-* &quot;-&quot;\ &quot;руб&quot;_-;_-@_-"/>
    <numFmt numFmtId="189" formatCode="@\ *."/>
    <numFmt numFmtId="190" formatCode="0.0"/>
    <numFmt numFmtId="191" formatCode="#,##0.0;\(#,##0.0\)"/>
    <numFmt numFmtId="192" formatCode="#,##0.00;\(#,##0.00\)"/>
    <numFmt numFmtId="193" formatCode="000000"/>
    <numFmt numFmtId="194" formatCode="_(&quot;$&quot;* #,##0_);_(&quot;$&quot;* \(#,##0\);_(&quot;$&quot;* &quot;-&quot;_);_(@_)"/>
    <numFmt numFmtId="195" formatCode="_(&quot;$&quot;* #,##0.00_);_(&quot;$&quot;* \(#,##0.00\);_(&quot;$&quot;* &quot;-&quot;??_);_(@_)"/>
    <numFmt numFmtId="196" formatCode="###\ ##\ ##"/>
    <numFmt numFmtId="197" formatCode="0_);\(0\)"/>
    <numFmt numFmtId="198" formatCode="_(* #,##0_);_(* \(#,##0\);_(* &quot;-&quot;??_);_(@_)"/>
    <numFmt numFmtId="199" formatCode="#,##0;[Red]#,##0"/>
    <numFmt numFmtId="200" formatCode="&quot;\&quot;#,##0;[Red]\-&quot;\&quot;#,##0"/>
    <numFmt numFmtId="201" formatCode="General_)"/>
    <numFmt numFmtId="202" formatCode="_-* #,##0&quot;đ.&quot;_-;\-* #,##0&quot;đ.&quot;_-;_-* &quot;-&quot;&quot;đ.&quot;_-;_-@_-"/>
    <numFmt numFmtId="203" formatCode="_-* #,##0.00&quot;đ.&quot;_-;\-* #,##0.00&quot;đ.&quot;_-;_-* &quot;-&quot;??&quot;đ.&quot;_-;_-@_-"/>
    <numFmt numFmtId="204" formatCode="0.0_)"/>
    <numFmt numFmtId="205" formatCode="#,##0_);[Red]\(#,##0\);&quot;-  &quot;"/>
    <numFmt numFmtId="206" formatCode="#,##0.00;[Red]\-#,##0.00;\-;@"/>
    <numFmt numFmtId="207" formatCode="#,##0_)\ \ ;[Red]\(#,##0\)\ \ "/>
    <numFmt numFmtId="208" formatCode="\£#,##0_);\(\£#,##0\)"/>
    <numFmt numFmtId="209" formatCode="_(* #,##0_);_(* \(#,##0\);_(* &quot;-&quot;_);_(@_)"/>
    <numFmt numFmtId="210" formatCode="#,##0;\-#,##0;&quot;-&quot;"/>
    <numFmt numFmtId="211" formatCode="_ * #,##0.00_ ;_ * \-#,##0.00_ ;_ * &quot;-&quot;??_ ;_ @_ "/>
    <numFmt numFmtId="212" formatCode="#,##0.00;\-#,##0.00;&quot;-&quot;"/>
    <numFmt numFmtId="213" formatCode="#,##0.00;[Red]\(#,##0.00\)"/>
    <numFmt numFmtId="214" formatCode="&quot;$&quot;#,##0.0_);[Red]\(&quot;$&quot;#,##0.0\)"/>
    <numFmt numFmtId="215" formatCode="#,##0%;\-#,##0%;&quot;- &quot;"/>
    <numFmt numFmtId="216" formatCode="#,##0.000;[Red]\(#,##0.000\)"/>
    <numFmt numFmtId="217" formatCode="#\ ##0_.\ &quot;zі&quot;\ 00\ &quot;gr&quot;;\(#\ ##0.00\z\і\)"/>
    <numFmt numFmtId="218" formatCode="#,##0.0%;\-#,##0.0%;&quot;- &quot;"/>
    <numFmt numFmtId="219" formatCode="#,##0.0000;[Red]\(#,##0.0000\)"/>
    <numFmt numFmtId="220" formatCode="#\ ##0&quot;zі&quot;00&quot;gr&quot;;\(#\ ##0.00\z\і\)"/>
    <numFmt numFmtId="221" formatCode="#,##0.00%;\-#,##0.00%;&quot;- &quot;"/>
    <numFmt numFmtId="222" formatCode="mmmm\-yy"/>
    <numFmt numFmtId="223" formatCode="_-&quot;$&quot;* #,##0.00_-;\-&quot;$&quot;* #,##0.00_-;_-&quot;$&quot;* &quot;-&quot;??_-;_-@_-"/>
    <numFmt numFmtId="224" formatCode="0.0%;\(0.0%\)"/>
    <numFmt numFmtId="225" formatCode="#,##0.0;\-#,##0.0;&quot;-&quot;"/>
    <numFmt numFmtId="226" formatCode="#,##0.0000_);\(#,##0.0000\)"/>
    <numFmt numFmtId="227" formatCode="&quot;$&quot;#,##0.0;[Red]\(&quot;$&quot;#,##0.0\)"/>
    <numFmt numFmtId="228" formatCode="_-* #,##0_р_._-;\-* #,##0_р_._-;_-* &quot;-&quot;_р_._-;_-@_-"/>
    <numFmt numFmtId="229" formatCode="0000"/>
    <numFmt numFmtId="230" formatCode="0.000_)"/>
    <numFmt numFmtId="231" formatCode="0.0000%"/>
    <numFmt numFmtId="232" formatCode="##,#0_;\(#,##0\);&quot;-&quot;??_);@"/>
    <numFmt numFmtId="233" formatCode="*(#,##0\);*#\,##0_);&quot;-&quot;??_);@"/>
    <numFmt numFmtId="234" formatCode="_*\(#,##0\);_*#,##0_);&quot;-&quot;??_);@"/>
    <numFmt numFmtId="235" formatCode="_-* #,##0.00_р_._-;\-* #,##0.00_р_._-;_-* &quot;-&quot;??_р_._-;_-@_-"/>
    <numFmt numFmtId="236" formatCode="_-* #,##0.00\ _F_-;\-* #,##0.00\ _F_-;_-* \-??\ _F_-;_-@_-"/>
    <numFmt numFmtId="237" formatCode="_-* #,##0.00_-;\-* #,##0.00_-;_-* &quot;-&quot;??_-;_-@_-"/>
    <numFmt numFmtId="238" formatCode="_(* #,##0.00_);_(* \(#,##0.00\);_(* &quot;-&quot;??_);_(@_)"/>
    <numFmt numFmtId="239" formatCode="#,##0.0;[Red]\(#,##0.0\)"/>
    <numFmt numFmtId="240" formatCode="#,##0;[Red]\(#,##0\)"/>
    <numFmt numFmtId="241" formatCode="_-* #,##0&quot;р.&quot;_-;\-* #,##0&quot;р.&quot;_-;_-* &quot;-&quot;&quot;р.&quot;_-;_-@_-"/>
    <numFmt numFmtId="242" formatCode="_(* #,##0.0_);_(* \(#,##0.0\);_(* &quot;-&quot;?_);_(@_)"/>
    <numFmt numFmtId="243" formatCode="* \(#,##0\);* #,##0_);&quot;-&quot;??_);@"/>
    <numFmt numFmtId="244" formatCode="0.00_);\(0.00\);0.00"/>
    <numFmt numFmtId="245" formatCode="&quot;$&quot;#,##0_);[Red]\(&quot;$&quot;#,##0\)"/>
    <numFmt numFmtId="246" formatCode="_(* #,##0.00_);[Red]_(* \(#,##0.00\);_(* &quot;-&quot;??_);_(@_)"/>
    <numFmt numFmtId="247" formatCode="_(&quot;$&quot;* #,##0.00_);_(&quot;$&quot;* \(#,##0.00\);@_)"/>
    <numFmt numFmtId="248" formatCode="_(&quot;$&quot;* #,##0.000_);_(&quot;$&quot;* \(#,##0.000\);@_)"/>
    <numFmt numFmtId="249" formatCode="#,##0_);\(#,##0\);&quot;-&quot;??_);@"/>
    <numFmt numFmtId="250" formatCode="* #,##0_);* \(#,##0\);&quot;-&quot;??_);@"/>
    <numFmt numFmtId="251" formatCode="&quot;$&quot;#,##0.00_);\(&quot;$&quot;#,##0.00\)"/>
    <numFmt numFmtId="252" formatCode="&quot;$&quot;#,##0_);\(&quot;$&quot;#,##0\)"/>
    <numFmt numFmtId="253" formatCode="\$#,##0\ ;\(\$#,##0\)"/>
    <numFmt numFmtId="254" formatCode="&quot;$&quot;#,##0\ ;\(&quot;$&quot;#,##0\)"/>
    <numFmt numFmtId="255" formatCode="\$#,##0.0000\ ;\(\$#,##0.0000\)"/>
    <numFmt numFmtId="256" formatCode="dd\.mm\.yyyy&quot;г.&quot;"/>
    <numFmt numFmtId="257" formatCode="dd\ mmm\ yyyy"/>
    <numFmt numFmtId="258" formatCode="dd\ mmm\ yyyy_);;;&quot;  &quot;@"/>
    <numFmt numFmtId="259" formatCode="m/d/yy\ h:mm"/>
    <numFmt numFmtId="260" formatCode="#,##0.00;[Red]\(#,##0.00\);\-"/>
    <numFmt numFmtId="261" formatCode="#,##0_);\(#,##0\);&quot;- &quot;;&quot;  &quot;@"/>
    <numFmt numFmtId="262" formatCode="_-* #,##0_-;\-* #,##0_-;_-* &quot;-&quot;_-;_-@_-"/>
    <numFmt numFmtId="263" formatCode="ddd\ dd\ mmm"/>
    <numFmt numFmtId="264" formatCode="0.0\x"/>
    <numFmt numFmtId="265" formatCode="[$-419]General"/>
    <numFmt numFmtId="266" formatCode="_(\ #,##0.0_%_);_(\ \(#,##0.0_%\);_(\ &quot; - &quot;_%_);_(@_)"/>
    <numFmt numFmtId="267" formatCode="_(\ #,##0.0%_);_(\ \(#,##0.0%\);_(\ &quot; - &quot;\%_);_(@_)"/>
    <numFmt numFmtId="268" formatCode="#,##0_);\(#,##0\);&quot; - &quot;_);@_)"/>
    <numFmt numFmtId="269" formatCode="\ #,##0.0_);\(#,##0.0\);&quot; - &quot;_);@_)"/>
    <numFmt numFmtId="270" formatCode="\ #,##0.00_);\(#,##0.00\);&quot; - &quot;_);@_)"/>
    <numFmt numFmtId="271" formatCode="\ #,##0.000_);\(#,##0.000\);&quot; - &quot;_);@_)"/>
    <numFmt numFmtId="272" formatCode="#,##0;\(#,##0\);&quot;-&quot;"/>
    <numFmt numFmtId="273" formatCode="d\ mmmm\ yyyy"/>
    <numFmt numFmtId="274" formatCode="#,##0;[Red]\(#,##0\);0"/>
    <numFmt numFmtId="275" formatCode="_-* #,##0\ _F_B_-;\-* #,##0\ _F_B_-;_-* &quot;-&quot;\ _F_B_-;_-@_-"/>
    <numFmt numFmtId="276" formatCode="_-* #,##0.00\ _F_B_-;\-* #,##0.00\ _F_B_-;_-* &quot;-&quot;??\ _F_B_-;_-@_-"/>
    <numFmt numFmtId="277" formatCode="#,##0.0000_);\(#,##0.0000\);&quot;- &quot;;&quot;  &quot;@"/>
    <numFmt numFmtId="278" formatCode="\ \ @"/>
    <numFmt numFmtId="279" formatCode="_(#,##0;\(#,##0\);\-;&quot;  &quot;@"/>
    <numFmt numFmtId="280" formatCode="#,##0_);\(#,##0\);\-??"/>
    <numFmt numFmtId="281" formatCode="#,##0;\(#,##0\);\-_)"/>
    <numFmt numFmtId="282" formatCode="#,##0.0_);\(#,##0.0\);\-_)"/>
    <numFmt numFmtId="283" formatCode="#,##0.00_);\(#,##0.00\);\-_)"/>
    <numFmt numFmtId="284" formatCode="0\ \ \ \ \ "/>
    <numFmt numFmtId="285" formatCode="#,##0_);[Blue]\(#,##0\)"/>
    <numFmt numFmtId="286" formatCode="&quot;₽&quot;"/>
    <numFmt numFmtId="287" formatCode="0.00_);\(0.00\);0.00_)"/>
    <numFmt numFmtId="288" formatCode="#,##0.00_ ;[Red]\(#,##0.00&quot;) &quot;"/>
    <numFmt numFmtId="289" formatCode="_(* #,##0.00_);[Red]_(* \(#,##0.00\);_(* &quot;-&quot;_);_(@_)"/>
    <numFmt numFmtId="290" formatCode="_(* #,##0_);[Red]_(* \(#,##0\);_(* &quot;-&quot;_);_(@_)"/>
    <numFmt numFmtId="291" formatCode="_-* #,##0_-;_-* #,##0\-;_-* &quot;-&quot;_-;_-@_-"/>
    <numFmt numFmtId="292" formatCode="_-* #,##0.00_-;_-* #,##0.00\-;_-* &quot;-&quot;??_-;_-@_-"/>
    <numFmt numFmtId="293" formatCode="_-* #,##0\ _$_-;\-* #,##0\ _$_-;_-* &quot;-&quot;\ _$_-;_-@_-"/>
    <numFmt numFmtId="294" formatCode="_-* #,##0.00\ _$_-;\-* #,##0.00\ _$_-;_-* &quot;-&quot;??\ _$_-;_-@_-"/>
    <numFmt numFmtId="295" formatCode="#,##0,,_);\(#,##0,,\);\-_)"/>
    <numFmt numFmtId="296" formatCode="#,##0%_);\(#,##0%\)"/>
    <numFmt numFmtId="297" formatCode="_-* #,##0.00_._-;\ * &quot;(&quot;#,##0.00&quot;)&quot;_-;_-* &quot;-&quot;??_._-;_-@_-"/>
    <numFmt numFmtId="298" formatCode="_-* #,##0\ &quot;$&quot;_-;\-* #,##0\ &quot;$&quot;_-;_-* &quot;-&quot;\ &quot;$&quot;_-;_-@_-"/>
    <numFmt numFmtId="299" formatCode="_-* #,##0.00\ &quot;$&quot;_-;\-* #,##0.00\ &quot;$&quot;_-;_-* &quot;-&quot;??\ &quot;$&quot;_-;_-@_-"/>
    <numFmt numFmtId="300" formatCode="_(* #,##0.000_);[Red]_(* \(#,##0.000\);_(* &quot;-&quot;??_);_(@_)"/>
    <numFmt numFmtId="301" formatCode="&quot;$&quot;#,##0.0_);\(&quot;$&quot;#,##0.0\)"/>
    <numFmt numFmtId="302" formatCode="0.00\x"/>
    <numFmt numFmtId="303" formatCode="#,##0\ &quot;F&quot;;[Red]\-#,##0\ &quot;F&quot;"/>
    <numFmt numFmtId="304" formatCode="_(* #,##0_);\(* #,##0\)"/>
    <numFmt numFmtId="305" formatCode="_(* #,##0,_);_(* \(#,##0,\);_(* &quot;-&quot;_);_(@_)"/>
    <numFmt numFmtId="306" formatCode="#,##0;\(#,##0\);\-"/>
    <numFmt numFmtId="307" formatCode="_-* #,##0\ &quot;FB&quot;_-;\-* #,##0\ &quot;FB&quot;_-;_-* &quot;-&quot;\ &quot;FB&quot;_-;_-@_-"/>
    <numFmt numFmtId="308" formatCode="_-* #,##0.00\ &quot;FB&quot;_-;\-* #,##0.00\ &quot;FB&quot;_-;_-* &quot;-&quot;??\ &quot;FB&quot;_-;_-@_-"/>
    <numFmt numFmtId="309" formatCode="0.0_)%;\(0.0\)%"/>
    <numFmt numFmtId="310" formatCode="0.00_)%;\(0.00\)%"/>
    <numFmt numFmtId="311" formatCode="0%_);\(0%\)"/>
    <numFmt numFmtId="312" formatCode="0%;\(0%\)"/>
    <numFmt numFmtId="313" formatCode="#,##0.00\ &quot;F&quot;;\-#,##0.00\ &quot;F&quot;"/>
    <numFmt numFmtId="314" formatCode="* \(#,##0.0\);* #,##0.0_);&quot;-&quot;??_);@"/>
    <numFmt numFmtId="315" formatCode="* \(#,##0.00\);* #,##0.00_);&quot;-&quot;??_);@"/>
    <numFmt numFmtId="316" formatCode="_(* \(#,##0.0\);_(* #,##0.0_);_(* &quot;-&quot;_);_(@_)"/>
    <numFmt numFmtId="317" formatCode="_(* \(#,##0.00\);_(* #,##0.00_);_(* &quot;-&quot;_);_(@_)"/>
    <numFmt numFmtId="318" formatCode="_(* \(#,##0.000\);_(* #,##0.000_);_(* &quot;-&quot;_);_(@_)"/>
    <numFmt numFmtId="319" formatCode="#,##0.000000;[Red]#,##0.000000"/>
    <numFmt numFmtId="320" formatCode="0%_);[Red]\(0%\)"/>
    <numFmt numFmtId="321" formatCode="0.00%_);[Red]\(0.00%\)"/>
    <numFmt numFmtId="322" formatCode="\+0.0;\-0.0"/>
    <numFmt numFmtId="323" formatCode="\+0.0%;\-0.0%"/>
    <numFmt numFmtId="324" formatCode="mm/dd/yy"/>
    <numFmt numFmtId="325" formatCode="#,###.00;\(#,###.00\);\-"/>
    <numFmt numFmtId="326" formatCode="0.00;[Red]0.00"/>
    <numFmt numFmtId="327" formatCode="_ * #,##0_ ;_ * \-#,##0_ ;_ * \-??_ ;_ @_ "/>
    <numFmt numFmtId="328" formatCode="_ * #,##0_ ;_ * \-#,##0_ ;_ * &quot;-&quot;??_ ;_ @_ "/>
    <numFmt numFmtId="329" formatCode="&quot;g = &quot;0.0%;&quot;g = -&quot;0.0%"/>
    <numFmt numFmtId="330" formatCode="\g\ \=\ 0.0%;\g\ \=\ \-0.0%"/>
    <numFmt numFmtId="331" formatCode="&quot;$&quot;#,##0"/>
    <numFmt numFmtId="332" formatCode="0.0&quot;x &quot;"/>
    <numFmt numFmtId="333" formatCode="0.0\x\ "/>
    <numFmt numFmtId="334" formatCode="#\ ##0&quot;zі&quot;_.00&quot;gr&quot;;\(#\ ##0.00\z\і\)"/>
    <numFmt numFmtId="335" formatCode="m/d"/>
    <numFmt numFmtId="336" formatCode="#\ ##0&quot;zі&quot;.00&quot;gr&quot;;\(#\ ##0&quot;zі&quot;.00&quot;gr&quot;\)"/>
    <numFmt numFmtId="337" formatCode="\ \ \ \ @"/>
    <numFmt numFmtId="338" formatCode="#,##0&quot;£&quot;_);\(#,##0&quot;£&quot;\)"/>
    <numFmt numFmtId="339" formatCode="#,##0,_);\(#,##0,\);\-_)"/>
    <numFmt numFmtId="340" formatCode="#,##0;\(#,##0\)"/>
    <numFmt numFmtId="341" formatCode="_-&quot;F&quot;\ * #,##0_-;_-&quot;F&quot;\ * #,##0\-;_-&quot;F&quot;\ * &quot;-&quot;_-;_-@_-"/>
    <numFmt numFmtId="342" formatCode="_-&quot;F&quot;\ * #,##0.00_-;_-&quot;F&quot;\ * #,##0.00\-;_-&quot;F&quot;\ * &quot;-&quot;??_-;_-@_-"/>
    <numFmt numFmtId="343" formatCode="&quot;$&quot;#,##0.00_);[Red]\(&quot;$&quot;#,##0.00\)"/>
    <numFmt numFmtId="344" formatCode="_ * #,##0_ ;_ * \(#,##0_ ;_ * &quot;-&quot;_ ;_ @_ "/>
    <numFmt numFmtId="345" formatCode="&quot;$&quot;#,##0.000000;[Red]&quot;$&quot;#,##0.000000"/>
    <numFmt numFmtId="346" formatCode="#,##0.0000000_$"/>
    <numFmt numFmtId="347" formatCode="&quot;$&quot;\ #,##0.00"/>
    <numFmt numFmtId="348" formatCode="_ * #,##0_ ;_ * \(#,##0_)\ ;_ * &quot;-&quot;_ ;_ @_ "/>
    <numFmt numFmtId="349" formatCode="&quot;$&quot;\ #,##0"/>
    <numFmt numFmtId="350" formatCode="&quot;$&quot;"/>
    <numFmt numFmtId="351" formatCode="_._.* #,##0_)_%;_._.* \(#,##0\)_%;_._.* \ _)_%"/>
    <numFmt numFmtId="352" formatCode="yyyy"/>
    <numFmt numFmtId="353" formatCode="yyyy\ &quot;год&quot;"/>
    <numFmt numFmtId="354" formatCode="\¥#,##0_);\(\¥#,##0\)"/>
    <numFmt numFmtId="355" formatCode=";;&quot;zero&quot;;&quot;  &quot;@"/>
    <numFmt numFmtId="356" formatCode="_(&quot;₽&quot;* #,##0.00_);_(&quot;₽&quot;* \(#,##0.00\);_(&quot;₽&quot;* &quot;-&quot;??_);_(@_)"/>
    <numFmt numFmtId="357" formatCode="_-* #,##0\ &quot;€&quot;_-;\-* #,##0\ &quot;€&quot;_-;_-* &quot;-&quot;\ &quot;€&quot;_-;_-@_-"/>
    <numFmt numFmtId="358" formatCode="_-* #,##0_р_._-;\-* #,##0_р_._-;_-* &quot;-&quot;??_р_._-;_-@_-"/>
    <numFmt numFmtId="359" formatCode="#,##0.00&quot;р.&quot;;\-#,##0.00&quot;р.&quot;"/>
    <numFmt numFmtId="360" formatCode="0_)"/>
    <numFmt numFmtId="361" formatCode="#,##0\т"/>
    <numFmt numFmtId="362" formatCode="0.0000"/>
    <numFmt numFmtId="363" formatCode="_-* #,##0.00_р_._-;\-* #,##0.00_р_._-;_-* \-??_р_._-;_-@_-"/>
    <numFmt numFmtId="364" formatCode="dd/mm/yy;@"/>
    <numFmt numFmtId="365" formatCode="#&quot; &quot;##0"/>
    <numFmt numFmtId="366" formatCode="_-* #,##0.00_р_._-;\-* #,##0.00_р_._-;_-* &quot;-&quot;_р_._-;_-@_-"/>
    <numFmt numFmtId="367" formatCode="%#\.00"/>
    <numFmt numFmtId="368"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medium">
        <color auto="1"/>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9" fontId="1" fillId="0" borderId="0" applyFont="0" applyFill="0" applyBorder="0" applyAlignment="0" applyProtection="0"/>
    <xf numFmtId="0" fontId="1" fillId="0" borderId="0"/>
    <xf numFmtId="0" fontId="32" fillId="0" borderId="0"/>
    <xf numFmtId="168" fontId="37" fillId="0" borderId="0"/>
    <xf numFmtId="0" fontId="38" fillId="0" borderId="0"/>
    <xf numFmtId="168" fontId="39" fillId="0" borderId="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0" fontId="32" fillId="0" borderId="0"/>
    <xf numFmtId="167" fontId="41" fillId="0" borderId="0">
      <alignment vertical="top"/>
    </xf>
    <xf numFmtId="170" fontId="41" fillId="7" borderId="0">
      <alignment vertical="top"/>
    </xf>
    <xf numFmtId="167" fontId="42" fillId="8" borderId="0">
      <alignment vertical="top"/>
    </xf>
    <xf numFmtId="0" fontId="37" fillId="0" borderId="0"/>
    <xf numFmtId="168" fontId="37" fillId="0" borderId="0"/>
    <xf numFmtId="0" fontId="40" fillId="0" borderId="0" applyNumberFormat="0" applyFont="0" applyFill="0" applyBorder="0" applyAlignment="0" applyProtection="0"/>
    <xf numFmtId="168" fontId="43" fillId="0" borderId="0" applyFont="0" applyFill="0" applyBorder="0" applyAlignment="0"/>
    <xf numFmtId="168" fontId="44"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5" fillId="0" borderId="25">
      <protection locked="0"/>
    </xf>
    <xf numFmtId="0" fontId="45" fillId="0" borderId="25">
      <protection locked="0"/>
    </xf>
    <xf numFmtId="0" fontId="45" fillId="0" borderId="25">
      <protection locked="0"/>
    </xf>
    <xf numFmtId="0" fontId="46" fillId="0" borderId="0"/>
    <xf numFmtId="171" fontId="46" fillId="0" borderId="0"/>
    <xf numFmtId="171" fontId="46" fillId="0" borderId="0"/>
    <xf numFmtId="171" fontId="46" fillId="0" borderId="0"/>
    <xf numFmtId="171" fontId="38" fillId="0" borderId="0"/>
    <xf numFmtId="171" fontId="38"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0" fontId="37" fillId="0" borderId="0"/>
    <xf numFmtId="0" fontId="37"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9" fillId="0" borderId="0"/>
    <xf numFmtId="0" fontId="49" fillId="0" borderId="0"/>
    <xf numFmtId="0" fontId="49" fillId="0" borderId="0"/>
    <xf numFmtId="0" fontId="49" fillId="0" borderId="0"/>
    <xf numFmtId="0" fontId="49" fillId="0" borderId="0"/>
    <xf numFmtId="171" fontId="46" fillId="0" borderId="0"/>
    <xf numFmtId="171" fontId="46" fillId="0" borderId="0"/>
    <xf numFmtId="171" fontId="38" fillId="0" borderId="0"/>
    <xf numFmtId="171" fontId="38" fillId="0" borderId="0"/>
    <xf numFmtId="171" fontId="38" fillId="0" borderId="0"/>
    <xf numFmtId="171" fontId="38" fillId="0" borderId="0"/>
    <xf numFmtId="171" fontId="38" fillId="0" borderId="0"/>
    <xf numFmtId="0" fontId="46" fillId="0" borderId="0"/>
    <xf numFmtId="168" fontId="38" fillId="0" borderId="0"/>
    <xf numFmtId="168" fontId="50" fillId="0" borderId="0"/>
    <xf numFmtId="171" fontId="46" fillId="0" borderId="0"/>
    <xf numFmtId="171" fontId="38" fillId="0" borderId="0"/>
    <xf numFmtId="171" fontId="46" fillId="0" borderId="0"/>
    <xf numFmtId="171"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38" fillId="0" borderId="0"/>
    <xf numFmtId="0" fontId="46" fillId="0" borderId="0"/>
    <xf numFmtId="171" fontId="38" fillId="0" borderId="0"/>
    <xf numFmtId="171" fontId="46" fillId="0" borderId="0"/>
    <xf numFmtId="171" fontId="38" fillId="0" borderId="0"/>
    <xf numFmtId="168" fontId="46" fillId="0" borderId="0"/>
    <xf numFmtId="168" fontId="52"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0" fontId="38" fillId="0" borderId="0"/>
    <xf numFmtId="171" fontId="46" fillId="0" borderId="0"/>
    <xf numFmtId="171" fontId="46" fillId="0" borderId="0"/>
    <xf numFmtId="171" fontId="46" fillId="0" borderId="0"/>
    <xf numFmtId="171" fontId="38" fillId="0" borderId="0"/>
    <xf numFmtId="171" fontId="46" fillId="0" borderId="0"/>
    <xf numFmtId="0" fontId="38" fillId="0" borderId="0"/>
    <xf numFmtId="168" fontId="46" fillId="0" borderId="0"/>
    <xf numFmtId="168" fontId="46"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6" fillId="0" borderId="0"/>
    <xf numFmtId="0" fontId="46" fillId="0" borderId="0"/>
    <xf numFmtId="168" fontId="38" fillId="0" borderId="0"/>
    <xf numFmtId="168" fontId="50" fillId="0" borderId="0"/>
    <xf numFmtId="172" fontId="37" fillId="0" borderId="0" applyFont="0" applyFill="0" applyBorder="0" applyAlignment="0" applyProtection="0"/>
    <xf numFmtId="168" fontId="46" fillId="0" borderId="0"/>
    <xf numFmtId="0" fontId="38" fillId="0" borderId="0"/>
    <xf numFmtId="0" fontId="54" fillId="0" borderId="0"/>
    <xf numFmtId="0" fontId="5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73" fontId="53" fillId="0" borderId="0" applyFont="0" applyFill="0" applyBorder="0" applyAlignment="0" applyProtection="0"/>
    <xf numFmtId="39" fontId="37" fillId="0" borderId="0" applyFont="0" applyFill="0" applyBorder="0" applyAlignment="0" applyProtection="0"/>
    <xf numFmtId="168" fontId="46" fillId="0" borderId="0"/>
    <xf numFmtId="168"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2" fillId="0" borderId="0"/>
    <xf numFmtId="0" fontId="46" fillId="0" borderId="0"/>
    <xf numFmtId="0" fontId="56" fillId="0" borderId="0" applyNumberFormat="0" applyFill="0" applyBorder="0" applyAlignment="0" applyProtection="0"/>
    <xf numFmtId="0" fontId="37" fillId="9" borderId="0" applyNumberFormat="0" applyFont="0" applyAlignment="0" applyProtection="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0" fontId="38" fillId="0" borderId="0"/>
    <xf numFmtId="0" fontId="38" fillId="0" borderId="0"/>
    <xf numFmtId="168" fontId="52" fillId="0" borderId="0"/>
    <xf numFmtId="0" fontId="46" fillId="0" borderId="0"/>
    <xf numFmtId="0" fontId="46" fillId="0" borderId="0"/>
    <xf numFmtId="0" fontId="46" fillId="0" borderId="0"/>
    <xf numFmtId="168" fontId="46" fillId="0" borderId="0"/>
    <xf numFmtId="168" fontId="52" fillId="0" borderId="0"/>
    <xf numFmtId="168" fontId="38"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75" fontId="57" fillId="0" borderId="0">
      <alignment vertical="top"/>
    </xf>
    <xf numFmtId="38" fontId="32" fillId="0" borderId="0">
      <alignment vertical="top"/>
    </xf>
    <xf numFmtId="176" fontId="48" fillId="0" borderId="0" applyFont="0" applyFill="0" applyBorder="0" applyAlignment="0" applyProtection="0"/>
    <xf numFmtId="177" fontId="53" fillId="0" borderId="0" applyFont="0" applyFill="0" applyBorder="0" applyAlignment="0" applyProtection="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7" fillId="0" borderId="0" applyNumberForma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54"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32" fillId="0" borderId="0"/>
    <xf numFmtId="168" fontId="38" fillId="0" borderId="0"/>
    <xf numFmtId="168" fontId="38" fillId="0" borderId="0"/>
    <xf numFmtId="168" fontId="38" fillId="0" borderId="0"/>
    <xf numFmtId="168" fontId="46" fillId="0" borderId="0"/>
    <xf numFmtId="168" fontId="46" fillId="0" borderId="0"/>
    <xf numFmtId="0" fontId="58" fillId="0" borderId="0" applyNumberFormat="0" applyFill="0" applyBorder="0" applyProtection="0">
      <alignment vertical="top"/>
    </xf>
    <xf numFmtId="168" fontId="38" fillId="0" borderId="0"/>
    <xf numFmtId="168" fontId="38" fillId="0" borderId="0"/>
    <xf numFmtId="168" fontId="38" fillId="0" borderId="0"/>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0" applyNumberFormat="0" applyFill="0" applyBorder="0" applyProtection="0">
      <alignment horizontal="left"/>
    </xf>
    <xf numFmtId="0" fontId="60" fillId="0" borderId="0" applyNumberFormat="0" applyFill="0" applyBorder="0" applyProtection="0">
      <alignment horizontal="centerContinuous"/>
    </xf>
    <xf numFmtId="0" fontId="46" fillId="0" borderId="0"/>
    <xf numFmtId="0" fontId="38" fillId="0" borderId="0"/>
    <xf numFmtId="168" fontId="38" fillId="0" borderId="0"/>
    <xf numFmtId="168" fontId="38" fillId="0" borderId="0"/>
    <xf numFmtId="168" fontId="38" fillId="0" borderId="0"/>
    <xf numFmtId="168" fontId="38" fillId="0" borderId="0"/>
    <xf numFmtId="4" fontId="47" fillId="0" borderId="0">
      <alignment vertical="center"/>
    </xf>
    <xf numFmtId="0" fontId="37" fillId="0" borderId="0"/>
    <xf numFmtId="168" fontId="46" fillId="0" borderId="0"/>
    <xf numFmtId="171" fontId="46" fillId="0" borderId="0"/>
    <xf numFmtId="171" fontId="46" fillId="0" borderId="0"/>
    <xf numFmtId="171" fontId="38" fillId="0" borderId="0"/>
    <xf numFmtId="168" fontId="46" fillId="0" borderId="0"/>
    <xf numFmtId="171" fontId="38" fillId="0" borderId="0"/>
    <xf numFmtId="171" fontId="46" fillId="0" borderId="0"/>
    <xf numFmtId="171" fontId="38" fillId="0" borderId="0"/>
    <xf numFmtId="0" fontId="38" fillId="0" borderId="0"/>
    <xf numFmtId="171" fontId="38" fillId="0" borderId="0"/>
    <xf numFmtId="171" fontId="38" fillId="0" borderId="0"/>
    <xf numFmtId="171" fontId="38" fillId="0" borderId="0"/>
    <xf numFmtId="171" fontId="38" fillId="0" borderId="0"/>
    <xf numFmtId="171" fontId="46" fillId="0" borderId="0"/>
    <xf numFmtId="168" fontId="54" fillId="0" borderId="0"/>
    <xf numFmtId="168" fontId="54" fillId="0" borderId="0"/>
    <xf numFmtId="168" fontId="46" fillId="0" borderId="0"/>
    <xf numFmtId="171" fontId="46" fillId="0" borderId="0"/>
    <xf numFmtId="168" fontId="46" fillId="0" borderId="0"/>
    <xf numFmtId="0" fontId="46" fillId="0" borderId="0"/>
    <xf numFmtId="0" fontId="38"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0" fontId="38" fillId="0" borderId="0"/>
    <xf numFmtId="171" fontId="38" fillId="0" borderId="0"/>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46" fillId="0" borderId="0"/>
    <xf numFmtId="0" fontId="38" fillId="0" borderId="0"/>
    <xf numFmtId="171" fontId="38" fillId="0" borderId="0"/>
    <xf numFmtId="171" fontId="38" fillId="0" borderId="0"/>
    <xf numFmtId="171" fontId="38" fillId="0" borderId="0"/>
    <xf numFmtId="0" fontId="38" fillId="0" borderId="0"/>
    <xf numFmtId="0" fontId="46" fillId="0" borderId="0"/>
    <xf numFmtId="4" fontId="47" fillId="0" borderId="0">
      <alignment vertical="center"/>
    </xf>
    <xf numFmtId="168" fontId="52" fillId="0" borderId="0"/>
    <xf numFmtId="168" fontId="46" fillId="0" borderId="0"/>
    <xf numFmtId="0" fontId="46" fillId="0" borderId="0"/>
    <xf numFmtId="168" fontId="53" fillId="0" borderId="0">
      <alignment vertical="center"/>
    </xf>
    <xf numFmtId="168" fontId="53" fillId="0" borderId="0">
      <alignment vertical="center"/>
    </xf>
    <xf numFmtId="168" fontId="53" fillId="0" borderId="0">
      <alignment vertical="center"/>
    </xf>
    <xf numFmtId="0" fontId="38" fillId="0" borderId="0"/>
    <xf numFmtId="0" fontId="46" fillId="0" borderId="0"/>
    <xf numFmtId="0" fontId="46" fillId="0" borderId="0"/>
    <xf numFmtId="0" fontId="46" fillId="0" borderId="0"/>
    <xf numFmtId="0" fontId="46" fillId="0" borderId="0"/>
    <xf numFmtId="0" fontId="46" fillId="0" borderId="0"/>
    <xf numFmtId="168" fontId="46" fillId="0" borderId="0"/>
    <xf numFmtId="0" fontId="46" fillId="0" borderId="0"/>
    <xf numFmtId="168" fontId="54"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46" fillId="0" borderId="0"/>
    <xf numFmtId="0" fontId="46" fillId="0" borderId="0"/>
    <xf numFmtId="0" fontId="46" fillId="0" borderId="0"/>
    <xf numFmtId="0" fontId="46"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168" fontId="38" fillId="0" borderId="0"/>
    <xf numFmtId="168" fontId="50" fillId="0" borderId="0"/>
    <xf numFmtId="168" fontId="38" fillId="0" borderId="0"/>
    <xf numFmtId="168" fontId="50" fillId="0" borderId="0"/>
    <xf numFmtId="171" fontId="38" fillId="0" borderId="0"/>
    <xf numFmtId="171" fontId="38" fillId="0" borderId="0"/>
    <xf numFmtId="171" fontId="38" fillId="0" borderId="0"/>
    <xf numFmtId="168" fontId="46" fillId="0" borderId="0"/>
    <xf numFmtId="4" fontId="47" fillId="0" borderId="0">
      <alignment vertical="center"/>
    </xf>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38" fillId="0" borderId="0"/>
    <xf numFmtId="0" fontId="46" fillId="0" borderId="0"/>
    <xf numFmtId="0" fontId="38" fillId="0" borderId="0"/>
    <xf numFmtId="0" fontId="46" fillId="0" borderId="0"/>
    <xf numFmtId="0" fontId="46" fillId="0" borderId="0"/>
    <xf numFmtId="0" fontId="38" fillId="0" borderId="0"/>
    <xf numFmtId="0" fontId="38" fillId="0" borderId="0"/>
    <xf numFmtId="0" fontId="38" fillId="0" borderId="0"/>
    <xf numFmtId="0" fontId="38" fillId="0" borderId="0"/>
    <xf numFmtId="171" fontId="38" fillId="0" borderId="0"/>
    <xf numFmtId="179" fontId="46" fillId="0" borderId="0"/>
    <xf numFmtId="168" fontId="46" fillId="0" borderId="0"/>
    <xf numFmtId="168" fontId="52" fillId="0" borderId="0"/>
    <xf numFmtId="0" fontId="46" fillId="0" borderId="0"/>
    <xf numFmtId="4" fontId="47" fillId="0" borderId="0">
      <alignment vertical="center"/>
    </xf>
    <xf numFmtId="168" fontId="46" fillId="0" borderId="0"/>
    <xf numFmtId="0" fontId="46" fillId="0" borderId="0"/>
    <xf numFmtId="168" fontId="46" fillId="0" borderId="0"/>
    <xf numFmtId="0" fontId="46" fillId="0" borderId="0"/>
    <xf numFmtId="178" fontId="37" fillId="0" borderId="0"/>
    <xf numFmtId="178" fontId="37" fillId="0" borderId="0"/>
    <xf numFmtId="0" fontId="37" fillId="0" borderId="0"/>
    <xf numFmtId="0" fontId="37" fillId="0" borderId="0"/>
    <xf numFmtId="178" fontId="37" fillId="0" borderId="0"/>
    <xf numFmtId="178" fontId="37" fillId="0" borderId="0"/>
    <xf numFmtId="0" fontId="37" fillId="0" borderId="0"/>
    <xf numFmtId="0" fontId="37" fillId="0" borderId="0"/>
    <xf numFmtId="171" fontId="46" fillId="0" borderId="0"/>
    <xf numFmtId="4" fontId="47" fillId="0" borderId="0">
      <alignment vertical="center"/>
    </xf>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38" fillId="0" borderId="0"/>
    <xf numFmtId="171" fontId="46" fillId="0" borderId="0"/>
    <xf numFmtId="0" fontId="46" fillId="0" borderId="0"/>
    <xf numFmtId="0" fontId="46" fillId="0" borderId="0"/>
    <xf numFmtId="168" fontId="54" fillId="0" borderId="0"/>
    <xf numFmtId="0" fontId="46" fillId="0" borderId="0"/>
    <xf numFmtId="171" fontId="38" fillId="0" borderId="0"/>
    <xf numFmtId="171" fontId="38" fillId="0" borderId="0"/>
    <xf numFmtId="168" fontId="32" fillId="0" borderId="0"/>
    <xf numFmtId="168" fontId="52" fillId="0" borderId="0"/>
    <xf numFmtId="168" fontId="32" fillId="0" borderId="0"/>
    <xf numFmtId="0" fontId="52" fillId="0" borderId="0"/>
    <xf numFmtId="0" fontId="38" fillId="0" borderId="0"/>
    <xf numFmtId="0" fontId="51" fillId="0" borderId="0"/>
    <xf numFmtId="0" fontId="51" fillId="0" borderId="0"/>
    <xf numFmtId="0" fontId="51" fillId="0" borderId="0"/>
    <xf numFmtId="0" fontId="51" fillId="0" borderId="0"/>
    <xf numFmtId="0" fontId="51" fillId="0" borderId="0"/>
    <xf numFmtId="168" fontId="32" fillId="0" borderId="0"/>
    <xf numFmtId="0" fontId="32"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52" fillId="0" borderId="0"/>
    <xf numFmtId="0" fontId="38" fillId="0" borderId="0"/>
    <xf numFmtId="0" fontId="46" fillId="0" borderId="0"/>
    <xf numFmtId="168" fontId="46" fillId="0" borderId="0"/>
    <xf numFmtId="0" fontId="46" fillId="0" borderId="0"/>
    <xf numFmtId="171" fontId="38" fillId="0" borderId="0"/>
    <xf numFmtId="171" fontId="46" fillId="0" borderId="0"/>
    <xf numFmtId="0" fontId="46"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0" fontId="46" fillId="0" borderId="0"/>
    <xf numFmtId="0" fontId="38" fillId="0" borderId="0"/>
    <xf numFmtId="0" fontId="46" fillId="0" borderId="0"/>
    <xf numFmtId="0" fontId="38" fillId="0" borderId="0"/>
    <xf numFmtId="168" fontId="38" fillId="0" borderId="0"/>
    <xf numFmtId="0" fontId="38" fillId="0" borderId="0"/>
    <xf numFmtId="175" fontId="57" fillId="0" borderId="0">
      <alignment vertical="top"/>
    </xf>
    <xf numFmtId="168" fontId="54"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6" fillId="0" borderId="0"/>
    <xf numFmtId="0" fontId="38" fillId="0" borderId="0"/>
    <xf numFmtId="0" fontId="51" fillId="0" borderId="0"/>
    <xf numFmtId="0" fontId="51" fillId="0" borderId="0"/>
    <xf numFmtId="0" fontId="51" fillId="0" borderId="0"/>
    <xf numFmtId="0" fontId="51" fillId="0" borderId="0"/>
    <xf numFmtId="0" fontId="51" fillId="0" borderId="0"/>
    <xf numFmtId="0" fontId="37" fillId="0" borderId="0"/>
    <xf numFmtId="0" fontId="37" fillId="0" borderId="0"/>
    <xf numFmtId="0" fontId="37" fillId="0" borderId="0"/>
    <xf numFmtId="0" fontId="37" fillId="0" borderId="0"/>
    <xf numFmtId="0" fontId="37" fillId="0" borderId="0"/>
    <xf numFmtId="0" fontId="38" fillId="0" borderId="0"/>
    <xf numFmtId="0" fontId="38"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171" fontId="46" fillId="0" borderId="0"/>
    <xf numFmtId="171" fontId="46" fillId="0" borderId="0"/>
    <xf numFmtId="0" fontId="38" fillId="0" borderId="0"/>
    <xf numFmtId="0" fontId="38" fillId="0" borderId="0"/>
    <xf numFmtId="171" fontId="46" fillId="0" borderId="0"/>
    <xf numFmtId="168" fontId="38" fillId="0" borderId="0"/>
    <xf numFmtId="168" fontId="52" fillId="0" borderId="0"/>
    <xf numFmtId="168" fontId="52" fillId="0" borderId="0"/>
    <xf numFmtId="0" fontId="52" fillId="0" borderId="0"/>
    <xf numFmtId="0" fontId="46"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46" fillId="0" borderId="0"/>
    <xf numFmtId="168" fontId="46" fillId="0" borderId="0"/>
    <xf numFmtId="168" fontId="46" fillId="0" borderId="0"/>
    <xf numFmtId="168" fontId="38" fillId="0" borderId="0"/>
    <xf numFmtId="0" fontId="38" fillId="0" borderId="0"/>
    <xf numFmtId="168" fontId="46" fillId="0" borderId="0"/>
    <xf numFmtId="168" fontId="52" fillId="0" borderId="0"/>
    <xf numFmtId="168" fontId="52" fillId="0" borderId="0"/>
    <xf numFmtId="4" fontId="47" fillId="0" borderId="0">
      <alignment vertical="center"/>
    </xf>
    <xf numFmtId="171" fontId="46" fillId="0" borderId="0"/>
    <xf numFmtId="0" fontId="38" fillId="0" borderId="0"/>
    <xf numFmtId="171" fontId="46" fillId="0" borderId="0"/>
    <xf numFmtId="175" fontId="57" fillId="0" borderId="0">
      <alignment vertical="top"/>
    </xf>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49" fillId="0" borderId="0"/>
    <xf numFmtId="0" fontId="49" fillId="0" borderId="0"/>
    <xf numFmtId="0" fontId="49" fillId="0" borderId="0"/>
    <xf numFmtId="0" fontId="49"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53" fillId="0" borderId="0" applyFont="0" applyFill="0" applyBorder="0" applyAlignment="0" applyProtection="0">
      <alignment vertical="center"/>
    </xf>
    <xf numFmtId="168" fontId="54" fillId="0" borderId="0" applyFill="0" applyBorder="0" applyAlignment="0" applyProtection="0"/>
    <xf numFmtId="171" fontId="38" fillId="0" borderId="0"/>
    <xf numFmtId="0" fontId="46" fillId="0" borderId="0"/>
    <xf numFmtId="0" fontId="46" fillId="0" borderId="0"/>
    <xf numFmtId="0" fontId="38" fillId="0" borderId="0"/>
    <xf numFmtId="0" fontId="38" fillId="0" borderId="0"/>
    <xf numFmtId="0" fontId="46" fillId="0" borderId="0"/>
    <xf numFmtId="168" fontId="52" fillId="0" borderId="0"/>
    <xf numFmtId="0" fontId="46" fillId="0" borderId="0"/>
    <xf numFmtId="0" fontId="49" fillId="0" borderId="0"/>
    <xf numFmtId="0" fontId="49" fillId="0" borderId="0"/>
    <xf numFmtId="0" fontId="49" fillId="0" borderId="0"/>
    <xf numFmtId="0" fontId="49" fillId="0" borderId="0"/>
    <xf numFmtId="0" fontId="49" fillId="0" borderId="0"/>
    <xf numFmtId="0" fontId="38" fillId="0" borderId="0"/>
    <xf numFmtId="0" fontId="38" fillId="0" borderId="0"/>
    <xf numFmtId="168" fontId="46" fillId="0" borderId="0"/>
    <xf numFmtId="0" fontId="46" fillId="0" borderId="0"/>
    <xf numFmtId="0" fontId="46" fillId="0" borderId="0"/>
    <xf numFmtId="168" fontId="46" fillId="0" borderId="0"/>
    <xf numFmtId="168" fontId="46" fillId="0" borderId="0"/>
    <xf numFmtId="0" fontId="46" fillId="0" borderId="0"/>
    <xf numFmtId="168" fontId="46" fillId="0" borderId="0"/>
    <xf numFmtId="0" fontId="46" fillId="0" borderId="0"/>
    <xf numFmtId="0" fontId="46" fillId="0" borderId="0"/>
    <xf numFmtId="168" fontId="46" fillId="0" borderId="0"/>
    <xf numFmtId="171" fontId="38" fillId="0" borderId="0"/>
    <xf numFmtId="171" fontId="38" fillId="0" borderId="0"/>
    <xf numFmtId="171" fontId="46" fillId="0" borderId="0"/>
    <xf numFmtId="168" fontId="38" fillId="0" borderId="0"/>
    <xf numFmtId="168" fontId="50" fillId="0" borderId="0"/>
    <xf numFmtId="168" fontId="46" fillId="0" borderId="0"/>
    <xf numFmtId="0" fontId="46"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32" fillId="0" borderId="0"/>
    <xf numFmtId="168" fontId="37" fillId="0" borderId="0"/>
    <xf numFmtId="168" fontId="32" fillId="0" borderId="0"/>
    <xf numFmtId="0" fontId="38" fillId="0" borderId="0"/>
    <xf numFmtId="168" fontId="38" fillId="0" borderId="0"/>
    <xf numFmtId="0" fontId="38" fillId="0" borderId="0"/>
    <xf numFmtId="168" fontId="38" fillId="0" borderId="0"/>
    <xf numFmtId="0" fontId="38" fillId="0" borderId="0"/>
    <xf numFmtId="168" fontId="38" fillId="0" borderId="0"/>
    <xf numFmtId="0" fontId="38" fillId="0" borderId="0"/>
    <xf numFmtId="168" fontId="32" fillId="0" borderId="0"/>
    <xf numFmtId="0" fontId="32" fillId="0" borderId="0"/>
    <xf numFmtId="168" fontId="38" fillId="0" borderId="0"/>
    <xf numFmtId="0" fontId="38" fillId="0" borderId="0"/>
    <xf numFmtId="168" fontId="38" fillId="0" borderId="0"/>
    <xf numFmtId="0" fontId="38" fillId="0" borderId="0"/>
    <xf numFmtId="168" fontId="38" fillId="0" borderId="0"/>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171" fontId="46" fillId="0" borderId="0"/>
    <xf numFmtId="171" fontId="46" fillId="0" borderId="0"/>
    <xf numFmtId="171" fontId="46" fillId="0" borderId="0"/>
    <xf numFmtId="171" fontId="46" fillId="0" borderId="0"/>
    <xf numFmtId="171" fontId="46" fillId="0" borderId="0"/>
    <xf numFmtId="0" fontId="38" fillId="0" borderId="0"/>
    <xf numFmtId="171" fontId="38" fillId="0" borderId="0"/>
    <xf numFmtId="168" fontId="38" fillId="0" borderId="0"/>
    <xf numFmtId="171" fontId="38" fillId="0" borderId="0"/>
    <xf numFmtId="171" fontId="38" fillId="0" borderId="0"/>
    <xf numFmtId="171" fontId="38" fillId="0" borderId="0"/>
    <xf numFmtId="171" fontId="38" fillId="0" borderId="0"/>
    <xf numFmtId="168" fontId="46" fillId="0" borderId="0"/>
    <xf numFmtId="171" fontId="38" fillId="0" borderId="0"/>
    <xf numFmtId="171" fontId="38" fillId="0" borderId="0"/>
    <xf numFmtId="171" fontId="46" fillId="0" borderId="0"/>
    <xf numFmtId="171" fontId="46" fillId="0" borderId="0"/>
    <xf numFmtId="171" fontId="38" fillId="0" borderId="0"/>
    <xf numFmtId="171" fontId="38" fillId="0" borderId="0"/>
    <xf numFmtId="171" fontId="46" fillId="0" borderId="0"/>
    <xf numFmtId="171" fontId="46" fillId="0" borderId="0"/>
    <xf numFmtId="171" fontId="46" fillId="0" borderId="0"/>
    <xf numFmtId="171" fontId="46" fillId="0" borderId="0"/>
    <xf numFmtId="171" fontId="38" fillId="0" borderId="0"/>
    <xf numFmtId="171" fontId="46" fillId="0" borderId="0"/>
    <xf numFmtId="175" fontId="57" fillId="0" borderId="0">
      <alignment vertical="top"/>
    </xf>
    <xf numFmtId="175" fontId="57" fillId="0" borderId="0">
      <alignment vertical="top"/>
    </xf>
    <xf numFmtId="171" fontId="46" fillId="0" borderId="0"/>
    <xf numFmtId="168" fontId="46" fillId="0" borderId="0"/>
    <xf numFmtId="0"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46" fillId="0" borderId="0"/>
    <xf numFmtId="171" fontId="46" fillId="0" borderId="0"/>
    <xf numFmtId="0" fontId="46" fillId="0" borderId="0"/>
    <xf numFmtId="0" fontId="46" fillId="0" borderId="0"/>
    <xf numFmtId="171" fontId="38" fillId="0" borderId="0"/>
    <xf numFmtId="171" fontId="38"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38" fillId="0" borderId="0"/>
    <xf numFmtId="0" fontId="46" fillId="0" borderId="0"/>
    <xf numFmtId="0" fontId="38" fillId="0" borderId="0"/>
    <xf numFmtId="0" fontId="38" fillId="0" borderId="0"/>
    <xf numFmtId="0" fontId="46" fillId="0" borderId="0"/>
    <xf numFmtId="171" fontId="46" fillId="0" borderId="0"/>
    <xf numFmtId="171" fontId="46" fillId="0" borderId="0"/>
    <xf numFmtId="168" fontId="46" fillId="0" borderId="0"/>
    <xf numFmtId="0" fontId="38" fillId="0" borderId="0"/>
    <xf numFmtId="171" fontId="38" fillId="0" borderId="0"/>
    <xf numFmtId="0" fontId="46" fillId="0" borderId="0"/>
    <xf numFmtId="171" fontId="38" fillId="0" borderId="0"/>
    <xf numFmtId="168" fontId="46" fillId="0" borderId="0"/>
    <xf numFmtId="0" fontId="46" fillId="0" borderId="0"/>
    <xf numFmtId="168" fontId="38" fillId="0" borderId="0"/>
    <xf numFmtId="168" fontId="50" fillId="0" borderId="0"/>
    <xf numFmtId="171" fontId="46" fillId="0" borderId="0"/>
    <xf numFmtId="168" fontId="52" fillId="0" borderId="0"/>
    <xf numFmtId="0" fontId="38" fillId="0" borderId="0"/>
    <xf numFmtId="171" fontId="38" fillId="0" borderId="0"/>
    <xf numFmtId="171" fontId="46" fillId="0" borderId="0"/>
    <xf numFmtId="4" fontId="47" fillId="0" borderId="0">
      <alignment vertical="center"/>
    </xf>
    <xf numFmtId="4" fontId="47"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4" fontId="47" fillId="0" borderId="0">
      <alignment vertical="center"/>
    </xf>
    <xf numFmtId="171" fontId="38" fillId="0" borderId="0"/>
    <xf numFmtId="0" fontId="38" fillId="0" borderId="0"/>
    <xf numFmtId="4" fontId="47" fillId="0" borderId="0">
      <alignment vertical="center"/>
    </xf>
    <xf numFmtId="0" fontId="46" fillId="0" borderId="0"/>
    <xf numFmtId="0" fontId="46" fillId="0" borderId="0"/>
    <xf numFmtId="168" fontId="46" fillId="0" borderId="0"/>
    <xf numFmtId="0" fontId="38" fillId="0" borderId="0"/>
    <xf numFmtId="171" fontId="38" fillId="0" borderId="0"/>
    <xf numFmtId="0" fontId="46" fillId="0" borderId="0"/>
    <xf numFmtId="0" fontId="49" fillId="0" borderId="0"/>
    <xf numFmtId="0" fontId="49" fillId="0" borderId="0"/>
    <xf numFmtId="0" fontId="49" fillId="0" borderId="0"/>
    <xf numFmtId="0" fontId="49" fillId="0" borderId="0"/>
    <xf numFmtId="0" fontId="49" fillId="0" borderId="0"/>
    <xf numFmtId="168" fontId="52" fillId="0" borderId="0"/>
    <xf numFmtId="171" fontId="46" fillId="0" borderId="0"/>
    <xf numFmtId="168" fontId="52" fillId="0" borderId="0"/>
    <xf numFmtId="171" fontId="38" fillId="0" borderId="0"/>
    <xf numFmtId="168" fontId="46" fillId="0" borderId="0"/>
    <xf numFmtId="0" fontId="46" fillId="0" borderId="0"/>
    <xf numFmtId="168" fontId="52" fillId="0" borderId="0"/>
    <xf numFmtId="168" fontId="32" fillId="0" borderId="0"/>
    <xf numFmtId="168" fontId="52" fillId="0" borderId="0"/>
    <xf numFmtId="168" fontId="32" fillId="0" borderId="0"/>
    <xf numFmtId="0" fontId="52" fillId="0" borderId="0"/>
    <xf numFmtId="168" fontId="32" fillId="0" borderId="0"/>
    <xf numFmtId="0" fontId="32" fillId="0" borderId="0"/>
    <xf numFmtId="168" fontId="52" fillId="0" borderId="0"/>
    <xf numFmtId="168" fontId="46" fillId="0" borderId="0"/>
    <xf numFmtId="0" fontId="46" fillId="0" borderId="0"/>
    <xf numFmtId="168" fontId="46" fillId="0" borderId="0"/>
    <xf numFmtId="0" fontId="46" fillId="0" borderId="0"/>
    <xf numFmtId="168" fontId="46" fillId="0" borderId="0"/>
    <xf numFmtId="0" fontId="46" fillId="0" borderId="0"/>
    <xf numFmtId="0" fontId="38" fillId="0" borderId="0"/>
    <xf numFmtId="168" fontId="46" fillId="0" borderId="0"/>
    <xf numFmtId="168" fontId="46" fillId="0" borderId="0"/>
    <xf numFmtId="168" fontId="52" fillId="0" borderId="0"/>
    <xf numFmtId="168" fontId="46" fillId="0" borderId="0"/>
    <xf numFmtId="171" fontId="38" fillId="0" borderId="0"/>
    <xf numFmtId="171" fontId="38" fillId="0" borderId="0"/>
    <xf numFmtId="171" fontId="38" fillId="0" borderId="0"/>
    <xf numFmtId="171" fontId="38" fillId="0" borderId="0"/>
    <xf numFmtId="171" fontId="38" fillId="0" borderId="0"/>
    <xf numFmtId="168" fontId="52" fillId="0" borderId="0"/>
    <xf numFmtId="171" fontId="46" fillId="0" borderId="0"/>
    <xf numFmtId="171" fontId="46" fillId="0" borderId="0"/>
    <xf numFmtId="171" fontId="46" fillId="0" borderId="0"/>
    <xf numFmtId="171" fontId="38" fillId="0" borderId="0"/>
    <xf numFmtId="0" fontId="46" fillId="0" borderId="0"/>
    <xf numFmtId="0" fontId="46" fillId="0" borderId="0"/>
    <xf numFmtId="0" fontId="46" fillId="0" borderId="0"/>
    <xf numFmtId="168" fontId="54"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71"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0" fontId="46" fillId="0" borderId="0"/>
    <xf numFmtId="171" fontId="38" fillId="0" borderId="0"/>
    <xf numFmtId="180" fontId="37" fillId="11" borderId="0" applyFont="0" applyBorder="0">
      <alignment horizontal="center" vertical="center" shrinkToFit="1"/>
    </xf>
    <xf numFmtId="168" fontId="32" fillId="0" borderId="0"/>
    <xf numFmtId="168" fontId="52" fillId="0" borderId="0"/>
    <xf numFmtId="168" fontId="32" fillId="0" borderId="0"/>
    <xf numFmtId="0" fontId="52" fillId="0" borderId="0"/>
    <xf numFmtId="168" fontId="32" fillId="0" borderId="0"/>
    <xf numFmtId="0" fontId="32" fillId="0" borderId="0"/>
    <xf numFmtId="0" fontId="38" fillId="0" borderId="0"/>
    <xf numFmtId="0" fontId="38" fillId="0" borderId="0"/>
    <xf numFmtId="0" fontId="45" fillId="0" borderId="0">
      <protection locked="0"/>
    </xf>
    <xf numFmtId="0" fontId="45" fillId="0" borderId="0">
      <protection locked="0"/>
    </xf>
    <xf numFmtId="181" fontId="61" fillId="0" borderId="0">
      <protection locked="0"/>
    </xf>
    <xf numFmtId="182" fontId="61" fillId="0" borderId="0">
      <protection locked="0"/>
    </xf>
    <xf numFmtId="181" fontId="61" fillId="0" borderId="0">
      <protection locked="0"/>
    </xf>
    <xf numFmtId="183" fontId="61" fillId="0" borderId="0">
      <protection locked="0"/>
    </xf>
    <xf numFmtId="182" fontId="61" fillId="0" borderId="0">
      <protection locked="0"/>
    </xf>
    <xf numFmtId="183" fontId="61" fillId="0" borderId="0">
      <protection locked="0"/>
    </xf>
    <xf numFmtId="0" fontId="45" fillId="0" borderId="0">
      <protection locked="0"/>
    </xf>
    <xf numFmtId="184" fontId="61" fillId="0" borderId="0">
      <protection locked="0"/>
    </xf>
    <xf numFmtId="183" fontId="61" fillId="0" borderId="0">
      <protection locked="0"/>
    </xf>
    <xf numFmtId="0" fontId="45" fillId="0" borderId="0">
      <protection locked="0"/>
    </xf>
    <xf numFmtId="168" fontId="45" fillId="0" borderId="0">
      <protection locked="0"/>
    </xf>
    <xf numFmtId="185" fontId="62" fillId="0" borderId="0" applyFont="0" applyFill="0" applyBorder="0" applyAlignment="0" applyProtection="0"/>
    <xf numFmtId="168" fontId="63" fillId="0" borderId="0"/>
    <xf numFmtId="186" fontId="62" fillId="0" borderId="0" applyFont="0" applyFill="0" applyBorder="0" applyAlignment="0" applyProtection="0"/>
    <xf numFmtId="187" fontId="61" fillId="0" borderId="29">
      <protection locked="0"/>
    </xf>
    <xf numFmtId="0" fontId="45" fillId="0" borderId="25">
      <protection locked="0"/>
    </xf>
    <xf numFmtId="0" fontId="45" fillId="0" borderId="25">
      <protection locked="0"/>
    </xf>
    <xf numFmtId="168" fontId="37" fillId="0" borderId="0"/>
    <xf numFmtId="168" fontId="37" fillId="0" borderId="0"/>
    <xf numFmtId="168" fontId="37" fillId="0" borderId="0"/>
    <xf numFmtId="168" fontId="53" fillId="0" borderId="0">
      <alignment vertical="center"/>
    </xf>
    <xf numFmtId="168" fontId="64" fillId="0" borderId="0">
      <alignment vertical="center"/>
    </xf>
    <xf numFmtId="168" fontId="53" fillId="0" borderId="0">
      <alignment vertical="center"/>
    </xf>
    <xf numFmtId="0" fontId="65" fillId="0" borderId="0">
      <protection locked="0"/>
    </xf>
    <xf numFmtId="0" fontId="65" fillId="0" borderId="0">
      <protection locked="0"/>
    </xf>
    <xf numFmtId="187" fontId="66" fillId="0" borderId="0">
      <protection locked="0"/>
    </xf>
    <xf numFmtId="168" fontId="66" fillId="0" borderId="0">
      <protection locked="0"/>
    </xf>
    <xf numFmtId="187" fontId="66" fillId="0" borderId="0">
      <protection locked="0"/>
    </xf>
    <xf numFmtId="168" fontId="66" fillId="0" borderId="0">
      <protection locked="0"/>
    </xf>
    <xf numFmtId="0" fontId="67" fillId="0" borderId="0"/>
    <xf numFmtId="187" fontId="61" fillId="0" borderId="29">
      <protection locked="0"/>
    </xf>
    <xf numFmtId="168" fontId="61" fillId="0" borderId="29">
      <protection locked="0"/>
    </xf>
    <xf numFmtId="0" fontId="45" fillId="0" borderId="0">
      <protection locked="0"/>
    </xf>
    <xf numFmtId="0" fontId="45" fillId="0" borderId="0">
      <protection locked="0"/>
    </xf>
    <xf numFmtId="0" fontId="45"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45" fillId="0" borderId="0">
      <protection locked="0"/>
    </xf>
    <xf numFmtId="0" fontId="45"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45" fillId="0" borderId="0">
      <protection locked="0"/>
    </xf>
    <xf numFmtId="0" fontId="65" fillId="0" borderId="0">
      <protection locked="0"/>
    </xf>
    <xf numFmtId="0" fontId="65" fillId="0" borderId="0">
      <protection locked="0"/>
    </xf>
    <xf numFmtId="188" fontId="32"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90" fontId="68" fillId="0" borderId="30" applyFont="0" applyFill="0" applyBorder="0" applyAlignment="0" applyProtection="0">
      <alignment horizontal="right"/>
    </xf>
    <xf numFmtId="9" fontId="32" fillId="0" borderId="0"/>
    <xf numFmtId="9" fontId="52" fillId="0" borderId="0"/>
    <xf numFmtId="9" fontId="32" fillId="0" borderId="0"/>
    <xf numFmtId="168" fontId="63" fillId="0" borderId="0"/>
    <xf numFmtId="168" fontId="69" fillId="0" borderId="0"/>
    <xf numFmtId="191" fontId="70" fillId="0" borderId="0" applyFont="0" applyAlignment="0" applyProtection="0">
      <protection locked="0" hidden="1"/>
    </xf>
    <xf numFmtId="168" fontId="71" fillId="0" borderId="0"/>
    <xf numFmtId="168" fontId="69" fillId="0" borderId="0"/>
    <xf numFmtId="168" fontId="72" fillId="12" borderId="0"/>
    <xf numFmtId="168" fontId="72" fillId="12" borderId="0"/>
    <xf numFmtId="168" fontId="72" fillId="12" borderId="0"/>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0" fontId="73" fillId="13" borderId="19" applyNumberFormat="0" applyFill="0" applyBorder="0" applyAlignment="0">
      <alignment horizontal="left"/>
    </xf>
    <xf numFmtId="0" fontId="73" fillId="13" borderId="19" applyNumberFormat="0" applyFill="0" applyBorder="0" applyAlignment="0">
      <alignment horizontal="left"/>
    </xf>
    <xf numFmtId="168" fontId="74" fillId="13" borderId="0" applyNumberFormat="0" applyFill="0" applyBorder="0" applyAlignment="0"/>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0" fontId="75" fillId="14" borderId="19" applyNumberFormat="0" applyFill="0" applyBorder="0" applyAlignment="0">
      <alignment horizontal="left"/>
    </xf>
    <xf numFmtId="0" fontId="75" fillId="14" borderId="19" applyNumberFormat="0" applyFill="0" applyBorder="0" applyAlignment="0">
      <alignment horizontal="left"/>
    </xf>
    <xf numFmtId="168" fontId="76" fillId="15" borderId="0" applyNumberFormat="0" applyFill="0" applyBorder="0" applyAlignment="0"/>
    <xf numFmtId="168" fontId="77" fillId="0" borderId="0" applyNumberFormat="0" applyFill="0" applyBorder="0" applyAlignment="0"/>
    <xf numFmtId="168" fontId="78" fillId="0" borderId="7" applyNumberFormat="0" applyFill="0" applyBorder="0" applyAlignment="0">
      <alignment horizontal="left"/>
    </xf>
    <xf numFmtId="168" fontId="79" fillId="16" borderId="21" applyNumberFormat="0" applyFill="0" applyBorder="0" applyAlignment="0">
      <alignment horizontal="centerContinuous"/>
    </xf>
    <xf numFmtId="168" fontId="80" fillId="0" borderId="0" applyNumberFormat="0" applyFill="0" applyBorder="0" applyAlignment="0"/>
    <xf numFmtId="168" fontId="80" fillId="17" borderId="31" applyNumberFormat="0" applyFill="0" applyBorder="0" applyAlignment="0"/>
    <xf numFmtId="0" fontId="80" fillId="17" borderId="31" applyNumberFormat="0" applyFill="0" applyBorder="0" applyAlignment="0"/>
    <xf numFmtId="0" fontId="80" fillId="17" borderId="31" applyNumberFormat="0" applyFill="0" applyBorder="0" applyAlignment="0"/>
    <xf numFmtId="168" fontId="81" fillId="0" borderId="7" applyNumberFormat="0" applyFill="0" applyBorder="0" applyAlignment="0"/>
    <xf numFmtId="168" fontId="80" fillId="0" borderId="0" applyNumberFormat="0" applyFill="0" applyBorder="0" applyAlignment="0"/>
    <xf numFmtId="0"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4" fillId="5"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4" fillId="5" borderId="0" applyNumberFormat="0" applyBorder="0" applyAlignment="0" applyProtection="0"/>
    <xf numFmtId="168" fontId="83" fillId="18" borderId="0" applyNumberFormat="0" applyBorder="0" applyAlignment="0" applyProtection="0"/>
    <xf numFmtId="168" fontId="3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3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0" fontId="8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3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3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0" fontId="8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18" borderId="0" applyNumberFormat="0" applyBorder="0" applyAlignment="0" applyProtection="0"/>
    <xf numFmtId="0" fontId="82" fillId="18" borderId="0" applyNumberFormat="0" applyBorder="0" applyAlignment="0" applyProtection="0"/>
    <xf numFmtId="0"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0" fontId="82" fillId="18" borderId="0" applyNumberFormat="0" applyBorder="0" applyAlignment="0" applyProtection="0"/>
    <xf numFmtId="168" fontId="82" fillId="18" borderId="0" applyNumberFormat="0" applyBorder="0" applyAlignment="0" applyProtection="0"/>
    <xf numFmtId="168" fontId="8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9" borderId="0" applyNumberFormat="0" applyBorder="0" applyAlignment="0" applyProtection="0"/>
    <xf numFmtId="0" fontId="82" fillId="19" borderId="0" applyNumberFormat="0" applyBorder="0" applyAlignment="0" applyProtection="0"/>
    <xf numFmtId="0"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0" fontId="82" fillId="19" borderId="0" applyNumberFormat="0" applyBorder="0" applyAlignment="0" applyProtection="0"/>
    <xf numFmtId="168" fontId="82" fillId="19" borderId="0" applyNumberFormat="0" applyBorder="0" applyAlignment="0" applyProtection="0"/>
    <xf numFmtId="168" fontId="8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20" borderId="0" applyNumberFormat="0" applyBorder="0" applyAlignment="0" applyProtection="0"/>
    <xf numFmtId="0" fontId="82" fillId="20" borderId="0" applyNumberFormat="0" applyBorder="0" applyAlignment="0" applyProtection="0"/>
    <xf numFmtId="0"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0" fontId="82" fillId="20" borderId="0" applyNumberFormat="0" applyBorder="0" applyAlignment="0" applyProtection="0"/>
    <xf numFmtId="168" fontId="82" fillId="20" borderId="0" applyNumberFormat="0" applyBorder="0" applyAlignment="0" applyProtection="0"/>
    <xf numFmtId="168" fontId="8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2" borderId="0" applyNumberFormat="0" applyBorder="0" applyAlignment="0" applyProtection="0"/>
    <xf numFmtId="0"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5" fillId="28"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3" borderId="0" applyNumberFormat="0" applyBorder="0" applyAlignment="0" applyProtection="0"/>
    <xf numFmtId="0" fontId="82" fillId="23" borderId="0" applyNumberFormat="0" applyBorder="0" applyAlignment="0" applyProtection="0"/>
    <xf numFmtId="0"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0" fontId="82" fillId="23" borderId="0" applyNumberFormat="0" applyBorder="0" applyAlignment="0" applyProtection="0"/>
    <xf numFmtId="168" fontId="82" fillId="23" borderId="0" applyNumberFormat="0" applyBorder="0" applyAlignment="0" applyProtection="0"/>
    <xf numFmtId="168" fontId="8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7" fillId="18" borderId="0" applyNumberFormat="0" applyBorder="0" applyAlignment="0" applyProtection="0">
      <alignment vertical="center"/>
    </xf>
    <xf numFmtId="0" fontId="37" fillId="18" borderId="0" applyNumberFormat="0" applyBorder="0" applyAlignment="0" applyProtection="0">
      <alignment vertical="center"/>
    </xf>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22" borderId="0" applyNumberFormat="0" applyBorder="0" applyAlignment="0" applyProtection="0">
      <alignment vertical="center"/>
    </xf>
    <xf numFmtId="0" fontId="37" fillId="22" borderId="0" applyNumberFormat="0" applyBorder="0" applyAlignment="0" applyProtection="0">
      <alignment vertical="center"/>
    </xf>
    <xf numFmtId="168" fontId="37" fillId="23" borderId="0" applyNumberFormat="0" applyBorder="0" applyAlignment="0" applyProtection="0">
      <alignment vertical="center"/>
    </xf>
    <xf numFmtId="0" fontId="37" fillId="23" borderId="0" applyNumberFormat="0" applyBorder="0" applyAlignment="0" applyProtection="0">
      <alignment vertical="center"/>
    </xf>
    <xf numFmtId="192" fontId="70" fillId="0" borderId="0" applyFill="0" applyBorder="0" applyProtection="0">
      <alignment horizontal="right"/>
    </xf>
    <xf numFmtId="168" fontId="63" fillId="0" borderId="0"/>
    <xf numFmtId="168" fontId="69" fillId="0" borderId="0"/>
    <xf numFmtId="168" fontId="63" fillId="0" borderId="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3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0" fontId="8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3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5" borderId="0" applyNumberFormat="0" applyBorder="0" applyAlignment="0" applyProtection="0"/>
    <xf numFmtId="0" fontId="82" fillId="25" borderId="0" applyNumberFormat="0" applyBorder="0" applyAlignment="0" applyProtection="0"/>
    <xf numFmtId="0"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0"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2" fillId="31" borderId="0" applyNumberFormat="0" applyBorder="0" applyAlignment="0" applyProtection="0"/>
    <xf numFmtId="0"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0" fontId="82" fillId="31" borderId="0" applyNumberFormat="0" applyBorder="0" applyAlignment="0" applyProtection="0"/>
    <xf numFmtId="168" fontId="82" fillId="31" borderId="0" applyNumberFormat="0" applyBorder="0" applyAlignment="0" applyProtection="0"/>
    <xf numFmtId="168" fontId="8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6" borderId="0" applyNumberFormat="0" applyBorder="0" applyAlignment="0" applyProtection="0"/>
    <xf numFmtId="0" fontId="82" fillId="26" borderId="0" applyNumberFormat="0" applyBorder="0" applyAlignment="0" applyProtection="0"/>
    <xf numFmtId="0"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0"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6" borderId="0" applyNumberFormat="0" applyBorder="0" applyAlignment="0" applyProtection="0">
      <alignment vertical="center"/>
    </xf>
    <xf numFmtId="0" fontId="37" fillId="26" borderId="0" applyNumberFormat="0" applyBorder="0" applyAlignment="0" applyProtection="0">
      <alignment vertical="center"/>
    </xf>
    <xf numFmtId="0" fontId="86"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32"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0" fontId="86"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32"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0" fontId="86"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32"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0" fontId="86"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35" borderId="0" applyNumberFormat="0" applyBorder="0" applyAlignment="0" applyProtection="0"/>
    <xf numFmtId="0" fontId="86" fillId="35" borderId="0" applyNumberFormat="0" applyBorder="0" applyAlignment="0" applyProtection="0"/>
    <xf numFmtId="0"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0" fontId="86" fillId="35" borderId="0" applyNumberFormat="0" applyBorder="0" applyAlignment="0" applyProtection="0"/>
    <xf numFmtId="168" fontId="86" fillId="35" borderId="0" applyNumberFormat="0" applyBorder="0" applyAlignment="0" applyProtection="0"/>
    <xf numFmtId="168" fontId="86"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25" borderId="0" applyNumberFormat="0" applyBorder="0" applyAlignment="0" applyProtection="0"/>
    <xf numFmtId="0" fontId="86" fillId="25" borderId="0" applyNumberFormat="0" applyBorder="0" applyAlignment="0" applyProtection="0"/>
    <xf numFmtId="0"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0"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6" fillId="31" borderId="0" applyNumberFormat="0" applyBorder="0" applyAlignment="0" applyProtection="0"/>
    <xf numFmtId="0"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0" fontId="86" fillId="31" borderId="0" applyNumberFormat="0" applyBorder="0" applyAlignment="0" applyProtection="0"/>
    <xf numFmtId="168" fontId="86" fillId="31" borderId="0" applyNumberFormat="0" applyBorder="0" applyAlignment="0" applyProtection="0"/>
    <xf numFmtId="168" fontId="86"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0"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0"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24" borderId="0" applyNumberFormat="0" applyBorder="0" applyAlignment="0" applyProtection="0"/>
    <xf numFmtId="0" fontId="86" fillId="24" borderId="0" applyNumberFormat="0" applyBorder="0" applyAlignment="0" applyProtection="0"/>
    <xf numFmtId="0"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0" fontId="86" fillId="24" borderId="0" applyNumberFormat="0" applyBorder="0" applyAlignment="0" applyProtection="0"/>
    <xf numFmtId="168" fontId="86" fillId="24" borderId="0" applyNumberFormat="0" applyBorder="0" applyAlignment="0" applyProtection="0"/>
    <xf numFmtId="168" fontId="86"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7" fillId="35" borderId="0" applyNumberFormat="0" applyBorder="0" applyAlignment="0" applyProtection="0">
      <alignment vertical="center"/>
    </xf>
    <xf numFmtId="0" fontId="37" fillId="35"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24" borderId="0" applyNumberFormat="0" applyBorder="0" applyAlignment="0" applyProtection="0">
      <alignment vertical="center"/>
    </xf>
    <xf numFmtId="0" fontId="37" fillId="24" borderId="0" applyNumberFormat="0" applyBorder="0" applyAlignment="0" applyProtection="0">
      <alignment vertical="center"/>
    </xf>
    <xf numFmtId="193" fontId="88" fillId="0" borderId="0" applyFont="0" applyFill="0" applyBorder="0">
      <alignment horizontal="center"/>
    </xf>
    <xf numFmtId="168" fontId="89" fillId="0" borderId="0">
      <alignment horizontal="right"/>
    </xf>
    <xf numFmtId="194" fontId="37" fillId="0" borderId="0" applyFont="0" applyFill="0" applyBorder="0" applyAlignment="0" applyProtection="0"/>
    <xf numFmtId="195" fontId="37" fillId="0" borderId="0" applyFont="0" applyFill="0" applyBorder="0" applyAlignment="0" applyProtection="0"/>
    <xf numFmtId="194" fontId="37" fillId="0" borderId="0" applyFont="0" applyFill="0" applyBorder="0" applyAlignment="0" applyProtection="0"/>
    <xf numFmtId="195" fontId="37" fillId="0" borderId="0" applyFont="0" applyFill="0" applyBorder="0" applyAlignment="0" applyProtection="0"/>
    <xf numFmtId="0" fontId="86" fillId="39" borderId="0" applyNumberFormat="0" applyBorder="0" applyAlignment="0" applyProtection="0"/>
    <xf numFmtId="168" fontId="83" fillId="40"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32"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0" fontId="86" fillId="39" borderId="0" applyNumberFormat="0" applyBorder="0" applyAlignment="0" applyProtection="0"/>
    <xf numFmtId="0" fontId="86" fillId="42" borderId="0" applyNumberFormat="0" applyBorder="0" applyAlignment="0" applyProtection="0"/>
    <xf numFmtId="168" fontId="83" fillId="43" borderId="0" applyNumberFormat="0" applyBorder="0" applyAlignment="0" applyProtection="0"/>
    <xf numFmtId="168" fontId="83" fillId="44" borderId="0" applyNumberFormat="0" applyBorder="0" applyAlignment="0" applyProtection="0"/>
    <xf numFmtId="168" fontId="87" fillId="45"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32"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0" fontId="86" fillId="42" borderId="0" applyNumberFormat="0" applyBorder="0" applyAlignment="0" applyProtection="0"/>
    <xf numFmtId="0" fontId="86" fillId="46" borderId="0" applyNumberFormat="0" applyBorder="0" applyAlignment="0" applyProtection="0"/>
    <xf numFmtId="168" fontId="83" fillId="43" borderId="0" applyNumberFormat="0" applyBorder="0" applyAlignment="0" applyProtection="0"/>
    <xf numFmtId="168" fontId="83" fillId="47" borderId="0" applyNumberFormat="0" applyBorder="0" applyAlignment="0" applyProtection="0"/>
    <xf numFmtId="168" fontId="87" fillId="44"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32"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0" fontId="86" fillId="46" borderId="0" applyNumberFormat="0" applyBorder="0" applyAlignment="0" applyProtection="0"/>
    <xf numFmtId="0" fontId="86" fillId="36" borderId="0" applyNumberFormat="0" applyBorder="0" applyAlignment="0" applyProtection="0"/>
    <xf numFmtId="168" fontId="83" fillId="40" borderId="0" applyNumberFormat="0" applyBorder="0" applyAlignment="0" applyProtection="0"/>
    <xf numFmtId="168" fontId="83" fillId="44" borderId="0" applyNumberFormat="0" applyBorder="0" applyAlignment="0" applyProtection="0"/>
    <xf numFmtId="168" fontId="87" fillId="44"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6" borderId="0" applyNumberFormat="0" applyBorder="0" applyAlignment="0" applyProtection="0"/>
    <xf numFmtId="0" fontId="86" fillId="37" borderId="0" applyNumberFormat="0" applyBorder="0" applyAlignment="0" applyProtection="0"/>
    <xf numFmtId="168" fontId="83" fillId="48"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37" borderId="0" applyNumberFormat="0" applyBorder="0" applyAlignment="0" applyProtection="0"/>
    <xf numFmtId="0" fontId="86" fillId="49" borderId="0" applyNumberFormat="0" applyBorder="0" applyAlignment="0" applyProtection="0"/>
    <xf numFmtId="168" fontId="83" fillId="43" borderId="0" applyNumberFormat="0" applyBorder="0" applyAlignment="0" applyProtection="0"/>
    <xf numFmtId="168" fontId="83" fillId="50" borderId="0" applyNumberFormat="0" applyBorder="0" applyAlignment="0" applyProtection="0"/>
    <xf numFmtId="168" fontId="87" fillId="50"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32"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0" fontId="86" fillId="49" borderId="0" applyNumberFormat="0" applyBorder="0" applyAlignment="0" applyProtection="0"/>
    <xf numFmtId="196" fontId="90" fillId="51" borderId="0">
      <alignment horizontal="center" vertical="center"/>
    </xf>
    <xf numFmtId="197" fontId="91" fillId="0" borderId="32" applyFont="0" applyFill="0">
      <alignment horizontal="right" vertical="center"/>
      <protection locked="0"/>
    </xf>
    <xf numFmtId="198" fontId="37" fillId="0" borderId="0" applyFont="0" applyFill="0" applyBorder="0" applyProtection="0"/>
    <xf numFmtId="0" fontId="92" fillId="0" borderId="0" applyNumberFormat="0" applyFill="0" applyBorder="0" applyAlignment="0" applyProtection="0">
      <alignment vertical="top"/>
      <protection locked="0"/>
    </xf>
    <xf numFmtId="199"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200"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168" fontId="95" fillId="0" borderId="0" applyNumberFormat="0" applyFill="0" applyBorder="0" applyAlignment="0" applyProtection="0">
      <alignment vertical="top"/>
      <protection locked="0"/>
    </xf>
    <xf numFmtId="168" fontId="40" fillId="0" borderId="0"/>
    <xf numFmtId="201" fontId="54" fillId="0" borderId="33">
      <protection locked="0"/>
    </xf>
    <xf numFmtId="202" fontId="32" fillId="0" borderId="0" applyFont="0" applyFill="0" applyBorder="0" applyAlignment="0" applyProtection="0"/>
    <xf numFmtId="203" fontId="32" fillId="0" borderId="0" applyFont="0" applyFill="0" applyBorder="0" applyAlignment="0" applyProtection="0"/>
    <xf numFmtId="204" fontId="96" fillId="0" borderId="0">
      <alignment horizontal="left"/>
    </xf>
    <xf numFmtId="204" fontId="96" fillId="0" borderId="0">
      <alignment horizontal="left"/>
    </xf>
    <xf numFmtId="204" fontId="96" fillId="0" borderId="0">
      <alignment horizontal="left"/>
    </xf>
    <xf numFmtId="39" fontId="97" fillId="0" borderId="0" applyFont="0" applyFill="0">
      <alignment vertical="center"/>
    </xf>
    <xf numFmtId="205" fontId="67" fillId="0" borderId="0"/>
    <xf numFmtId="0" fontId="98" fillId="0" borderId="0">
      <alignment horizontal="right"/>
    </xf>
    <xf numFmtId="197" fontId="91" fillId="0" borderId="0" applyFont="0" applyBorder="0" applyProtection="0">
      <alignment vertical="center"/>
    </xf>
    <xf numFmtId="196" fontId="37" fillId="0" borderId="0" applyNumberFormat="0" applyFont="0" applyAlignment="0">
      <alignment horizontal="center" vertical="center"/>
    </xf>
    <xf numFmtId="168" fontId="40" fillId="0" borderId="0" applyNumberFormat="0" applyFill="0" applyBorder="0" applyAlignment="0" applyProtection="0"/>
    <xf numFmtId="168" fontId="99" fillId="0" borderId="0" applyNumberFormat="0" applyFill="0" applyBorder="0" applyAlignment="0" applyProtection="0"/>
    <xf numFmtId="206" fontId="100" fillId="8" borderId="0" applyBorder="0">
      <protection locked="0"/>
    </xf>
    <xf numFmtId="198" fontId="101" fillId="52" borderId="12"/>
    <xf numFmtId="198" fontId="101" fillId="52" borderId="12"/>
    <xf numFmtId="198" fontId="101" fillId="52" borderId="12"/>
    <xf numFmtId="179" fontId="94" fillId="0" borderId="0" applyFont="0" applyFill="0" applyBorder="0" applyAlignment="0" applyProtection="0"/>
    <xf numFmtId="179" fontId="94" fillId="0" borderId="0" applyFont="0" applyFill="0" applyBorder="0" applyAlignment="0" applyProtection="0"/>
    <xf numFmtId="0" fontId="102" fillId="0" borderId="0"/>
    <xf numFmtId="170" fontId="103" fillId="0" borderId="0"/>
    <xf numFmtId="39" fontId="104" fillId="7" borderId="0" applyNumberFormat="0" applyBorder="0">
      <alignment vertical="center"/>
    </xf>
    <xf numFmtId="0" fontId="105"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32"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53" fillId="53" borderId="0"/>
    <xf numFmtId="168" fontId="107" fillId="53" borderId="0"/>
    <xf numFmtId="0" fontId="108" fillId="0" borderId="0"/>
    <xf numFmtId="168" fontId="109" fillId="0" borderId="0" applyNumberFormat="0" applyFill="0" applyBorder="0" applyAlignment="0" applyProtection="0"/>
    <xf numFmtId="0" fontId="54" fillId="0" borderId="0">
      <alignment horizontal="left"/>
    </xf>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38" fontId="111" fillId="0" borderId="0" applyNumberFormat="0" applyFill="0" applyBorder="0" applyAlignment="0" applyProtection="0">
      <alignment horizontal="right"/>
      <protection locked="0"/>
    </xf>
    <xf numFmtId="172" fontId="103" fillId="0" borderId="0"/>
    <xf numFmtId="168" fontId="112" fillId="0" borderId="0" applyNumberFormat="0" applyFill="0" applyBorder="0" applyAlignment="0" applyProtection="0"/>
    <xf numFmtId="0" fontId="113" fillId="0" borderId="31" applyNumberFormat="0" applyFill="0" applyAlignment="0" applyProtection="0"/>
    <xf numFmtId="0" fontId="113" fillId="0" borderId="31" applyNumberFormat="0" applyFill="0" applyAlignment="0" applyProtection="0"/>
    <xf numFmtId="0" fontId="113" fillId="0" borderId="31" applyNumberFormat="0" applyFill="0" applyAlignment="0" applyProtection="0"/>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left"/>
    </xf>
    <xf numFmtId="168" fontId="104" fillId="0" borderId="0">
      <alignment horizontal="right"/>
    </xf>
    <xf numFmtId="168" fontId="63"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8" fontId="115" fillId="0" borderId="0" applyFont="0" applyFill="0" applyBorder="0" applyAlignment="0" applyProtection="0"/>
    <xf numFmtId="49" fontId="116" fillId="0" borderId="0" applyFill="0" applyBorder="0">
      <alignment horizontal="left"/>
    </xf>
    <xf numFmtId="201" fontId="117" fillId="0" borderId="0" applyFill="0" applyBorder="0">
      <alignment horizontal="left"/>
    </xf>
    <xf numFmtId="49" fontId="118" fillId="0" borderId="0" applyFill="0" applyBorder="0">
      <alignment horizontal="left"/>
    </xf>
    <xf numFmtId="2" fontId="119" fillId="0" borderId="0" applyFill="0" applyBorder="0">
      <alignment horizontal="left"/>
    </xf>
    <xf numFmtId="0" fontId="62" fillId="0" borderId="0" applyFont="0" applyFill="0" applyBorder="0" applyAlignment="0" applyProtection="0"/>
    <xf numFmtId="209" fontId="120" fillId="0" borderId="0"/>
    <xf numFmtId="168" fontId="121" fillId="0" borderId="0"/>
    <xf numFmtId="179" fontId="122" fillId="0" borderId="0"/>
    <xf numFmtId="179" fontId="94" fillId="0" borderId="0"/>
    <xf numFmtId="179" fontId="123" fillId="0" borderId="0"/>
    <xf numFmtId="179" fontId="123" fillId="0" borderId="0"/>
    <xf numFmtId="179" fontId="93" fillId="0" borderId="0"/>
    <xf numFmtId="179" fontId="94" fillId="0" borderId="0"/>
    <xf numFmtId="179" fontId="93" fillId="0" borderId="0"/>
    <xf numFmtId="179" fontId="94" fillId="0" borderId="0"/>
    <xf numFmtId="179" fontId="93" fillId="0" borderId="0"/>
    <xf numFmtId="179" fontId="94" fillId="0" borderId="0"/>
    <xf numFmtId="179" fontId="124" fillId="0" borderId="0"/>
    <xf numFmtId="210" fontId="125" fillId="0" borderId="0" applyFill="0" applyBorder="0" applyAlignment="0"/>
    <xf numFmtId="168" fontId="39" fillId="0" borderId="0" applyFill="0" applyBorder="0" applyAlignment="0"/>
    <xf numFmtId="168" fontId="39" fillId="0" borderId="0" applyFill="0" applyBorder="0" applyAlignment="0"/>
    <xf numFmtId="211"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214" fontId="37" fillId="0" borderId="0" applyFill="0" applyBorder="0" applyAlignment="0"/>
    <xf numFmtId="215" fontId="125" fillId="0" borderId="0" applyFill="0" applyBorder="0" applyAlignment="0"/>
    <xf numFmtId="216" fontId="40" fillId="0" borderId="0" applyFill="0" applyBorder="0" applyAlignment="0"/>
    <xf numFmtId="216" fontId="40" fillId="0" borderId="0" applyFill="0" applyBorder="0" applyAlignment="0"/>
    <xf numFmtId="217" fontId="126" fillId="0" borderId="0" applyFill="0" applyBorder="0" applyAlignment="0"/>
    <xf numFmtId="218" fontId="125" fillId="0" borderId="0" applyFill="0" applyBorder="0" applyAlignment="0"/>
    <xf numFmtId="219" fontId="40" fillId="0" borderId="0" applyFill="0" applyBorder="0" applyAlignment="0"/>
    <xf numFmtId="219" fontId="40" fillId="0" borderId="0" applyFill="0" applyBorder="0" applyAlignment="0"/>
    <xf numFmtId="220" fontId="126" fillId="0" borderId="0" applyFill="0" applyBorder="0" applyAlignment="0"/>
    <xf numFmtId="221" fontId="125" fillId="0" borderId="0" applyFill="0" applyBorder="0" applyAlignment="0"/>
    <xf numFmtId="222" fontId="40" fillId="0" borderId="0" applyFill="0" applyBorder="0" applyAlignment="0"/>
    <xf numFmtId="222" fontId="40" fillId="0" borderId="0" applyFill="0" applyBorder="0" applyAlignment="0"/>
    <xf numFmtId="223" fontId="46" fillId="0" borderId="0" applyFill="0" applyBorder="0" applyAlignment="0"/>
    <xf numFmtId="210" fontId="125"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25"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0" fontId="127" fillId="54" borderId="35" applyNumberFormat="0" applyAlignment="0" applyProtection="0"/>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39" fontId="128" fillId="0" borderId="36">
      <protection locked="0"/>
    </xf>
    <xf numFmtId="39" fontId="128" fillId="0" borderId="36">
      <protection locked="0"/>
    </xf>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38" fontId="117" fillId="0" borderId="0">
      <alignment horizontal="left"/>
    </xf>
    <xf numFmtId="168" fontId="37" fillId="55" borderId="0" applyNumberFormat="0" applyFont="0" applyBorder="0" applyAlignment="0"/>
    <xf numFmtId="201" fontId="130" fillId="0" borderId="0"/>
    <xf numFmtId="168" fontId="40" fillId="0" borderId="0">
      <alignment horizontal="center" wrapText="1"/>
    </xf>
    <xf numFmtId="168" fontId="40" fillId="0" borderId="0">
      <alignment horizontal="center" wrapText="1"/>
    </xf>
    <xf numFmtId="168"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168" fontId="131" fillId="0" borderId="0" applyFill="0" applyBorder="0" applyProtection="0">
      <alignment horizontal="center"/>
      <protection locked="0"/>
    </xf>
    <xf numFmtId="1" fontId="132" fillId="0" borderId="0"/>
    <xf numFmtId="228" fontId="54" fillId="56" borderId="37">
      <alignment vertical="center"/>
    </xf>
    <xf numFmtId="0" fontId="133"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32"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229" fontId="37" fillId="0" borderId="39" applyFont="0" applyFill="0" applyBorder="0" applyProtection="0">
      <alignment horizontal="center"/>
      <protection locked="0"/>
    </xf>
    <xf numFmtId="0" fontId="57" fillId="0" borderId="36"/>
    <xf numFmtId="0" fontId="72" fillId="0" borderId="0">
      <alignment horizontal="center" wrapText="1"/>
      <protection hidden="1"/>
    </xf>
    <xf numFmtId="168" fontId="113" fillId="0" borderId="0" applyNumberFormat="0" applyFill="0" applyBorder="0" applyProtection="0">
      <alignment horizontal="center" vertical="center"/>
    </xf>
    <xf numFmtId="0" fontId="135" fillId="0" borderId="0">
      <alignment horizontal="right"/>
    </xf>
    <xf numFmtId="168" fontId="32" fillId="0" borderId="0"/>
    <xf numFmtId="230" fontId="136" fillId="0" borderId="0"/>
    <xf numFmtId="168" fontId="32"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23" fontId="46" fillId="0" borderId="0" applyFont="0" applyFill="0" applyBorder="0" applyAlignment="0" applyProtection="0"/>
    <xf numFmtId="210" fontId="40" fillId="0" borderId="0" applyFont="0" applyFill="0" applyBorder="0" applyAlignment="0" applyProtection="0"/>
    <xf numFmtId="210" fontId="40" fillId="0" borderId="0" applyFont="0" applyFill="0" applyBorder="0" applyAlignment="0" applyProtection="0"/>
    <xf numFmtId="211" fontId="40" fillId="0" borderId="0" applyFont="0" applyFill="0" applyBorder="0" applyAlignment="0" applyProtection="0"/>
    <xf numFmtId="211" fontId="40" fillId="0" borderId="0" applyFont="0" applyFill="0" applyBorder="0" applyAlignment="0" applyProtection="0"/>
    <xf numFmtId="168" fontId="137" fillId="0" borderId="0" applyFont="0" applyFill="0" applyBorder="0" applyAlignment="0" applyProtection="0"/>
    <xf numFmtId="168" fontId="63" fillId="0" borderId="0"/>
    <xf numFmtId="168" fontId="71" fillId="0" borderId="0"/>
    <xf numFmtId="168" fontId="138" fillId="0" borderId="0" applyFont="0" applyFill="0" applyBorder="0" applyAlignment="0" applyProtection="0">
      <alignment horizontal="right"/>
    </xf>
    <xf numFmtId="168" fontId="138"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8" fontId="54" fillId="0" borderId="0" applyFill="0" applyBorder="0" applyAlignment="0" applyProtection="0"/>
    <xf numFmtId="168" fontId="139"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alignment vertical="center"/>
    </xf>
    <xf numFmtId="168" fontId="139" fillId="0" borderId="0" applyFont="0" applyFill="0" applyBorder="0" applyAlignment="0" applyProtection="0"/>
    <xf numFmtId="168"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0" fontId="100" fillId="0" borderId="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7"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82"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7" fontId="84" fillId="0" borderId="0" applyFont="0" applyFill="0" applyBorder="0" applyAlignment="0" applyProtection="0"/>
    <xf numFmtId="238"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3"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7"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7" fontId="11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83"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37"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76" fontId="140" fillId="0" borderId="0" applyFont="0" applyFill="0" applyBorder="0" applyAlignment="0" applyProtection="0"/>
    <xf numFmtId="3" fontId="72" fillId="0" borderId="0" applyNumberFormat="0" applyFont="0" applyFill="0" applyBorder="0" applyAlignment="0" applyProtection="0">
      <alignment vertical="top"/>
    </xf>
    <xf numFmtId="0" fontId="141" fillId="0" borderId="0"/>
    <xf numFmtId="0" fontId="46" fillId="0" borderId="0"/>
    <xf numFmtId="3" fontId="142" fillId="0" borderId="0" applyFont="0" applyFill="0" applyBorder="0" applyAlignment="0" applyProtection="0"/>
    <xf numFmtId="3" fontId="142" fillId="0" borderId="0" applyFont="0" applyFill="0" applyBorder="0" applyAlignment="0" applyProtection="0"/>
    <xf numFmtId="3" fontId="142"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141" fillId="0" borderId="0"/>
    <xf numFmtId="0" fontId="46" fillId="0" borderId="0"/>
    <xf numFmtId="0" fontId="143" fillId="0" borderId="0"/>
    <xf numFmtId="168" fontId="144" fillId="0" borderId="0" applyFill="0" applyBorder="0" applyAlignment="0" applyProtection="0">
      <protection locked="0"/>
    </xf>
    <xf numFmtId="201" fontId="145" fillId="0" borderId="0" applyFill="0" applyBorder="0">
      <alignment horizontal="left"/>
    </xf>
    <xf numFmtId="197" fontId="146" fillId="0" borderId="24" applyNumberFormat="0" applyFill="0" applyBorder="0" applyAlignment="0" applyProtection="0"/>
    <xf numFmtId="191" fontId="147" fillId="0" borderId="0"/>
    <xf numFmtId="239" fontId="147" fillId="0" borderId="0"/>
    <xf numFmtId="240" fontId="147" fillId="0" borderId="0"/>
    <xf numFmtId="168" fontId="148" fillId="0" borderId="30" applyNumberFormat="0" applyFill="0" applyBorder="0" applyAlignment="0" applyProtection="0">
      <alignment horizontal="left"/>
    </xf>
    <xf numFmtId="168" fontId="149" fillId="0" borderId="0" applyNumberFormat="0" applyAlignment="0">
      <alignment horizontal="left"/>
    </xf>
    <xf numFmtId="241" fontId="150" fillId="9" borderId="0" applyBorder="0"/>
    <xf numFmtId="228" fontId="150" fillId="9" borderId="36" applyBorder="0"/>
    <xf numFmtId="242" fontId="150" fillId="9" borderId="36" applyBorder="0"/>
    <xf numFmtId="9" fontId="150" fillId="9" borderId="30" applyBorder="0"/>
    <xf numFmtId="183" fontId="150" fillId="9" borderId="0" applyBorder="0"/>
    <xf numFmtId="235" fontId="150" fillId="9" borderId="40" applyBorder="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0" applyFill="0" applyBorder="0" applyProtection="0"/>
    <xf numFmtId="201" fontId="151" fillId="52" borderId="33"/>
    <xf numFmtId="3" fontId="32" fillId="0" borderId="42" applyNumberFormat="0" applyAlignment="0">
      <alignment vertical="center"/>
    </xf>
    <xf numFmtId="3" fontId="152" fillId="0" borderId="42" applyNumberFormat="0" applyAlignment="0">
      <alignment vertical="center"/>
    </xf>
    <xf numFmtId="168" fontId="152" fillId="0" borderId="43" applyNumberFormat="0" applyAlignment="0"/>
    <xf numFmtId="3" fontId="32" fillId="0" borderId="42" applyNumberFormat="0" applyAlignment="0">
      <alignment vertical="center"/>
    </xf>
    <xf numFmtId="3" fontId="152" fillId="0" borderId="42" applyNumberFormat="0" applyAlignment="0">
      <alignment vertical="center"/>
    </xf>
    <xf numFmtId="244" fontId="72" fillId="0" borderId="0" applyFill="0" applyBorder="0">
      <alignment horizontal="right"/>
      <protection locked="0"/>
    </xf>
    <xf numFmtId="168" fontId="153" fillId="0" borderId="0"/>
    <xf numFmtId="168" fontId="153" fillId="0" borderId="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172" fontId="46" fillId="0" borderId="0" applyFont="0" applyFill="0" applyBorder="0" applyAlignment="0" applyProtection="0"/>
    <xf numFmtId="212" fontId="40" fillId="0" borderId="0" applyFont="0" applyFill="0" applyBorder="0" applyAlignment="0" applyProtection="0"/>
    <xf numFmtId="212" fontId="40" fillId="0" borderId="0" applyFont="0" applyFill="0" applyBorder="0" applyAlignment="0" applyProtection="0"/>
    <xf numFmtId="213" fontId="40" fillId="0" borderId="0" applyFont="0" applyFill="0" applyBorder="0" applyAlignment="0" applyProtection="0"/>
    <xf numFmtId="213" fontId="40" fillId="0" borderId="0" applyFont="0" applyFill="0" applyBorder="0" applyAlignment="0" applyProtection="0"/>
    <xf numFmtId="246" fontId="43" fillId="0" borderId="0" applyFont="0" applyFill="0" applyBorder="0" applyAlignment="0" applyProtection="0"/>
    <xf numFmtId="247" fontId="154" fillId="0" borderId="0" applyFont="0" applyFill="0" applyBorder="0" applyProtection="0">
      <alignment horizontal="right"/>
    </xf>
    <xf numFmtId="248" fontId="154" fillId="0" borderId="0" applyFont="0" applyFill="0" applyBorder="0" applyProtection="0">
      <alignment horizontal="right"/>
    </xf>
    <xf numFmtId="168" fontId="138" fillId="0" borderId="0" applyFont="0" applyFill="0" applyBorder="0" applyAlignment="0" applyProtection="0">
      <alignment horizontal="right"/>
    </xf>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3"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251" fontId="67" fillId="0" borderId="0" applyFont="0" applyFill="0" applyBorder="0" applyAlignment="0" applyProtection="0"/>
    <xf numFmtId="251" fontId="67"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3"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68" fontId="138" fillId="0" borderId="0" applyFont="0" applyFill="0" applyBorder="0" applyAlignment="0" applyProtection="0">
      <alignment horizontal="right"/>
    </xf>
    <xf numFmtId="195" fontId="37" fillId="0" borderId="0" applyFont="0" applyFill="0" applyBorder="0" applyAlignment="0" applyProtection="0"/>
    <xf numFmtId="183" fontId="37" fillId="0" borderId="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37" fontId="155" fillId="0" borderId="44" applyFont="0" applyFill="0" applyBorder="0"/>
    <xf numFmtId="37" fontId="90" fillId="0" borderId="44" applyFont="0" applyFill="0" applyBorder="0">
      <protection locked="0"/>
    </xf>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90" fillId="0" borderId="44" applyFill="0" applyBorder="0">
      <protection locked="0"/>
    </xf>
    <xf numFmtId="252" fontId="72" fillId="0" borderId="0" applyNumberFormat="0" applyFont="0" applyFill="0" applyBorder="0" applyAlignment="0" applyProtection="0">
      <alignment vertical="top"/>
    </xf>
    <xf numFmtId="253" fontId="142" fillId="0" borderId="0" applyFont="0" applyFill="0" applyBorder="0" applyAlignment="0" applyProtection="0"/>
    <xf numFmtId="253" fontId="142" fillId="0" borderId="0" applyFont="0" applyFill="0" applyBorder="0" applyAlignment="0" applyProtection="0"/>
    <xf numFmtId="253" fontId="142"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2" fontId="40" fillId="0" borderId="0" applyFont="0" applyFill="0" applyBorder="0" applyAlignment="0" applyProtection="0"/>
    <xf numFmtId="252" fontId="40" fillId="0"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01" fontId="116" fillId="9" borderId="45" applyNumberFormat="0" applyBorder="0" applyProtection="0">
      <alignment horizontal="right"/>
    </xf>
    <xf numFmtId="0" fontId="72" fillId="0" borderId="0" applyFont="0" applyFill="0" applyBorder="0" applyAlignment="0">
      <protection locked="0"/>
    </xf>
    <xf numFmtId="0" fontId="157" fillId="10" borderId="46" applyNumberFormat="0" applyFont="0" applyBorder="0" applyAlignment="0" applyProtection="0"/>
    <xf numFmtId="0" fontId="37" fillId="0" borderId="0"/>
    <xf numFmtId="0" fontId="62" fillId="0" borderId="0" applyFont="0" applyFill="0" applyBorder="0" applyAlignment="0" applyProtection="0"/>
    <xf numFmtId="168" fontId="53" fillId="43" borderId="0"/>
    <xf numFmtId="168" fontId="107" fillId="59" borderId="0"/>
    <xf numFmtId="15" fontId="32" fillId="0" borderId="0"/>
    <xf numFmtId="15" fontId="158" fillId="0" borderId="0"/>
    <xf numFmtId="15" fontId="32" fillId="0" borderId="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68" fontId="138" fillId="0" borderId="0" applyFont="0" applyFill="0" applyBorder="0" applyAlignment="0" applyProtection="0"/>
    <xf numFmtId="15" fontId="159" fillId="0" borderId="47" applyFont="0" applyFill="0" applyBorder="0" applyAlignment="0">
      <alignment horizontal="centerContinuous"/>
    </xf>
    <xf numFmtId="256" fontId="159" fillId="0" borderId="47" applyFont="0" applyFill="0" applyBorder="0" applyAlignment="0">
      <alignment horizontal="centerContinuous"/>
    </xf>
    <xf numFmtId="14" fontId="125" fillId="0" borderId="0" applyFill="0" applyBorder="0" applyAlignment="0"/>
    <xf numFmtId="168" fontId="37" fillId="11" borderId="0" applyFont="0" applyFill="0" applyBorder="0" applyAlignment="0" applyProtection="0"/>
    <xf numFmtId="257" fontId="103" fillId="0" borderId="0" applyFill="0" applyBorder="0" applyProtection="0"/>
    <xf numFmtId="14" fontId="103" fillId="0" borderId="0" applyFill="0" applyBorder="0" applyProtection="0"/>
    <xf numFmtId="258"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7" fontId="37" fillId="7" borderId="7">
      <alignment horizontal="center"/>
    </xf>
    <xf numFmtId="15" fontId="120" fillId="0" borderId="0">
      <alignment vertical="center"/>
    </xf>
    <xf numFmtId="259" fontId="37" fillId="0" borderId="0" applyFont="0" applyFill="0" applyBorder="0" applyAlignment="0" applyProtection="0">
      <alignment wrapText="1"/>
    </xf>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0" applyFill="0" applyBorder="0" applyProtection="0"/>
    <xf numFmtId="168" fontId="71" fillId="0" borderId="0">
      <alignment horizontal="right"/>
    </xf>
    <xf numFmtId="168" fontId="71" fillId="0" borderId="0">
      <alignment horizontal="right"/>
      <protection locked="0"/>
    </xf>
    <xf numFmtId="168" fontId="71" fillId="0" borderId="0"/>
    <xf numFmtId="168" fontId="71" fillId="0" borderId="0">
      <alignment horizontal="right"/>
      <protection locked="0"/>
    </xf>
    <xf numFmtId="260" fontId="71" fillId="0" borderId="0"/>
    <xf numFmtId="38" fontId="48" fillId="0" borderId="0" applyFont="0" applyFill="0" applyBorder="0" applyAlignment="0" applyProtection="0"/>
    <xf numFmtId="0" fontId="54" fillId="0" borderId="0" applyNumberFormat="0" applyFill="0" applyBorder="0" applyAlignment="0" applyProtection="0"/>
    <xf numFmtId="38" fontId="72" fillId="0" borderId="48">
      <alignment vertical="center"/>
    </xf>
    <xf numFmtId="261" fontId="104" fillId="60" borderId="0" applyNumberFormat="0" applyBorder="0" applyAlignment="0" applyProtection="0"/>
    <xf numFmtId="262" fontId="37" fillId="0" borderId="0" applyFont="0" applyFill="0" applyBorder="0" applyAlignment="0" applyProtection="0"/>
    <xf numFmtId="238" fontId="37" fillId="0" borderId="0" applyFont="0" applyFill="0" applyBorder="0" applyAlignment="0" applyProtection="0"/>
    <xf numFmtId="0" fontId="45" fillId="0" borderId="0">
      <protection locked="0"/>
    </xf>
    <xf numFmtId="263" fontId="160" fillId="0" borderId="0">
      <alignment horizontal="left"/>
    </xf>
    <xf numFmtId="227" fontId="161" fillId="0" borderId="0"/>
    <xf numFmtId="264" fontId="43" fillId="0" borderId="0" applyFont="0" applyFill="0" applyBorder="0" applyAlignment="0" applyProtection="0"/>
    <xf numFmtId="201" fontId="162" fillId="0" borderId="0">
      <alignment horizontal="center"/>
    </xf>
    <xf numFmtId="201" fontId="162" fillId="0" borderId="0">
      <alignment horizontal="center"/>
    </xf>
    <xf numFmtId="201" fontId="162" fillId="0" borderId="0">
      <alignment horizontal="center"/>
    </xf>
    <xf numFmtId="168" fontId="138" fillId="0" borderId="49" applyNumberFormat="0" applyFont="0" applyFill="0" applyAlignment="0" applyProtection="0"/>
    <xf numFmtId="168" fontId="163" fillId="0" borderId="0" applyFill="0" applyBorder="0" applyAlignment="0" applyProtection="0"/>
    <xf numFmtId="168" fontId="71" fillId="0" borderId="0"/>
    <xf numFmtId="38" fontId="72" fillId="0" borderId="0" applyFont="0" applyFill="0" applyBorder="0" applyAlignment="0" applyProtection="0"/>
    <xf numFmtId="168" fontId="164" fillId="0" borderId="0" applyFont="0" applyFill="0" applyBorder="0" applyAlignment="0" applyProtection="0"/>
    <xf numFmtId="168" fontId="165" fillId="0" borderId="0" applyNumberFormat="0" applyFill="0" applyBorder="0" applyAlignment="0" applyProtection="0"/>
    <xf numFmtId="3" fontId="37" fillId="0" borderId="12"/>
    <xf numFmtId="3" fontId="37" fillId="0" borderId="12"/>
    <xf numFmtId="3" fontId="37" fillId="0" borderId="12"/>
    <xf numFmtId="38" fontId="32" fillId="0" borderId="0">
      <alignment vertical="top"/>
    </xf>
    <xf numFmtId="168" fontId="166" fillId="61" borderId="0" applyNumberFormat="0" applyBorder="0" applyAlignment="0" applyProtection="0"/>
    <xf numFmtId="168" fontId="166" fillId="62" borderId="0" applyNumberFormat="0" applyBorder="0" applyAlignment="0" applyProtection="0"/>
    <xf numFmtId="168" fontId="166" fillId="63" borderId="0" applyNumberFormat="0" applyBorder="0" applyAlignment="0" applyProtection="0"/>
    <xf numFmtId="0" fontId="65" fillId="0" borderId="0">
      <protection locked="0"/>
    </xf>
    <xf numFmtId="0" fontId="65" fillId="0" borderId="0">
      <protection locked="0"/>
    </xf>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6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168" fontId="168" fillId="0" borderId="0" applyNumberFormat="0" applyAlignment="0">
      <alignment horizontal="left"/>
    </xf>
    <xf numFmtId="178" fontId="169" fillId="0" borderId="0" applyFont="0" applyFill="0" applyBorder="0" applyAlignment="0" applyProtection="0"/>
    <xf numFmtId="178" fontId="20" fillId="0" borderId="0" applyFont="0" applyFill="0" applyBorder="0" applyAlignment="0" applyProtection="0">
      <alignment vertical="top"/>
    </xf>
    <xf numFmtId="168" fontId="62" fillId="0" borderId="0" applyFont="0" applyFill="0" applyBorder="0" applyAlignment="0" applyProtection="0"/>
    <xf numFmtId="168" fontId="62" fillId="0" borderId="0" applyFont="0" applyFill="0" applyBorder="0" applyAlignment="0" applyProtection="0"/>
    <xf numFmtId="168" fontId="62" fillId="0" borderId="0" applyFont="0" applyFill="0" applyBorder="0" applyAlignment="0" applyProtection="0"/>
    <xf numFmtId="168" fontId="37" fillId="0" borderId="0" applyFont="0" applyFill="0" applyBorder="0" applyAlignment="0" applyProtection="0"/>
    <xf numFmtId="178" fontId="46" fillId="0" borderId="0" applyFont="0" applyFill="0" applyBorder="0" applyAlignment="0" applyProtection="0"/>
    <xf numFmtId="168" fontId="46" fillId="0" borderId="0" applyFont="0" applyFill="0" applyBorder="0" applyAlignment="0" applyProtection="0"/>
    <xf numFmtId="265" fontId="170" fillId="0" borderId="0" applyBorder="0" applyProtection="0"/>
    <xf numFmtId="265" fontId="171" fillId="0" borderId="0" applyBorder="0" applyProtection="0"/>
    <xf numFmtId="0" fontId="17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3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49" fontId="110" fillId="0" borderId="0" applyNumberFormat="0" applyFill="0" applyBorder="0" applyProtection="0">
      <alignment horizontal="center" vertical="top"/>
    </xf>
    <xf numFmtId="266" fontId="174" fillId="0" borderId="0" applyBorder="0">
      <alignment horizontal="right" vertical="top"/>
    </xf>
    <xf numFmtId="267" fontId="110" fillId="0" borderId="0" applyBorder="0">
      <alignment horizontal="right" vertical="top"/>
    </xf>
    <xf numFmtId="267" fontId="174" fillId="0" borderId="0" applyBorder="0">
      <alignment horizontal="right" vertical="top"/>
    </xf>
    <xf numFmtId="268" fontId="110" fillId="0" borderId="0" applyFill="0" applyBorder="0">
      <alignment horizontal="right" vertical="top"/>
    </xf>
    <xf numFmtId="269" fontId="110" fillId="0" borderId="0" applyFill="0" applyBorder="0">
      <alignment horizontal="right" vertical="top"/>
    </xf>
    <xf numFmtId="270" fontId="110" fillId="0" borderId="0" applyFill="0" applyBorder="0">
      <alignment horizontal="right" vertical="top"/>
    </xf>
    <xf numFmtId="271" fontId="110" fillId="0" borderId="0" applyFill="0" applyBorder="0">
      <alignment horizontal="right" vertical="top"/>
    </xf>
    <xf numFmtId="168" fontId="175" fillId="0" borderId="0">
      <alignment horizontal="left"/>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168" fontId="177" fillId="0" borderId="0">
      <alignment vertical="center"/>
    </xf>
    <xf numFmtId="273" fontId="177" fillId="0" borderId="0">
      <alignment horizontal="left" vertical="center"/>
    </xf>
    <xf numFmtId="274" fontId="178" fillId="0" borderId="0">
      <alignment vertical="center"/>
    </xf>
    <xf numFmtId="168" fontId="80" fillId="0" borderId="0">
      <alignment vertical="center"/>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10" fillId="0" borderId="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73" fontId="99" fillId="0" borderId="0">
      <alignment horizontal="left" vertical="center"/>
    </xf>
    <xf numFmtId="272" fontId="99" fillId="0" borderId="0"/>
    <xf numFmtId="272" fontId="180" fillId="0" borderId="0"/>
    <xf numFmtId="272" fontId="181" fillId="0" borderId="0"/>
    <xf numFmtId="272" fontId="40" fillId="0" borderId="0"/>
    <xf numFmtId="272" fontId="182" fillId="0" borderId="0">
      <alignment horizontal="left" vertical="top"/>
    </xf>
    <xf numFmtId="168" fontId="110" fillId="0" borderId="0" applyFill="0" applyBorder="0">
      <alignment horizontal="left" vertical="top" wrapText="1"/>
    </xf>
    <xf numFmtId="168" fontId="183" fillId="0" borderId="0">
      <alignment horizontal="left" vertical="top" wrapText="1"/>
    </xf>
    <xf numFmtId="168" fontId="184" fillId="0" borderId="0">
      <alignment horizontal="left" vertical="top" wrapText="1"/>
    </xf>
    <xf numFmtId="168" fontId="174" fillId="0" borderId="0">
      <alignment horizontal="left" vertical="top" wrapText="1"/>
    </xf>
    <xf numFmtId="275" fontId="37" fillId="0" borderId="0" applyFont="0" applyFill="0" applyBorder="0" applyAlignment="0" applyProtection="0"/>
    <xf numFmtId="276" fontId="37" fillId="0" borderId="0" applyFont="0" applyFill="0" applyBorder="0" applyAlignment="0" applyProtection="0"/>
    <xf numFmtId="190" fontId="185" fillId="0" borderId="0" applyFill="0" applyBorder="0" applyAlignment="0" applyProtection="0"/>
    <xf numFmtId="168" fontId="45" fillId="0" borderId="0">
      <protection locked="0"/>
    </xf>
    <xf numFmtId="190" fontId="57" fillId="0" borderId="0" applyFill="0" applyBorder="0" applyAlignment="0" applyProtection="0"/>
    <xf numFmtId="190" fontId="57" fillId="0" borderId="0" applyFill="0" applyBorder="0" applyAlignment="0" applyProtection="0"/>
    <xf numFmtId="168" fontId="45" fillId="0" borderId="0">
      <protection locked="0"/>
    </xf>
    <xf numFmtId="190" fontId="186" fillId="0" borderId="0" applyFill="0" applyBorder="0" applyAlignment="0" applyProtection="0"/>
    <xf numFmtId="168" fontId="187" fillId="0" borderId="0">
      <protection locked="0"/>
    </xf>
    <xf numFmtId="190" fontId="188" fillId="0" borderId="0" applyFill="0" applyBorder="0" applyAlignment="0" applyProtection="0"/>
    <xf numFmtId="168" fontId="45" fillId="0" borderId="0">
      <protection locked="0"/>
    </xf>
    <xf numFmtId="190" fontId="189" fillId="0" borderId="0" applyFill="0" applyBorder="0" applyAlignment="0" applyProtection="0"/>
    <xf numFmtId="168" fontId="45" fillId="0" borderId="0">
      <protection locked="0"/>
    </xf>
    <xf numFmtId="190" fontId="190" fillId="0" borderId="0" applyFill="0" applyBorder="0" applyAlignment="0" applyProtection="0"/>
    <xf numFmtId="168" fontId="45" fillId="0" borderId="0">
      <protection locked="0"/>
    </xf>
    <xf numFmtId="190" fontId="191" fillId="0" borderId="0" applyFill="0" applyBorder="0" applyAlignment="0" applyProtection="0"/>
    <xf numFmtId="168" fontId="45" fillId="0" borderId="0">
      <protection locked="0"/>
    </xf>
    <xf numFmtId="277" fontId="40" fillId="0" borderId="0" applyFont="0" applyFill="0" applyBorder="0" applyAlignment="0" applyProtection="0"/>
    <xf numFmtId="168" fontId="32" fillId="0" borderId="0"/>
    <xf numFmtId="191" fontId="192" fillId="0" borderId="0"/>
    <xf numFmtId="191" fontId="193" fillId="0" borderId="0"/>
    <xf numFmtId="191" fontId="192" fillId="0" borderId="0"/>
    <xf numFmtId="191" fontId="192" fillId="0" borderId="0"/>
    <xf numFmtId="191" fontId="192" fillId="0" borderId="0"/>
    <xf numFmtId="168" fontId="32" fillId="0" borderId="0"/>
    <xf numFmtId="191" fontId="192" fillId="0" borderId="0"/>
    <xf numFmtId="0" fontId="45" fillId="0" borderId="0">
      <protection locked="0"/>
    </xf>
    <xf numFmtId="0" fontId="45" fillId="0" borderId="0">
      <protection locked="0"/>
    </xf>
    <xf numFmtId="2" fontId="142" fillId="0" borderId="0" applyFont="0" applyFill="0" applyBorder="0" applyAlignment="0" applyProtection="0"/>
    <xf numFmtId="2" fontId="142" fillId="0" borderId="0" applyFont="0" applyFill="0" applyBorder="0" applyAlignment="0" applyProtection="0"/>
    <xf numFmtId="2" fontId="142"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40" fillId="0" borderId="0" applyFont="0" applyFill="0" applyBorder="0" applyAlignment="0" applyProtection="0"/>
    <xf numFmtId="2" fontId="40" fillId="0"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0" fontId="37" fillId="0" borderId="0"/>
    <xf numFmtId="15" fontId="37" fillId="0" borderId="0">
      <alignment vertical="center"/>
    </xf>
    <xf numFmtId="168" fontId="194" fillId="0" borderId="0" applyFill="0" applyBorder="0" applyProtection="0">
      <alignment horizontal="left"/>
    </xf>
    <xf numFmtId="0" fontId="37" fillId="0" borderId="0" applyNumberFormat="0" applyFont="0">
      <alignment wrapText="1"/>
    </xf>
    <xf numFmtId="168" fontId="32" fillId="0" borderId="0"/>
    <xf numFmtId="168" fontId="195" fillId="0" borderId="0"/>
    <xf numFmtId="168" fontId="32" fillId="0" borderId="0"/>
    <xf numFmtId="0" fontId="195" fillId="0" borderId="0"/>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49" fontId="197" fillId="0" borderId="0">
      <alignment horizontal="left"/>
    </xf>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235" fontId="119" fillId="0" borderId="0" applyFill="0" applyBorder="0"/>
    <xf numFmtId="168" fontId="40" fillId="0" borderId="0" applyNumberFormat="0" applyFont="0" applyBorder="0" applyAlignment="0"/>
    <xf numFmtId="228" fontId="119" fillId="0" borderId="30" applyFill="0" applyBorder="0"/>
    <xf numFmtId="241" fontId="119" fillId="0" borderId="0" applyFill="0" applyBorder="0"/>
    <xf numFmtId="0" fontId="199"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32"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235" fontId="201" fillId="0" borderId="0" applyNumberFormat="0" applyFill="0" applyBorder="0" applyAlignment="0" applyProtection="0">
      <alignment horizontal="center"/>
    </xf>
    <xf numFmtId="38" fontId="120" fillId="7" borderId="0" applyNumberFormat="0" applyBorder="0" applyAlignment="0" applyProtection="0"/>
    <xf numFmtId="0" fontId="202" fillId="0" borderId="0" applyNumberFormat="0">
      <alignment horizontal="right"/>
    </xf>
    <xf numFmtId="0" fontId="203" fillId="0" borderId="0" applyNumberFormat="0">
      <alignment horizontal="right"/>
    </xf>
    <xf numFmtId="0" fontId="203" fillId="0" borderId="0" applyNumberFormat="0">
      <alignment horizontal="left"/>
    </xf>
    <xf numFmtId="0" fontId="202" fillId="0" borderId="0" applyNumberFormat="0">
      <alignment horizontal="left"/>
    </xf>
    <xf numFmtId="0" fontId="204" fillId="0" borderId="0" applyNumberFormat="0">
      <alignment horizontal="left" vertical="top"/>
    </xf>
    <xf numFmtId="167" fontId="40" fillId="8" borderId="12" applyNumberFormat="0" applyFont="0" applyBorder="0" applyAlignment="0" applyProtection="0"/>
    <xf numFmtId="167" fontId="40" fillId="8" borderId="12" applyNumberFormat="0" applyFont="0" applyBorder="0" applyAlignment="0" applyProtection="0"/>
    <xf numFmtId="167" fontId="40" fillId="8" borderId="12" applyNumberFormat="0" applyFont="0" applyBorder="0" applyAlignment="0" applyProtection="0"/>
    <xf numFmtId="172" fontId="205" fillId="0" borderId="0">
      <alignment vertical="center"/>
    </xf>
    <xf numFmtId="168" fontId="138" fillId="0" borderId="0" applyFont="0" applyFill="0" applyBorder="0" applyAlignment="0" applyProtection="0">
      <alignment horizontal="right"/>
    </xf>
    <xf numFmtId="172" fontId="206" fillId="8" borderId="0" applyNumberFormat="0" applyFont="0" applyAlignment="0"/>
    <xf numFmtId="168" fontId="207" fillId="0" borderId="0" applyProtection="0">
      <alignment horizontal="right"/>
    </xf>
    <xf numFmtId="168" fontId="208" fillId="0" borderId="51" applyNumberFormat="0" applyAlignment="0" applyProtection="0">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4" fontId="104" fillId="52" borderId="7">
      <alignment horizontal="center" vertical="center" wrapText="1"/>
    </xf>
    <xf numFmtId="0" fontId="209" fillId="0" borderId="52" applyNumberFormat="0" applyFill="0" applyAlignment="0" applyProtection="0"/>
    <xf numFmtId="0" fontId="210" fillId="0" borderId="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83" fillId="0" borderId="0"/>
    <xf numFmtId="168" fontId="212" fillId="0" borderId="1"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2" fillId="0" borderId="1" applyNumberFormat="0" applyFill="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32"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6" fillId="0" borderId="2"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6" fillId="0" borderId="2" applyNumberFormat="0" applyFill="0" applyAlignment="0" applyProtection="0"/>
    <xf numFmtId="168" fontId="217" fillId="0" borderId="0" applyNumberFormat="0" applyFill="0" applyBorder="0" applyAlignment="0" applyProtection="0"/>
    <xf numFmtId="168" fontId="2" fillId="0" borderId="2" applyNumberFormat="0" applyFill="0" applyAlignment="0" applyProtection="0"/>
    <xf numFmtId="168" fontId="218" fillId="0" borderId="53" applyNumberFormat="0" applyFill="0" applyAlignment="0" applyProtection="0"/>
    <xf numFmtId="168" fontId="32"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7" fillId="0" borderId="0" applyNumberFormat="0" applyFill="0" applyBorder="0" applyAlignment="0" applyProtection="0"/>
    <xf numFmtId="168" fontId="218"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1" fillId="0" borderId="3"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21" fillId="0" borderId="3" applyNumberFormat="0" applyFill="0" applyAlignment="0" applyProtection="0"/>
    <xf numFmtId="168" fontId="220" fillId="0" borderId="54" applyNumberFormat="0" applyFill="0" applyAlignment="0" applyProtection="0"/>
    <xf numFmtId="168" fontId="32"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1"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0" fontId="221" fillId="0" borderId="0" applyNumberFormat="0" applyFill="0" applyBorder="0" applyAlignment="0" applyProtection="0"/>
    <xf numFmtId="168" fontId="220" fillId="0" borderId="0" applyNumberFormat="0" applyFill="0" applyBorder="0" applyAlignment="0" applyProtection="0"/>
    <xf numFmtId="168" fontId="32"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99" fillId="0" borderId="0"/>
    <xf numFmtId="37" fontId="222" fillId="0" borderId="0"/>
    <xf numFmtId="168" fontId="131" fillId="0" borderId="0" applyFill="0" applyAlignment="0" applyProtection="0">
      <protection locked="0"/>
    </xf>
    <xf numFmtId="168" fontId="131" fillId="0" borderId="31" applyFill="0" applyAlignment="0" applyProtection="0">
      <protection locked="0"/>
    </xf>
    <xf numFmtId="0" fontId="223" fillId="0" borderId="0">
      <alignment horizontal="center"/>
    </xf>
    <xf numFmtId="0" fontId="224" fillId="0" borderId="0"/>
    <xf numFmtId="0" fontId="224" fillId="0" borderId="0"/>
    <xf numFmtId="0" fontId="224" fillId="0" borderId="0"/>
    <xf numFmtId="38" fontId="32" fillId="0" borderId="0">
      <alignment vertical="top"/>
    </xf>
    <xf numFmtId="0" fontId="186" fillId="0" borderId="0"/>
    <xf numFmtId="0" fontId="225" fillId="0" borderId="0"/>
    <xf numFmtId="0" fontId="131" fillId="0" borderId="0"/>
    <xf numFmtId="0" fontId="162" fillId="0" borderId="0"/>
    <xf numFmtId="168" fontId="226" fillId="0" borderId="55" applyNumberFormat="0" applyFill="0" applyBorder="0" applyAlignment="0" applyProtection="0">
      <alignment horizontal="left"/>
    </xf>
    <xf numFmtId="0" fontId="37" fillId="0" borderId="0"/>
    <xf numFmtId="0" fontId="37" fillId="0" borderId="0"/>
    <xf numFmtId="0" fontId="104" fillId="66" borderId="12">
      <alignment horizontal="center" vertical="center" wrapText="1"/>
      <protection locked="0"/>
    </xf>
    <xf numFmtId="176" fontId="227" fillId="11" borderId="0" applyNumberFormat="0" applyBorder="0" applyAlignment="0" applyProtection="0">
      <protection locked="0"/>
    </xf>
    <xf numFmtId="0" fontId="37" fillId="0" borderId="0">
      <alignment horizontal="center"/>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0" fontId="230" fillId="0" borderId="0" applyFont="0" applyFill="0" applyBorder="0" applyAlignment="0" applyProtection="0"/>
    <xf numFmtId="168" fontId="32" fillId="0" borderId="0"/>
    <xf numFmtId="201" fontId="53" fillId="0" borderId="0"/>
    <xf numFmtId="168" fontId="231" fillId="0" borderId="0"/>
    <xf numFmtId="278" fontId="232" fillId="0" borderId="0" applyFont="0" applyFill="0" applyBorder="0" applyAlignment="0" applyProtection="0"/>
    <xf numFmtId="2" fontId="233" fillId="0" borderId="0"/>
    <xf numFmtId="0" fontId="234" fillId="0" borderId="0" applyNumberFormat="0" applyFill="0" applyBorder="0" applyAlignment="0" applyProtection="0">
      <alignment vertical="top"/>
      <protection locked="0"/>
    </xf>
    <xf numFmtId="0" fontId="235" fillId="23" borderId="35" applyNumberFormat="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80" fontId="238" fillId="10" borderId="0" applyProtection="0">
      <alignment horizontal="right" vertical="center"/>
      <protection locked="0"/>
    </xf>
    <xf numFmtId="10" fontId="239" fillId="0" borderId="0">
      <protection locked="0"/>
    </xf>
    <xf numFmtId="281" fontId="240" fillId="0" borderId="0" applyFill="0" applyBorder="0" applyProtection="0"/>
    <xf numFmtId="282" fontId="240" fillId="0" borderId="0" applyFill="0" applyBorder="0" applyProtection="0"/>
    <xf numFmtId="283" fontId="240" fillId="0" borderId="0" applyFill="0" applyBorder="0" applyProtection="0"/>
    <xf numFmtId="37" fontId="140" fillId="68" borderId="0">
      <protection locked="0"/>
    </xf>
    <xf numFmtId="0" fontId="167" fillId="0" borderId="0" applyNumberFormat="0" applyFill="0" applyBorder="0" applyAlignment="0">
      <protection locked="0"/>
    </xf>
    <xf numFmtId="15" fontId="239" fillId="0" borderId="0">
      <protection locked="0"/>
    </xf>
    <xf numFmtId="2" fontId="239" fillId="0" borderId="36">
      <protection locked="0"/>
    </xf>
    <xf numFmtId="284" fontId="241" fillId="67" borderId="0" applyNumberFormat="0" applyFont="0" applyBorder="0" applyAlignment="0">
      <alignment horizontal="right"/>
      <protection locked="0"/>
    </xf>
    <xf numFmtId="175" fontId="41" fillId="0" borderId="0">
      <alignment vertical="top"/>
    </xf>
    <xf numFmtId="175" fontId="41" fillId="7" borderId="0">
      <alignment vertical="top"/>
    </xf>
    <xf numFmtId="285" fontId="41" fillId="8" borderId="0">
      <alignment vertical="top"/>
    </xf>
    <xf numFmtId="0" fontId="239" fillId="0" borderId="0">
      <protection locked="0"/>
    </xf>
    <xf numFmtId="3" fontId="70" fillId="0" borderId="0"/>
    <xf numFmtId="168" fontId="242" fillId="69" borderId="0" applyNumberFormat="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168" fontId="244" fillId="0" borderId="0" applyNumberFormat="0" applyFill="0" applyBorder="0" applyAlignment="0" applyProtection="0">
      <alignment vertical="top"/>
      <protection locked="0"/>
    </xf>
    <xf numFmtId="168" fontId="245" fillId="0" borderId="0">
      <alignment vertical="center"/>
    </xf>
    <xf numFmtId="168" fontId="245" fillId="0" borderId="0">
      <alignment vertical="center"/>
    </xf>
    <xf numFmtId="168" fontId="245" fillId="0" borderId="0">
      <alignment vertical="center"/>
    </xf>
    <xf numFmtId="167" fontId="246" fillId="0" borderId="0" applyFill="0" applyBorder="0" applyProtection="0">
      <alignment vertical="top"/>
    </xf>
    <xf numFmtId="287" fontId="72" fillId="0" borderId="0" applyFill="0" applyBorder="0">
      <alignment horizontal="right"/>
      <protection locked="0"/>
    </xf>
    <xf numFmtId="0" fontId="247" fillId="70" borderId="57">
      <alignment horizontal="left" vertical="center" wrapText="1"/>
    </xf>
    <xf numFmtId="0" fontId="247" fillId="70" borderId="57">
      <alignment horizontal="left" vertical="center" wrapText="1"/>
    </xf>
    <xf numFmtId="3" fontId="248" fillId="71" borderId="57">
      <protection locked="0"/>
    </xf>
    <xf numFmtId="3" fontId="248" fillId="71" borderId="57">
      <protection locked="0"/>
    </xf>
    <xf numFmtId="164" fontId="249" fillId="72" borderId="57">
      <alignment horizontal="left"/>
      <protection locked="0"/>
    </xf>
    <xf numFmtId="164" fontId="249" fillId="72" borderId="57">
      <alignment horizontal="left"/>
      <protection locked="0"/>
    </xf>
    <xf numFmtId="288" fontId="249" fillId="72" borderId="57">
      <protection locked="0"/>
    </xf>
    <xf numFmtId="288" fontId="249" fillId="72" borderId="57">
      <protection locked="0"/>
    </xf>
    <xf numFmtId="0" fontId="249" fillId="72" borderId="57">
      <alignment horizontal="center"/>
      <protection locked="0"/>
    </xf>
    <xf numFmtId="0" fontId="249" fillId="72" borderId="57">
      <alignment horizontal="center"/>
      <protection locked="0"/>
    </xf>
    <xf numFmtId="198" fontId="37" fillId="73" borderId="12">
      <alignment vertical="center"/>
    </xf>
    <xf numFmtId="289" fontId="40" fillId="0" borderId="0"/>
    <xf numFmtId="289" fontId="40" fillId="0" borderId="0"/>
    <xf numFmtId="290" fontId="40" fillId="0" borderId="0"/>
    <xf numFmtId="290" fontId="40" fillId="0" borderId="0"/>
    <xf numFmtId="291" fontId="37" fillId="0" borderId="0" applyFont="0" applyFill="0" applyBorder="0" applyAlignment="0" applyProtection="0"/>
    <xf numFmtId="292" fontId="37" fillId="0" borderId="0" applyFont="0" applyFill="0" applyBorder="0" applyAlignment="0" applyProtection="0"/>
    <xf numFmtId="38" fontId="250" fillId="0" borderId="0"/>
    <xf numFmtId="38" fontId="251" fillId="0" borderId="0"/>
    <xf numFmtId="38" fontId="252" fillId="0" borderId="0"/>
    <xf numFmtId="38" fontId="253" fillId="0" borderId="0"/>
    <xf numFmtId="168" fontId="254" fillId="0" borderId="0"/>
    <xf numFmtId="168" fontId="254" fillId="0" borderId="0"/>
    <xf numFmtId="168" fontId="40" fillId="0" borderId="0">
      <alignment horizontal="left"/>
    </xf>
    <xf numFmtId="168" fontId="40" fillId="0" borderId="0">
      <alignment horizontal="left"/>
    </xf>
    <xf numFmtId="196" fontId="255" fillId="74" borderId="58" applyBorder="0" applyAlignment="0">
      <alignment horizontal="left" indent="1"/>
    </xf>
    <xf numFmtId="168" fontId="229" fillId="0" borderId="0" applyNumberFormat="0" applyFill="0" applyBorder="0" applyAlignment="0" applyProtection="0">
      <alignment vertical="top"/>
      <protection locked="0"/>
    </xf>
    <xf numFmtId="197" fontId="57" fillId="0" borderId="0" applyFill="0" applyBorder="0" applyAlignment="0" applyProtection="0"/>
    <xf numFmtId="198" fontId="256" fillId="0" borderId="36" applyNumberFormat="0" applyFill="0" applyBorder="0" applyAlignment="0" applyProtection="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5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0" fontId="258"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32"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70" fontId="103" fillId="0" borderId="0"/>
    <xf numFmtId="0" fontId="46" fillId="0" borderId="0"/>
    <xf numFmtId="168" fontId="99" fillId="0" borderId="0"/>
    <xf numFmtId="167" fontId="260" fillId="0" borderId="0"/>
    <xf numFmtId="0" fontId="37" fillId="0" borderId="0">
      <alignment horizontal="center"/>
    </xf>
    <xf numFmtId="201" fontId="261" fillId="0" borderId="60" applyFill="0" applyBorder="0">
      <alignment horizontal="left"/>
    </xf>
    <xf numFmtId="0" fontId="37" fillId="0" borderId="0" applyFont="0" applyFill="0" applyBorder="0" applyAlignment="0" applyProtection="0"/>
    <xf numFmtId="0" fontId="37" fillId="0" borderId="0" applyFont="0" applyFill="0" applyBorder="0" applyAlignment="0" applyProtection="0"/>
    <xf numFmtId="293" fontId="37" fillId="0" borderId="0" applyFont="0" applyFill="0" applyBorder="0" applyAlignment="0" applyProtection="0"/>
    <xf numFmtId="294" fontId="37" fillId="0" borderId="0" applyFont="0" applyFill="0" applyBorder="0" applyAlignment="0" applyProtection="0"/>
    <xf numFmtId="168" fontId="32" fillId="0" borderId="0" applyFont="0" applyFill="0" applyBorder="0" applyAlignment="0" applyProtection="0"/>
    <xf numFmtId="295" fontId="40" fillId="0" borderId="0" applyFont="0" applyFill="0" applyBorder="0" applyAlignment="0" applyProtection="0"/>
    <xf numFmtId="168" fontId="32" fillId="0" borderId="0" applyFont="0" applyFill="0" applyBorder="0" applyAlignment="0" applyProtection="0"/>
    <xf numFmtId="2" fontId="70" fillId="0" borderId="61" applyFont="0" applyFill="0" applyBorder="0" applyAlignment="0"/>
    <xf numFmtId="37" fontId="40" fillId="0" borderId="0" applyFont="0" applyFill="0" applyBorder="0" applyAlignment="0" applyProtection="0"/>
    <xf numFmtId="168" fontId="40" fillId="0" borderId="0" applyFont="0" applyFill="0" applyBorder="0" applyAlignment="0" applyProtection="0"/>
    <xf numFmtId="296" fontId="40" fillId="0" borderId="0" applyFont="0" applyFill="0" applyBorder="0" applyAlignment="0" applyProtection="0"/>
    <xf numFmtId="297" fontId="40" fillId="0" borderId="0" applyFont="0" applyFill="0" applyBorder="0" applyAlignment="0" applyProtection="0"/>
    <xf numFmtId="296" fontId="40"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298" fontId="37" fillId="0" borderId="0" applyFont="0" applyFill="0" applyBorder="0" applyAlignment="0" applyProtection="0"/>
    <xf numFmtId="299" fontId="37"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300" fontId="43" fillId="0" borderId="0" applyFont="0" applyFill="0" applyBorder="0" applyAlignment="0" applyProtection="0"/>
    <xf numFmtId="301" fontId="43" fillId="0" borderId="0" applyFont="0" applyFill="0" applyBorder="0" applyAlignment="0" applyProtection="0"/>
    <xf numFmtId="302" fontId="43" fillId="0" borderId="0" applyFont="0" applyFill="0" applyBorder="0" applyAlignment="0" applyProtection="0"/>
    <xf numFmtId="264" fontId="114" fillId="0" borderId="0" applyFont="0" applyFill="0" applyBorder="0" applyAlignment="0" applyProtection="0"/>
    <xf numFmtId="168" fontId="262" fillId="0" borderId="0">
      <alignment horizontal="left" vertical="center"/>
    </xf>
    <xf numFmtId="0" fontId="263"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0" borderId="0"/>
    <xf numFmtId="168" fontId="67" fillId="0" borderId="0"/>
    <xf numFmtId="168" fontId="32" fillId="0" borderId="0"/>
    <xf numFmtId="0" fontId="67" fillId="0" borderId="0"/>
    <xf numFmtId="37" fontId="265" fillId="0" borderId="0"/>
    <xf numFmtId="168" fontId="53" fillId="0" borderId="0"/>
    <xf numFmtId="1" fontId="266" fillId="0" borderId="0" applyProtection="0"/>
    <xf numFmtId="168" fontId="72" fillId="0" borderId="28"/>
    <xf numFmtId="168" fontId="72" fillId="0" borderId="28"/>
    <xf numFmtId="168" fontId="72" fillId="0" borderId="28"/>
    <xf numFmtId="168" fontId="32" fillId="0" borderId="0"/>
    <xf numFmtId="168" fontId="37" fillId="0" borderId="0"/>
    <xf numFmtId="168" fontId="267" fillId="0" borderId="0"/>
    <xf numFmtId="168" fontId="37" fillId="0" borderId="0"/>
    <xf numFmtId="303" fontId="40" fillId="0" borderId="0"/>
    <xf numFmtId="168" fontId="32" fillId="0" borderId="0"/>
    <xf numFmtId="0" fontId="267" fillId="0" borderId="0"/>
    <xf numFmtId="168" fontId="267" fillId="0" borderId="0"/>
    <xf numFmtId="168" fontId="153" fillId="0" borderId="0"/>
    <xf numFmtId="168" fontId="153"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40" fillId="0" borderId="0"/>
    <xf numFmtId="168" fontId="268"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125"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0" fontId="40" fillId="0" borderId="0"/>
    <xf numFmtId="168"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3"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84" fillId="0" borderId="0"/>
    <xf numFmtId="168" fontId="6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168" fontId="40"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7"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84" fillId="0" borderId="0"/>
    <xf numFmtId="0" fontId="84" fillId="0" borderId="0"/>
    <xf numFmtId="0" fontId="84" fillId="0" borderId="0"/>
    <xf numFmtId="0" fontId="40" fillId="0" borderId="0"/>
    <xf numFmtId="0" fontId="84" fillId="0" borderId="0"/>
    <xf numFmtId="168" fontId="32" fillId="0" borderId="0"/>
    <xf numFmtId="168" fontId="40" fillId="0" borderId="0"/>
    <xf numFmtId="0" fontId="1" fillId="0" borderId="0"/>
    <xf numFmtId="0" fontId="84" fillId="0" borderId="0"/>
    <xf numFmtId="168" fontId="32" fillId="0" borderId="0"/>
    <xf numFmtId="168" fontId="40" fillId="0" borderId="0"/>
    <xf numFmtId="0" fontId="32"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228" fontId="269" fillId="0" borderId="0"/>
    <xf numFmtId="228" fontId="269" fillId="0" borderId="0"/>
    <xf numFmtId="228" fontId="269"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0"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0" fontId="8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40" fillId="0" borderId="0"/>
    <xf numFmtId="168" fontId="32" fillId="0" borderId="0"/>
    <xf numFmtId="168" fontId="40" fillId="0" borderId="0"/>
    <xf numFmtId="228" fontId="37" fillId="0" borderId="0"/>
    <xf numFmtId="228" fontId="269" fillId="0" borderId="0"/>
    <xf numFmtId="228" fontId="269" fillId="0" borderId="0"/>
    <xf numFmtId="228" fontId="269" fillId="0" borderId="0"/>
    <xf numFmtId="228" fontId="269"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2" fillId="0" borderId="0"/>
    <xf numFmtId="168" fontId="32" fillId="0" borderId="0"/>
    <xf numFmtId="0" fontId="40" fillId="0" borderId="0" applyNumberFormat="0" applyFont="0" applyFill="0" applyBorder="0" applyAlignment="0" applyProtection="0"/>
    <xf numFmtId="0" fontId="100" fillId="0" borderId="0" applyProtection="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37" fillId="0" borderId="0"/>
    <xf numFmtId="228" fontId="37" fillId="0" borderId="0"/>
    <xf numFmtId="16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228" fontId="37" fillId="0" borderId="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1"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225" fillId="0" borderId="0" applyNumberFormat="0" applyFill="0" applyBorder="0" applyAlignment="0" applyProtection="0"/>
    <xf numFmtId="0" fontId="270" fillId="0" borderId="0" applyNumberFormat="0" applyFill="0" applyBorder="0" applyAlignment="0" applyProtection="0">
      <alignment vertical="top"/>
      <protection locked="0"/>
    </xf>
    <xf numFmtId="168" fontId="271" fillId="0" borderId="0"/>
    <xf numFmtId="168" fontId="40" fillId="0" borderId="0"/>
    <xf numFmtId="0" fontId="40" fillId="0" borderId="0"/>
    <xf numFmtId="168" fontId="84" fillId="0" borderId="0"/>
    <xf numFmtId="168" fontId="1" fillId="0" borderId="0"/>
    <xf numFmtId="168" fontId="84" fillId="0" borderId="0"/>
    <xf numFmtId="168" fontId="1"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40" fillId="0" borderId="0">
      <alignment vertical="center"/>
    </xf>
    <xf numFmtId="0" fontId="1" fillId="0" borderId="0"/>
    <xf numFmtId="168" fontId="1" fillId="0" borderId="0"/>
    <xf numFmtId="0" fontId="100" fillId="0" borderId="0" applyProtection="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0" fontId="225" fillId="0" borderId="0" applyNumberFormat="0" applyFill="0" applyBorder="0" applyAlignment="0" applyProtection="0"/>
    <xf numFmtId="228" fontId="40" fillId="0" borderId="0"/>
    <xf numFmtId="228" fontId="40" fillId="0" borderId="0"/>
    <xf numFmtId="168" fontId="40" fillId="0" borderId="0"/>
    <xf numFmtId="168" fontId="1" fillId="0" borderId="0"/>
    <xf numFmtId="168" fontId="40" fillId="0" borderId="0"/>
    <xf numFmtId="228" fontId="40" fillId="0" borderId="0"/>
    <xf numFmtId="0" fontId="100" fillId="0" borderId="0" applyProtection="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168" fontId="84" fillId="0" borderId="0"/>
    <xf numFmtId="168" fontId="83" fillId="0" borderId="0"/>
    <xf numFmtId="168" fontId="40" fillId="0" borderId="0"/>
    <xf numFmtId="168" fontId="83" fillId="0" borderId="0"/>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228" fontId="40" fillId="0" borderId="0"/>
    <xf numFmtId="168" fontId="84" fillId="0" borderId="0"/>
    <xf numFmtId="22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1" fillId="0" borderId="0"/>
    <xf numFmtId="168" fontId="82" fillId="0" borderId="0"/>
    <xf numFmtId="168" fontId="40" fillId="0" borderId="0"/>
    <xf numFmtId="168" fontId="84" fillId="0" borderId="0"/>
    <xf numFmtId="168" fontId="84" fillId="0" borderId="0"/>
    <xf numFmtId="168" fontId="84" fillId="0" borderId="0"/>
    <xf numFmtId="0" fontId="84" fillId="0" borderId="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32" fillId="0" borderId="0"/>
    <xf numFmtId="168" fontId="1"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1" fillId="0" borderId="0"/>
    <xf numFmtId="0" fontId="268" fillId="0" borderId="0"/>
    <xf numFmtId="168" fontId="1" fillId="0" borderId="0"/>
    <xf numFmtId="168" fontId="40" fillId="0" borderId="0"/>
    <xf numFmtId="168" fontId="37" fillId="0" borderId="0"/>
    <xf numFmtId="0" fontId="271"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2" fillId="0" borderId="0"/>
    <xf numFmtId="168" fontId="272" fillId="0" borderId="0"/>
    <xf numFmtId="168" fontId="272" fillId="0" borderId="0"/>
    <xf numFmtId="168" fontId="272" fillId="0" borderId="0"/>
    <xf numFmtId="0" fontId="120" fillId="0" borderId="0"/>
    <xf numFmtId="168" fontId="40" fillId="0" borderId="0"/>
    <xf numFmtId="168" fontId="120" fillId="0" borderId="0"/>
    <xf numFmtId="168" fontId="84" fillId="0" borderId="0"/>
    <xf numFmtId="168" fontId="84" fillId="0" borderId="0"/>
    <xf numFmtId="168" fontId="84" fillId="0" borderId="0"/>
    <xf numFmtId="168" fontId="84" fillId="0" borderId="0"/>
    <xf numFmtId="168" fontId="84" fillId="0" borderId="0"/>
    <xf numFmtId="168" fontId="272"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63" fillId="0" borderId="62"/>
    <xf numFmtId="168" fontId="273" fillId="0" borderId="0"/>
    <xf numFmtId="0" fontId="89" fillId="0" borderId="0"/>
    <xf numFmtId="168" fontId="89" fillId="0" borderId="0"/>
    <xf numFmtId="179" fontId="89" fillId="0" borderId="0"/>
    <xf numFmtId="168" fontId="274" fillId="0" borderId="0"/>
    <xf numFmtId="168" fontId="46" fillId="0" borderId="0"/>
    <xf numFmtId="168" fontId="275" fillId="0" borderId="0"/>
    <xf numFmtId="0" fontId="46" fillId="0" borderId="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32"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304" fontId="277" fillId="0" borderId="62"/>
    <xf numFmtId="304" fontId="278" fillId="0" borderId="62"/>
    <xf numFmtId="305" fontId="37" fillId="11" borderId="0"/>
    <xf numFmtId="306" fontId="279" fillId="0" borderId="0"/>
    <xf numFmtId="228" fontId="231" fillId="0" borderId="0" applyFont="0" applyFill="0" applyBorder="0" applyAlignment="0" applyProtection="0"/>
    <xf numFmtId="235" fontId="231" fillId="0" borderId="0" applyFont="0" applyFill="0" applyBorder="0" applyAlignment="0" applyProtection="0"/>
    <xf numFmtId="242" fontId="119" fillId="0" borderId="0" applyFill="0" applyBorder="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40" fontId="125" fillId="27" borderId="0">
      <alignment horizontal="right"/>
    </xf>
    <xf numFmtId="168" fontId="282" fillId="70" borderId="0">
      <alignment horizontal="center"/>
    </xf>
    <xf numFmtId="168" fontId="283" fillId="75" borderId="0"/>
    <xf numFmtId="168" fontId="284" fillId="27" borderId="0" applyBorder="0">
      <alignment horizontal="centerContinuous"/>
    </xf>
    <xf numFmtId="168" fontId="285" fillId="75" borderId="0" applyBorder="0">
      <alignment horizontal="centerContinuous"/>
    </xf>
    <xf numFmtId="168" fontId="208" fillId="0" borderId="0" applyNumberFormat="0" applyFill="0" applyBorder="0" applyAlignment="0" applyProtection="0"/>
    <xf numFmtId="179" fontId="102" fillId="0" borderId="0">
      <alignment vertical="center"/>
    </xf>
    <xf numFmtId="168" fontId="286" fillId="0" borderId="0"/>
    <xf numFmtId="168" fontId="286" fillId="0" borderId="0"/>
    <xf numFmtId="168" fontId="286" fillId="0" borderId="0"/>
    <xf numFmtId="1" fontId="287" fillId="0" borderId="0" applyProtection="0">
      <alignment horizontal="right" vertical="center"/>
    </xf>
    <xf numFmtId="168" fontId="288" fillId="11" borderId="0"/>
    <xf numFmtId="201" fontId="289" fillId="0" borderId="31">
      <alignment vertical="center"/>
    </xf>
    <xf numFmtId="307" fontId="37" fillId="0" borderId="0" applyFont="0" applyFill="0" applyBorder="0" applyAlignment="0" applyProtection="0"/>
    <xf numFmtId="308" fontId="37"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220" fontId="126"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222" fontId="40" fillId="0" borderId="0" applyFont="0" applyFill="0" applyBorder="0" applyAlignment="0" applyProtection="0"/>
    <xf numFmtId="222" fontId="40" fillId="0" borderId="0" applyFont="0" applyFill="0" applyBorder="0" applyAlignment="0" applyProtection="0"/>
    <xf numFmtId="293" fontId="126" fillId="0" borderId="0" applyFont="0" applyFill="0" applyBorder="0" applyAlignment="0" applyProtection="0"/>
    <xf numFmtId="312" fontId="40" fillId="0" borderId="0" applyFont="0" applyFill="0" applyBorder="0" applyAlignment="0" applyProtection="0"/>
    <xf numFmtId="312"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167" fontId="62" fillId="0" borderId="0" applyFont="0" applyFill="0" applyBorder="0" applyAlignment="0" applyProtection="0"/>
    <xf numFmtId="10" fontId="37"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32" fillId="0" borderId="0" applyFont="0" applyFill="0" applyBorder="0" applyAlignment="0" applyProtection="0"/>
    <xf numFmtId="9" fontId="67" fillId="0" borderId="0" applyFont="0" applyFill="0" applyBorder="0" applyAlignment="0" applyProtection="0"/>
    <xf numFmtId="9" fontId="67"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40" fillId="0" borderId="0" applyFill="0" applyBorder="0" applyAlignment="0" applyProtection="0"/>
    <xf numFmtId="9" fontId="67" fillId="0" borderId="0" applyFont="0" applyFill="0" applyBorder="0" applyAlignment="0" applyProtection="0"/>
    <xf numFmtId="168" fontId="71" fillId="0" borderId="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320" fontId="120" fillId="44" borderId="65"/>
    <xf numFmtId="321" fontId="120" fillId="0" borderId="65" applyFont="0" applyFill="0" applyBorder="0" applyAlignment="0" applyProtection="0">
      <protection locked="0"/>
    </xf>
    <xf numFmtId="168" fontId="63" fillId="0" borderId="0"/>
    <xf numFmtId="168" fontId="63" fillId="0" borderId="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9" fontId="119" fillId="0" borderId="30" applyFill="0" applyBorder="0"/>
    <xf numFmtId="183" fontId="119" fillId="0" borderId="0" applyFill="0" applyBorder="0"/>
    <xf numFmtId="235" fontId="119" fillId="0" borderId="0" applyFill="0" applyBorder="0"/>
    <xf numFmtId="322" fontId="46" fillId="0" borderId="0"/>
    <xf numFmtId="323" fontId="46" fillId="0" borderId="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90"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3" fontId="32" fillId="0" borderId="0"/>
    <xf numFmtId="3" fontId="192" fillId="0" borderId="0"/>
    <xf numFmtId="3" fontId="193" fillId="0" borderId="0"/>
    <xf numFmtId="3" fontId="192" fillId="0" borderId="0"/>
    <xf numFmtId="3" fontId="192" fillId="0" borderId="0"/>
    <xf numFmtId="3" fontId="192" fillId="0" borderId="0"/>
    <xf numFmtId="3" fontId="32" fillId="0" borderId="0"/>
    <xf numFmtId="3" fontId="192" fillId="0" borderId="0"/>
    <xf numFmtId="168" fontId="286" fillId="0" borderId="0"/>
    <xf numFmtId="168" fontId="286" fillId="0" borderId="0"/>
    <xf numFmtId="168" fontId="286" fillId="0" borderId="0"/>
    <xf numFmtId="168" fontId="291" fillId="0" borderId="0" applyNumberFormat="0" applyFill="0" applyBorder="0" applyAlignment="0" applyProtection="0">
      <alignment horizontal="left"/>
      <protection locked="0"/>
    </xf>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277" fillId="0" borderId="0"/>
    <xf numFmtId="168" fontId="292" fillId="0" borderId="0"/>
    <xf numFmtId="168" fontId="293" fillId="0" borderId="0"/>
    <xf numFmtId="168" fontId="278" fillId="0" borderId="0"/>
    <xf numFmtId="324" fontId="70" fillId="0" borderId="0" applyNumberFormat="0" applyFill="0" applyBorder="0" applyAlignment="0" applyProtection="0">
      <alignment horizontal="left"/>
    </xf>
    <xf numFmtId="325" fontId="71" fillId="0" borderId="0"/>
    <xf numFmtId="3" fontId="54" fillId="0" borderId="0" applyFont="0" applyFill="0" applyBorder="0" applyAlignment="0"/>
    <xf numFmtId="168" fontId="32" fillId="0" borderId="0">
      <alignment horizontal="right"/>
    </xf>
    <xf numFmtId="167" fontId="294" fillId="0" borderId="0">
      <alignment horizontal="right"/>
    </xf>
    <xf numFmtId="168" fontId="32" fillId="0" borderId="0">
      <alignment horizontal="right"/>
    </xf>
    <xf numFmtId="167" fontId="295" fillId="0" borderId="0">
      <alignment horizontal="right"/>
    </xf>
    <xf numFmtId="179" fontId="296" fillId="0" borderId="0"/>
    <xf numFmtId="179" fontId="296" fillId="0" borderId="66">
      <alignment horizontal="centerContinuous"/>
    </xf>
    <xf numFmtId="168" fontId="297" fillId="0" borderId="67">
      <alignment vertical="center"/>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168" fontId="298" fillId="0" borderId="0">
      <alignment horizontal="left" vertical="top" wrapText="1"/>
    </xf>
    <xf numFmtId="168" fontId="32" fillId="0" borderId="0"/>
    <xf numFmtId="168" fontId="299" fillId="0" borderId="0"/>
    <xf numFmtId="168" fontId="32" fillId="0" borderId="0"/>
    <xf numFmtId="0" fontId="300" fillId="0" borderId="0"/>
    <xf numFmtId="168" fontId="71" fillId="0" borderId="23"/>
    <xf numFmtId="168" fontId="32" fillId="0" borderId="0">
      <alignment horizontal="right"/>
    </xf>
    <xf numFmtId="327" fontId="57" fillId="0" borderId="0">
      <alignment horizontal="right"/>
    </xf>
    <xf numFmtId="168" fontId="32" fillId="0" borderId="0">
      <alignment horizontal="right"/>
    </xf>
    <xf numFmtId="328" fontId="301" fillId="0" borderId="0">
      <alignment horizontal="right"/>
    </xf>
    <xf numFmtId="168" fontId="32" fillId="0" borderId="0">
      <alignment horizontal="right"/>
    </xf>
    <xf numFmtId="329" fontId="294" fillId="0" borderId="0">
      <alignment horizontal="right"/>
    </xf>
    <xf numFmtId="168" fontId="32" fillId="0" borderId="0">
      <alignment horizontal="right"/>
    </xf>
    <xf numFmtId="330" fontId="295" fillId="0" borderId="0">
      <alignment horizontal="right"/>
    </xf>
    <xf numFmtId="168" fontId="63" fillId="78" borderId="0" applyFont="0"/>
    <xf numFmtId="168" fontId="302" fillId="0" borderId="0" applyNumberFormat="0" applyFill="0" applyBorder="0" applyAlignment="0" applyProtection="0"/>
    <xf numFmtId="168" fontId="32" fillId="0" borderId="62"/>
    <xf numFmtId="168" fontId="195" fillId="0" borderId="62"/>
    <xf numFmtId="168" fontId="32" fillId="0" borderId="62"/>
    <xf numFmtId="0" fontId="195" fillId="0" borderId="62"/>
    <xf numFmtId="168" fontId="32" fillId="0" borderId="0">
      <alignment horizontal="right"/>
    </xf>
    <xf numFmtId="167" fontId="303" fillId="0" borderId="0">
      <alignment horizontal="right"/>
    </xf>
    <xf numFmtId="167" fontId="304" fillId="0" borderId="0">
      <alignment horizontal="right"/>
    </xf>
    <xf numFmtId="167" fontId="303" fillId="0" borderId="0">
      <alignment horizontal="right"/>
    </xf>
    <xf numFmtId="167" fontId="303" fillId="0" borderId="0">
      <alignment horizontal="right"/>
    </xf>
    <xf numFmtId="167" fontId="303" fillId="0" borderId="0">
      <alignment horizontal="right"/>
    </xf>
    <xf numFmtId="168" fontId="32" fillId="0" borderId="0">
      <alignment horizontal="right"/>
    </xf>
    <xf numFmtId="167" fontId="303" fillId="0" borderId="0">
      <alignment horizontal="right"/>
    </xf>
    <xf numFmtId="168" fontId="115" fillId="0" borderId="0" applyFill="0" applyBorder="0" applyAlignment="0" applyProtection="0"/>
    <xf numFmtId="168" fontId="89" fillId="0" borderId="0" applyNumberFormat="0" applyFill="0" applyBorder="0" applyAlignment="0" applyProtection="0">
      <alignment horizontal="center"/>
    </xf>
    <xf numFmtId="168" fontId="32" fillId="0" borderId="0"/>
    <xf numFmtId="168" fontId="301" fillId="0" borderId="0"/>
    <xf numFmtId="168" fontId="301" fillId="0" borderId="0"/>
    <xf numFmtId="168" fontId="57"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2" fillId="0" borderId="0"/>
    <xf numFmtId="0" fontId="301" fillId="0" borderId="0"/>
    <xf numFmtId="168" fontId="301" fillId="0" borderId="0"/>
    <xf numFmtId="168" fontId="32" fillId="0" borderId="0">
      <alignment horizontal="right"/>
    </xf>
    <xf numFmtId="167" fontId="305" fillId="0" borderId="0">
      <alignment horizontal="right"/>
    </xf>
    <xf numFmtId="167" fontId="306" fillId="0" borderId="0">
      <alignment horizontal="right"/>
    </xf>
    <xf numFmtId="167" fontId="305" fillId="0" borderId="0">
      <alignment horizontal="right"/>
    </xf>
    <xf numFmtId="167" fontId="305" fillId="0" borderId="0">
      <alignment horizontal="right"/>
    </xf>
    <xf numFmtId="167" fontId="305" fillId="0" borderId="0">
      <alignment horizontal="right"/>
    </xf>
    <xf numFmtId="168" fontId="32" fillId="0" borderId="0">
      <alignment horizontal="right"/>
    </xf>
    <xf numFmtId="167" fontId="305" fillId="0" borderId="0">
      <alignment horizontal="right"/>
    </xf>
    <xf numFmtId="179" fontId="307" fillId="0" borderId="66"/>
    <xf numFmtId="331" fontId="308" fillId="0" borderId="12">
      <alignment horizontal="left" vertical="center"/>
      <protection locked="0"/>
    </xf>
    <xf numFmtId="168" fontId="84" fillId="0" borderId="0"/>
    <xf numFmtId="168" fontId="37" fillId="0" borderId="0"/>
    <xf numFmtId="168" fontId="37" fillId="0" borderId="0"/>
    <xf numFmtId="168" fontId="37"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37"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168" fontId="309" fillId="0" borderId="0"/>
    <xf numFmtId="168" fontId="32" fillId="0" borderId="0"/>
    <xf numFmtId="0" fontId="310" fillId="0" borderId="0"/>
    <xf numFmtId="168" fontId="32" fillId="0" borderId="0">
      <alignment horizontal="right"/>
    </xf>
    <xf numFmtId="328" fontId="301" fillId="0" borderId="0">
      <alignment horizontal="right"/>
    </xf>
    <xf numFmtId="328" fontId="301" fillId="0" borderId="0">
      <alignment horizontal="right"/>
    </xf>
    <xf numFmtId="327" fontId="57"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168" fontId="32" fillId="0" borderId="0">
      <alignment horizontal="right"/>
    </xf>
    <xf numFmtId="328" fontId="301" fillId="0" borderId="0">
      <alignment horizontal="right"/>
    </xf>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311" fillId="0" borderId="0"/>
    <xf numFmtId="168" fontId="53" fillId="0" borderId="0"/>
    <xf numFmtId="168" fontId="53" fillId="0" borderId="0"/>
    <xf numFmtId="168" fontId="53" fillId="0" borderId="0"/>
    <xf numFmtId="0" fontId="311" fillId="0" borderId="0"/>
    <xf numFmtId="168" fontId="312" fillId="0" borderId="0"/>
    <xf numFmtId="168" fontId="313" fillId="0" borderId="0"/>
    <xf numFmtId="40" fontId="314" fillId="0" borderId="0" applyBorder="0">
      <alignment horizontal="right"/>
    </xf>
    <xf numFmtId="168" fontId="32" fillId="0" borderId="0">
      <alignment horizontal="right"/>
    </xf>
    <xf numFmtId="332" fontId="57" fillId="0" borderId="0">
      <alignment horizontal="right"/>
    </xf>
    <xf numFmtId="168" fontId="32" fillId="0" borderId="0">
      <alignment horizontal="right"/>
    </xf>
    <xf numFmtId="333" fontId="301" fillId="0" borderId="0">
      <alignment horizontal="right"/>
    </xf>
    <xf numFmtId="168" fontId="315" fillId="0" borderId="0" applyBorder="0" applyProtection="0">
      <alignment vertical="center"/>
    </xf>
    <xf numFmtId="168" fontId="315" fillId="0" borderId="69" applyBorder="0" applyProtection="0">
      <alignment horizontal="right" vertical="center"/>
    </xf>
    <xf numFmtId="168" fontId="316" fillId="79" borderId="0" applyBorder="0" applyProtection="0">
      <alignment horizontal="centerContinuous" vertical="center"/>
    </xf>
    <xf numFmtId="168" fontId="316" fillId="80" borderId="69" applyBorder="0" applyProtection="0">
      <alignment horizontal="centerContinuous" vertical="center"/>
    </xf>
    <xf numFmtId="168" fontId="305" fillId="0" borderId="0"/>
    <xf numFmtId="168" fontId="104" fillId="0" borderId="69" applyAlignment="0"/>
    <xf numFmtId="168" fontId="274" fillId="0" borderId="0"/>
    <xf numFmtId="168" fontId="317" fillId="0" borderId="0" applyFill="0" applyBorder="0" applyProtection="0">
      <alignment horizontal="left"/>
    </xf>
    <xf numFmtId="168" fontId="194" fillId="0" borderId="30" applyFill="0" applyBorder="0" applyProtection="0">
      <alignment horizontal="left" vertical="top"/>
    </xf>
    <xf numFmtId="168" fontId="318" fillId="0" borderId="0">
      <alignment horizontal="centerContinuous"/>
    </xf>
    <xf numFmtId="0" fontId="12" fillId="6" borderId="22"/>
    <xf numFmtId="49" fontId="319" fillId="0" borderId="31">
      <alignment vertical="center"/>
    </xf>
    <xf numFmtId="49" fontId="40" fillId="0" borderId="0" applyFont="0" applyFill="0" applyBorder="0" applyAlignment="0" applyProtection="0"/>
    <xf numFmtId="168" fontId="320" fillId="0" borderId="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168" fontId="321" fillId="0" borderId="0"/>
    <xf numFmtId="49" fontId="125" fillId="0" borderId="0" applyFill="0" applyBorder="0" applyAlignment="0"/>
    <xf numFmtId="334" fontId="126" fillId="0" borderId="0" applyFill="0" applyBorder="0" applyAlignment="0"/>
    <xf numFmtId="278" fontId="125" fillId="0" borderId="0" applyFill="0" applyBorder="0" applyAlignment="0"/>
    <xf numFmtId="335" fontId="40" fillId="0" borderId="0" applyFill="0" applyBorder="0" applyAlignment="0"/>
    <xf numFmtId="335" fontId="40" fillId="0" borderId="0" applyFill="0" applyBorder="0" applyAlignment="0"/>
    <xf numFmtId="336" fontId="126" fillId="0" borderId="0" applyFill="0" applyBorder="0" applyAlignment="0"/>
    <xf numFmtId="337" fontId="125" fillId="0" borderId="0" applyFill="0" applyBorder="0" applyAlignment="0"/>
    <xf numFmtId="338" fontId="40" fillId="0" borderId="0" applyFill="0" applyBorder="0" applyAlignment="0"/>
    <xf numFmtId="338" fontId="40" fillId="0" borderId="0" applyFill="0" applyBorder="0" applyAlignment="0"/>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32" fillId="0" borderId="0" applyFont="0" applyFill="0" applyBorder="0" applyAlignment="0" applyProtection="0"/>
    <xf numFmtId="339" fontId="40" fillId="0" borderId="0" applyFont="0" applyFill="0" applyBorder="0" applyAlignment="0" applyProtection="0"/>
    <xf numFmtId="168" fontId="32" fillId="0" borderId="0" applyFont="0" applyFill="0" applyBorder="0" applyAlignment="0" applyProtection="0"/>
    <xf numFmtId="168" fontId="322" fillId="0" borderId="0" applyFill="0" applyBorder="0" applyProtection="0">
      <alignment horizontal="left" vertical="top"/>
    </xf>
    <xf numFmtId="201" fontId="130" fillId="0" borderId="0" applyNumberFormat="0" applyFill="0" applyBorder="0"/>
    <xf numFmtId="168" fontId="67" fillId="0" borderId="0" applyNumberFormat="0" applyFill="0" applyBorder="0" applyAlignment="0" applyProtection="0"/>
    <xf numFmtId="168" fontId="114" fillId="0" borderId="0" applyNumberFormat="0" applyFill="0" applyBorder="0" applyAlignment="0" applyProtection="0"/>
    <xf numFmtId="3" fontId="323" fillId="0" borderId="0" applyNumberFormat="0" applyFont="0" applyFill="0" applyBorder="0" applyAlignment="0"/>
    <xf numFmtId="0"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5"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0" fontId="325" fillId="0" borderId="0" applyNumberFormat="0" applyFill="0" applyBorder="0" applyAlignment="0" applyProtection="0"/>
    <xf numFmtId="168" fontId="326" fillId="0" borderId="0" applyNumberFormat="0" applyFill="0" applyBorder="0" applyAlignment="0" applyProtection="0"/>
    <xf numFmtId="168" fontId="32"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6"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261" fontId="290" fillId="0" borderId="0" applyNumberFormat="0" applyFill="0" applyBorder="0" applyAlignment="0" applyProtection="0"/>
    <xf numFmtId="168" fontId="32" fillId="0" borderId="0"/>
    <xf numFmtId="340" fontId="192" fillId="0" borderId="0"/>
    <xf numFmtId="340" fontId="193" fillId="0" borderId="0"/>
    <xf numFmtId="168" fontId="32" fillId="0" borderId="0"/>
    <xf numFmtId="0" fontId="327" fillId="0" borderId="70" applyNumberForma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125" fillId="0" borderId="71" applyNumberFormat="0" applyFont="0" applyFill="0" applyAlignment="0" applyProtection="0"/>
    <xf numFmtId="168" fontId="238" fillId="0" borderId="0">
      <alignment horizontal="fill"/>
    </xf>
    <xf numFmtId="168" fontId="328" fillId="0" borderId="0">
      <alignment vertical="top"/>
    </xf>
    <xf numFmtId="168" fontId="329" fillId="0" borderId="0"/>
    <xf numFmtId="168" fontId="329" fillId="0" borderId="0"/>
    <xf numFmtId="168" fontId="329" fillId="0" borderId="0"/>
    <xf numFmtId="341" fontId="37" fillId="0" borderId="0" applyFont="0" applyFill="0" applyBorder="0" applyAlignment="0" applyProtection="0"/>
    <xf numFmtId="342" fontId="37" fillId="0" borderId="0" applyFont="0" applyFill="0" applyBorder="0" applyAlignment="0" applyProtection="0"/>
    <xf numFmtId="168" fontId="329" fillId="0" borderId="0"/>
    <xf numFmtId="168" fontId="329" fillId="0" borderId="0"/>
    <xf numFmtId="168" fontId="329" fillId="0" borderId="0"/>
    <xf numFmtId="194" fontId="37" fillId="0" borderId="0" applyFont="0" applyFill="0" applyBorder="0" applyAlignment="0" applyProtection="0"/>
    <xf numFmtId="195" fontId="37" fillId="0" borderId="0" applyFont="0" applyFill="0" applyBorder="0" applyAlignment="0" applyProtection="0"/>
    <xf numFmtId="245" fontId="72" fillId="0" borderId="0" applyFont="0" applyFill="0" applyBorder="0" applyAlignment="0" applyProtection="0"/>
    <xf numFmtId="343" fontId="72" fillId="0" borderId="0" applyFont="0" applyFill="0" applyBorder="0" applyAlignment="0" applyProtection="0"/>
    <xf numFmtId="0" fontId="330"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2"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40" fillId="31" borderId="0" applyNumberFormat="0" applyBorder="0" applyAlignment="0" applyProtection="0"/>
    <xf numFmtId="344" fontId="37"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8" fontId="37"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168" fontId="332" fillId="0" borderId="69" applyBorder="0" applyProtection="0">
      <alignment horizontal="right"/>
    </xf>
    <xf numFmtId="352" fontId="159" fillId="0" borderId="47" applyFont="0" applyFill="0" applyBorder="0" applyAlignment="0">
      <alignment horizontal="centerContinuous"/>
    </xf>
    <xf numFmtId="353" fontId="333" fillId="0" borderId="47" applyFont="0" applyFill="0" applyBorder="0" applyAlignment="0">
      <alignment horizontal="centerContinuous"/>
    </xf>
    <xf numFmtId="1" fontId="334" fillId="0" borderId="0" applyFill="0" applyProtection="0">
      <alignment horizontal="right"/>
    </xf>
    <xf numFmtId="354" fontId="115" fillId="0" borderId="0" applyFont="0" applyFill="0" applyBorder="0" applyAlignment="0" applyProtection="0"/>
    <xf numFmtId="355" fontId="40" fillId="0" borderId="0" applyFont="0" applyFill="0" applyBorder="0" applyAlignment="0" applyProtection="0"/>
    <xf numFmtId="168" fontId="32" fillId="39" borderId="0" applyNumberFormat="0" applyBorder="0" applyAlignment="0" applyProtection="0"/>
    <xf numFmtId="0" fontId="86" fillId="39" borderId="0" applyNumberFormat="0" applyBorder="0" applyAlignment="0" applyProtection="0"/>
    <xf numFmtId="0"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42" borderId="0" applyNumberFormat="0" applyBorder="0" applyAlignment="0" applyProtection="0"/>
    <xf numFmtId="0" fontId="86" fillId="42" borderId="0" applyNumberFormat="0" applyBorder="0" applyAlignment="0" applyProtection="0"/>
    <xf numFmtId="0"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6" borderId="0" applyNumberFormat="0" applyBorder="0" applyAlignment="0" applyProtection="0"/>
    <xf numFmtId="0" fontId="86" fillId="46" borderId="0" applyNumberFormat="0" applyBorder="0" applyAlignment="0" applyProtection="0"/>
    <xf numFmtId="0"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49" borderId="0" applyNumberFormat="0" applyBorder="0" applyAlignment="0" applyProtection="0"/>
    <xf numFmtId="0" fontId="86" fillId="49" borderId="0" applyNumberFormat="0" applyBorder="0" applyAlignment="0" applyProtection="0"/>
    <xf numFmtId="0"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201" fontId="54" fillId="0" borderId="33">
      <protection locked="0"/>
    </xf>
    <xf numFmtId="201" fontId="54" fillId="0" borderId="33">
      <protection locked="0"/>
    </xf>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3" fontId="336" fillId="0" borderId="0">
      <alignment horizontal="center" vertical="center" textRotation="90" wrapText="1"/>
    </xf>
    <xf numFmtId="3" fontId="336" fillId="0" borderId="0">
      <alignment horizontal="center" vertical="center" textRotation="90" wrapText="1"/>
    </xf>
    <xf numFmtId="3" fontId="336" fillId="0" borderId="0">
      <alignment horizontal="center" vertical="center" textRotation="90" wrapText="1"/>
    </xf>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0"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35" applyNumberFormat="0" applyAlignment="0" applyProtection="0"/>
    <xf numFmtId="0"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338" fillId="0" borderId="0" applyNumberFormat="0" applyFill="0" applyBorder="0" applyAlignment="0" applyProtection="0"/>
    <xf numFmtId="0" fontId="339" fillId="0" borderId="0" applyNumberFormat="0" applyFill="0" applyBorder="0" applyAlignment="0" applyProtection="0"/>
    <xf numFmtId="168" fontId="340" fillId="0" borderId="0" applyNumberFormat="0" applyFill="0" applyBorder="0" applyAlignment="0" applyProtection="0">
      <alignment vertical="top"/>
      <protection locked="0"/>
    </xf>
    <xf numFmtId="0" fontId="100" fillId="0" borderId="0"/>
    <xf numFmtId="168" fontId="95" fillId="0" borderId="0" applyNumberFormat="0" applyFill="0" applyBorder="0" applyAlignment="0" applyProtection="0">
      <alignment vertical="top"/>
      <protection locked="0"/>
    </xf>
    <xf numFmtId="0" fontId="339" fillId="0" borderId="0" applyNumberFormat="0" applyFill="0" applyBorder="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228" fillId="0" borderId="0" applyNumberFormat="0" applyFill="0" applyBorder="0" applyAlignment="0" applyProtection="0"/>
    <xf numFmtId="0" fontId="270" fillId="0" borderId="0" applyNumberFormat="0" applyFill="0" applyBorder="0" applyAlignment="0" applyProtection="0">
      <alignment vertical="top"/>
      <protection locked="0"/>
    </xf>
    <xf numFmtId="168" fontId="340" fillId="0" borderId="0" applyNumberFormat="0" applyFill="0" applyBorder="0" applyAlignment="0" applyProtection="0">
      <alignment vertical="top"/>
      <protection locked="0"/>
    </xf>
    <xf numFmtId="0" fontId="338" fillId="0" borderId="0" applyNumberFormat="0" applyFill="0" applyBorder="0" applyAlignment="0" applyProtection="0"/>
    <xf numFmtId="168" fontId="340"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159" fillId="7" borderId="37"/>
    <xf numFmtId="168" fontId="48" fillId="0" borderId="36" applyNumberFormat="0" applyFill="0" applyBorder="0" applyProtection="0">
      <alignment horizontal="right" vertical="center"/>
    </xf>
    <xf numFmtId="0" fontId="225" fillId="0" borderId="0" applyNumberFormat="0" applyFill="0" applyBorder="0" applyAlignment="0" applyProtection="0"/>
    <xf numFmtId="0" fontId="225" fillId="0" borderId="0" applyNumberFormat="0" applyFill="0" applyBorder="0" applyAlignment="0" applyProtection="0"/>
    <xf numFmtId="14" fontId="54" fillId="0" borderId="0">
      <alignment horizontal="right"/>
    </xf>
    <xf numFmtId="195" fontId="84" fillId="0" borderId="0" applyFont="0" applyFill="0" applyBorder="0" applyAlignment="0" applyProtection="0"/>
    <xf numFmtId="195" fontId="1" fillId="0" borderId="0" applyFont="0" applyFill="0" applyBorder="0" applyAlignment="0" applyProtection="0"/>
    <xf numFmtId="356" fontId="1" fillId="0" borderId="0" applyFont="0" applyFill="0" applyBorder="0" applyAlignment="0" applyProtection="0"/>
    <xf numFmtId="183" fontId="32"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40" fontId="37" fillId="0" borderId="0" applyFont="0" applyFill="0" applyBorder="0" applyAlignment="0" applyProtection="0"/>
    <xf numFmtId="357" fontId="37" fillId="0" borderId="0" applyFont="0" applyFill="0" applyBorder="0" applyAlignment="0" applyProtection="0"/>
    <xf numFmtId="223" fontId="84" fillId="0" borderId="0" applyFont="0" applyFill="0" applyBorder="0" applyAlignment="0" applyProtection="0"/>
    <xf numFmtId="357" fontId="37" fillId="0" borderId="0" applyFont="0" applyFill="0" applyBorder="0" applyAlignment="0" applyProtection="0"/>
    <xf numFmtId="195" fontId="83"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183" fontId="32" fillId="0" borderId="0" applyFont="0" applyFill="0" applyBorder="0" applyAlignment="0" applyProtection="0"/>
    <xf numFmtId="164" fontId="37" fillId="0" borderId="0" applyFont="0" applyFill="0" applyBorder="0" applyAlignment="0" applyProtection="0"/>
    <xf numFmtId="230" fontId="37" fillId="0" borderId="0" applyFont="0" applyFill="0" applyBorder="0" applyAlignment="0" applyProtection="0"/>
    <xf numFmtId="241" fontId="82" fillId="0" borderId="0" applyFont="0" applyFill="0" applyBorder="0" applyAlignment="0" applyProtection="0"/>
    <xf numFmtId="230" fontId="37" fillId="0" borderId="0" applyFont="0" applyFill="0" applyBorder="0" applyAlignment="0" applyProtection="0"/>
    <xf numFmtId="230" fontId="37" fillId="0" borderId="0" applyFont="0" applyFill="0" applyBorder="0" applyAlignment="0" applyProtection="0"/>
    <xf numFmtId="358" fontId="37" fillId="0" borderId="0" applyFont="0" applyFill="0" applyBorder="0" applyAlignment="0" applyProtection="0"/>
    <xf numFmtId="195" fontId="32" fillId="0" borderId="0" applyFont="0" applyFill="0" applyBorder="0" applyAlignment="0" applyProtection="0"/>
    <xf numFmtId="0" fontId="341" fillId="0" borderId="0" applyBorder="0">
      <alignment horizontal="center" vertical="center" wrapText="1"/>
    </xf>
    <xf numFmtId="0" fontId="209"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42" fillId="0" borderId="7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2" fillId="0" borderId="52" applyNumberFormat="0" applyFill="0" applyAlignment="0" applyProtection="0"/>
    <xf numFmtId="0" fontId="209" fillId="0" borderId="52" applyNumberFormat="0" applyFill="0" applyAlignment="0" applyProtection="0"/>
    <xf numFmtId="0" fontId="214"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43" fillId="0" borderId="7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2" fillId="0" borderId="53" applyNumberFormat="0" applyFill="0" applyAlignment="0" applyProtection="0"/>
    <xf numFmtId="0" fontId="214" fillId="0" borderId="53" applyNumberFormat="0" applyFill="0" applyAlignment="0" applyProtection="0"/>
    <xf numFmtId="0" fontId="219"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44" fillId="0" borderId="7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2" fillId="0" borderId="54" applyNumberFormat="0" applyFill="0" applyAlignment="0" applyProtection="0"/>
    <xf numFmtId="0" fontId="219" fillId="0" borderId="54" applyNumberFormat="0" applyFill="0" applyAlignment="0" applyProtection="0"/>
    <xf numFmtId="0" fontId="219"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44"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2" fillId="0" borderId="0" applyNumberFormat="0" applyFill="0" applyBorder="0" applyAlignment="0" applyProtection="0"/>
    <xf numFmtId="0" fontId="219" fillId="0" borderId="0" applyNumberFormat="0" applyFill="0" applyBorder="0" applyAlignment="0" applyProtection="0"/>
    <xf numFmtId="0" fontId="345" fillId="0" borderId="0" applyNumberFormat="0" applyFill="0" applyBorder="0" applyAlignment="0" applyProtection="0"/>
    <xf numFmtId="0" fontId="74" fillId="0" borderId="0" applyNumberFormat="0" applyFill="0" applyBorder="0" applyAlignment="0" applyProtection="0"/>
    <xf numFmtId="0" fontId="346" fillId="0" borderId="75" applyBorder="0">
      <alignment horizontal="center" vertical="center" wrapText="1"/>
    </xf>
    <xf numFmtId="201" fontId="151" fillId="52" borderId="33"/>
    <xf numFmtId="201" fontId="151" fillId="52" borderId="33"/>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0"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225" fillId="0" borderId="29" applyNumberFormat="0" applyFill="0" applyAlignment="0" applyProtection="0"/>
    <xf numFmtId="0" fontId="225" fillId="0" borderId="29" applyNumberFormat="0" applyFill="0" applyAlignment="0" applyProtection="0"/>
    <xf numFmtId="168" fontId="37" fillId="0" borderId="0"/>
    <xf numFmtId="168" fontId="32" fillId="57" borderId="38" applyNumberFormat="0" applyAlignment="0" applyProtection="0"/>
    <xf numFmtId="0" fontId="133" fillId="57" borderId="38" applyNumberFormat="0" applyAlignment="0" applyProtection="0"/>
    <xf numFmtId="0" fontId="133" fillId="57" borderId="38"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57" borderId="38" applyNumberFormat="0" applyAlignment="0" applyProtection="0"/>
    <xf numFmtId="168" fontId="133" fillId="38" borderId="77" applyNumberFormat="0" applyAlignment="0" applyProtection="0"/>
    <xf numFmtId="0" fontId="3" fillId="3" borderId="5" applyNumberFormat="0" applyAlignment="0" applyProtection="0"/>
    <xf numFmtId="168" fontId="133" fillId="38" borderId="77" applyNumberFormat="0" applyAlignment="0" applyProtection="0"/>
    <xf numFmtId="168" fontId="133" fillId="57" borderId="38" applyNumberFormat="0" applyAlignment="0" applyProtection="0"/>
    <xf numFmtId="168" fontId="133" fillId="57" borderId="38" applyNumberFormat="0" applyAlignment="0" applyProtection="0"/>
    <xf numFmtId="168" fontId="133"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0" fontId="74" fillId="0" borderId="0">
      <alignment horizontal="center" vertical="top" wrapText="1"/>
    </xf>
    <xf numFmtId="0" fontId="224" fillId="0" borderId="0">
      <alignment horizontal="centerContinuous" vertical="center"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165" fontId="347" fillId="8" borderId="12">
      <alignment wrapText="1"/>
    </xf>
    <xf numFmtId="165" fontId="347" fillId="8" borderId="12">
      <alignment wrapText="1"/>
    </xf>
    <xf numFmtId="165" fontId="347" fillId="8" borderId="12">
      <alignment wrapText="1"/>
    </xf>
    <xf numFmtId="165" fontId="347" fillId="8" borderId="12">
      <alignment wrapText="1"/>
    </xf>
    <xf numFmtId="0" fontId="324"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48"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2" fillId="0" borderId="0" applyNumberFormat="0" applyFill="0" applyBorder="0" applyAlignment="0" applyProtection="0"/>
    <xf numFmtId="0" fontId="324" fillId="0" borderId="0" applyNumberFormat="0" applyFill="0" applyBorder="0" applyAlignment="0" applyProtection="0"/>
    <xf numFmtId="359" fontId="349" fillId="0" borderId="0"/>
    <xf numFmtId="168" fontId="198" fillId="11" borderId="0" applyFill="0"/>
    <xf numFmtId="0" fontId="263" fillId="9"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50" fillId="34"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2" fillId="9" borderId="0" applyNumberFormat="0" applyBorder="0" applyAlignment="0" applyProtection="0"/>
    <xf numFmtId="0" fontId="263" fillId="9" borderId="0" applyNumberFormat="0" applyBorder="0" applyAlignment="0" applyProtection="0"/>
    <xf numFmtId="49" fontId="276" fillId="0" borderId="0" applyBorder="0">
      <alignment vertical="top"/>
    </xf>
    <xf numFmtId="0" fontId="1" fillId="0" borderId="0"/>
    <xf numFmtId="0" fontId="1" fillId="0" borderId="0"/>
    <xf numFmtId="0" fontId="100" fillId="0" borderId="0" applyProtection="0"/>
    <xf numFmtId="168" fontId="1" fillId="0" borderId="0"/>
    <xf numFmtId="0" fontId="37" fillId="0" borderId="0"/>
    <xf numFmtId="168" fontId="84" fillId="0" borderId="0"/>
    <xf numFmtId="168" fontId="84" fillId="0" borderId="0"/>
    <xf numFmtId="168" fontId="82" fillId="0" borderId="0"/>
    <xf numFmtId="168" fontId="82" fillId="0" borderId="0"/>
    <xf numFmtId="168" fontId="82" fillId="0" borderId="0"/>
    <xf numFmtId="0" fontId="1" fillId="0" borderId="0"/>
    <xf numFmtId="168" fontId="82" fillId="0" borderId="0"/>
    <xf numFmtId="0" fontId="1" fillId="0" borderId="0"/>
    <xf numFmtId="168" fontId="82" fillId="0" borderId="0"/>
    <xf numFmtId="168" fontId="82" fillId="0" borderId="0"/>
    <xf numFmtId="168" fontId="82" fillId="0" borderId="0"/>
    <xf numFmtId="168" fontId="82" fillId="0" borderId="0"/>
    <xf numFmtId="168" fontId="82" fillId="0" borderId="0"/>
    <xf numFmtId="0" fontId="351" fillId="0" borderId="0"/>
    <xf numFmtId="168" fontId="32" fillId="0" borderId="0"/>
    <xf numFmtId="0" fontId="32" fillId="0" borderId="0"/>
    <xf numFmtId="168" fontId="32" fillId="0" borderId="0"/>
    <xf numFmtId="168" fontId="32" fillId="0" borderId="0"/>
    <xf numFmtId="168" fontId="32" fillId="0" borderId="0"/>
    <xf numFmtId="168" fontId="1" fillId="0" borderId="0"/>
    <xf numFmtId="179" fontId="1" fillId="0" borderId="0"/>
    <xf numFmtId="0" fontId="32" fillId="0" borderId="0"/>
    <xf numFmtId="168" fontId="40" fillId="0" borderId="0"/>
    <xf numFmtId="0" fontId="84" fillId="0" borderId="0"/>
    <xf numFmtId="179" fontId="1" fillId="0" borderId="0"/>
    <xf numFmtId="0" fontId="32" fillId="0" borderId="0"/>
    <xf numFmtId="168" fontId="37" fillId="0" borderId="0"/>
    <xf numFmtId="168" fontId="37" fillId="0" borderId="0"/>
    <xf numFmtId="168" fontId="37" fillId="0" borderId="0"/>
    <xf numFmtId="168" fontId="37" fillId="0" borderId="0"/>
    <xf numFmtId="168" fontId="37" fillId="0" borderId="0"/>
    <xf numFmtId="0" fontId="32" fillId="0" borderId="0"/>
    <xf numFmtId="168" fontId="32" fillId="0" borderId="0"/>
    <xf numFmtId="0" fontId="1" fillId="0" borderId="0"/>
    <xf numFmtId="0" fontId="32" fillId="0" borderId="0"/>
    <xf numFmtId="168" fontId="32" fillId="0" borderId="0"/>
    <xf numFmtId="168" fontId="32"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32" fillId="0" borderId="0"/>
    <xf numFmtId="0" fontId="32" fillId="0" borderId="0"/>
    <xf numFmtId="168" fontId="32" fillId="0" borderId="0"/>
    <xf numFmtId="0" fontId="1" fillId="0" borderId="0"/>
    <xf numFmtId="168" fontId="32" fillId="0" borderId="0"/>
    <xf numFmtId="0" fontId="84" fillId="0" borderId="0"/>
    <xf numFmtId="168" fontId="82" fillId="0" borderId="0"/>
    <xf numFmtId="0" fontId="32" fillId="0" borderId="0"/>
    <xf numFmtId="168" fontId="32" fillId="0" borderId="0"/>
    <xf numFmtId="0" fontId="352" fillId="0" borderId="0" applyBorder="0"/>
    <xf numFmtId="168" fontId="82" fillId="0" borderId="0"/>
    <xf numFmtId="0" fontId="32" fillId="0" borderId="0"/>
    <xf numFmtId="0" fontId="37" fillId="0" borderId="0"/>
    <xf numFmtId="168" fontId="82" fillId="0" borderId="0"/>
    <xf numFmtId="0" fontId="32" fillId="0" borderId="0"/>
    <xf numFmtId="168" fontId="32" fillId="0" borderId="0"/>
    <xf numFmtId="168" fontId="82" fillId="0" borderId="0"/>
    <xf numFmtId="0" fontId="32" fillId="0" borderId="0"/>
    <xf numFmtId="168" fontId="1" fillId="0" borderId="0"/>
    <xf numFmtId="168" fontId="32" fillId="0" borderId="0"/>
    <xf numFmtId="0" fontId="1"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360" fontId="64" fillId="0" borderId="0"/>
    <xf numFmtId="360" fontId="64" fillId="0" borderId="0"/>
    <xf numFmtId="168" fontId="82" fillId="0" borderId="0"/>
    <xf numFmtId="168" fontId="82" fillId="0" borderId="0"/>
    <xf numFmtId="168" fontId="82" fillId="0" borderId="0"/>
    <xf numFmtId="168" fontId="82" fillId="0" borderId="0"/>
    <xf numFmtId="49" fontId="276" fillId="0" borderId="0" applyBorder="0">
      <alignment vertical="top"/>
    </xf>
    <xf numFmtId="0" fontId="84" fillId="0" borderId="0"/>
    <xf numFmtId="0" fontId="37" fillId="0" borderId="0"/>
    <xf numFmtId="168" fontId="37" fillId="0" borderId="0"/>
    <xf numFmtId="0" fontId="32" fillId="0" borderId="0"/>
    <xf numFmtId="168" fontId="32" fillId="0" borderId="0"/>
    <xf numFmtId="168" fontId="37" fillId="0" borderId="0"/>
    <xf numFmtId="168" fontId="82" fillId="0" borderId="0"/>
    <xf numFmtId="168" fontId="37" fillId="0" borderId="0"/>
    <xf numFmtId="168" fontId="37" fillId="0" borderId="0"/>
    <xf numFmtId="168" fontId="1" fillId="0" borderId="0"/>
    <xf numFmtId="168" fontId="82" fillId="0" borderId="0"/>
    <xf numFmtId="0" fontId="82"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52" fillId="0" borderId="0" applyBorder="0"/>
    <xf numFmtId="0" fontId="352" fillId="0" borderId="0" applyBorder="0"/>
    <xf numFmtId="168" fontId="82" fillId="0" borderId="0"/>
    <xf numFmtId="168" fontId="82" fillId="0" borderId="0"/>
    <xf numFmtId="168" fontId="82" fillId="0" borderId="0"/>
    <xf numFmtId="168" fontId="82" fillId="0" borderId="0"/>
    <xf numFmtId="0" fontId="37" fillId="0" borderId="0"/>
    <xf numFmtId="168" fontId="37" fillId="0" borderId="0"/>
    <xf numFmtId="360" fontId="64"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1" fillId="0" borderId="0"/>
    <xf numFmtId="168" fontId="82" fillId="0" borderId="0"/>
    <xf numFmtId="168" fontId="82" fillId="0" borderId="0"/>
    <xf numFmtId="0" fontId="6"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7" fillId="0" borderId="0"/>
    <xf numFmtId="168" fontId="82" fillId="0" borderId="0"/>
    <xf numFmtId="168" fontId="82" fillId="0" borderId="0"/>
    <xf numFmtId="0" fontId="37" fillId="0" borderId="0"/>
    <xf numFmtId="168" fontId="37" fillId="0" borderId="0"/>
    <xf numFmtId="0" fontId="32" fillId="0" borderId="0"/>
    <xf numFmtId="168" fontId="82" fillId="0" borderId="0"/>
    <xf numFmtId="168" fontId="82" fillId="0" borderId="0"/>
    <xf numFmtId="168" fontId="32" fillId="0" borderId="0"/>
    <xf numFmtId="168" fontId="32" fillId="0" borderId="0"/>
    <xf numFmtId="168" fontId="37" fillId="0" borderId="0"/>
    <xf numFmtId="168" fontId="32" fillId="0" borderId="0"/>
    <xf numFmtId="168" fontId="82" fillId="0" borderId="0"/>
    <xf numFmtId="168" fontId="139" fillId="0" borderId="0"/>
    <xf numFmtId="168" fontId="1" fillId="0" borderId="0"/>
    <xf numFmtId="168" fontId="1" fillId="0" borderId="0"/>
    <xf numFmtId="168" fontId="62" fillId="0" borderId="0"/>
    <xf numFmtId="168" fontId="1" fillId="0" borderId="0"/>
    <xf numFmtId="168" fontId="1" fillId="0" borderId="0"/>
    <xf numFmtId="168" fontId="1" fillId="0" borderId="0"/>
    <xf numFmtId="168" fontId="1" fillId="0" borderId="0"/>
    <xf numFmtId="168" fontId="271" fillId="0" borderId="0"/>
    <xf numFmtId="168" fontId="1" fillId="0" borderId="0"/>
    <xf numFmtId="168" fontId="1" fillId="0" borderId="0"/>
    <xf numFmtId="168" fontId="54" fillId="0" borderId="0"/>
    <xf numFmtId="168" fontId="1" fillId="0" borderId="0"/>
    <xf numFmtId="0" fontId="354" fillId="0" borderId="0"/>
    <xf numFmtId="168" fontId="82" fillId="0" borderId="0"/>
    <xf numFmtId="0" fontId="32" fillId="0" borderId="0"/>
    <xf numFmtId="168" fontId="32" fillId="0" borderId="0"/>
    <xf numFmtId="0" fontId="37" fillId="0" borderId="0"/>
    <xf numFmtId="0" fontId="354" fillId="0" borderId="0"/>
    <xf numFmtId="168" fontId="37" fillId="0" borderId="0"/>
    <xf numFmtId="168" fontId="37" fillId="0" borderId="0"/>
    <xf numFmtId="168" fontId="37" fillId="0" borderId="0"/>
    <xf numFmtId="168" fontId="271" fillId="0" borderId="0"/>
    <xf numFmtId="168" fontId="37" fillId="0" borderId="0"/>
    <xf numFmtId="168" fontId="1" fillId="0" borderId="0"/>
    <xf numFmtId="168" fontId="84" fillId="0" borderId="0"/>
    <xf numFmtId="0" fontId="32" fillId="0" borderId="0"/>
    <xf numFmtId="168" fontId="1" fillId="0" borderId="0"/>
    <xf numFmtId="0" fontId="1" fillId="0" borderId="0"/>
    <xf numFmtId="0" fontId="1" fillId="0" borderId="0"/>
    <xf numFmtId="0" fontId="1" fillId="0" borderId="0"/>
    <xf numFmtId="0" fontId="355" fillId="0" borderId="0"/>
    <xf numFmtId="168" fontId="82" fillId="0" borderId="0"/>
    <xf numFmtId="0" fontId="37" fillId="0" borderId="0"/>
    <xf numFmtId="168" fontId="37" fillId="0" borderId="0"/>
    <xf numFmtId="0" fontId="100" fillId="0" borderId="0" applyProtection="0"/>
    <xf numFmtId="0" fontId="1" fillId="0" borderId="0"/>
    <xf numFmtId="0" fontId="1" fillId="0" borderId="0"/>
    <xf numFmtId="0" fontId="1" fillId="0" borderId="0"/>
    <xf numFmtId="0" fontId="1" fillId="0" borderId="0"/>
    <xf numFmtId="0" fontId="37" fillId="0" borderId="0"/>
    <xf numFmtId="0" fontId="1" fillId="0" borderId="0"/>
    <xf numFmtId="0" fontId="32" fillId="0" borderId="0"/>
    <xf numFmtId="0" fontId="1" fillId="0" borderId="0"/>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2" fillId="19" borderId="0" applyNumberFormat="0" applyBorder="0" applyAlignment="0" applyProtection="0"/>
    <xf numFmtId="0" fontId="105" fillId="19" borderId="0" applyNumberFormat="0" applyBorder="0" applyAlignment="0" applyProtection="0"/>
    <xf numFmtId="0"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90" fontId="358" fillId="10" borderId="78" applyNumberFormat="0" applyBorder="0" applyAlignment="0">
      <alignment vertical="center"/>
      <protection locked="0"/>
    </xf>
    <xf numFmtId="0" fontId="172"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59"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2" fillId="0" borderId="0" applyNumberFormat="0" applyFill="0" applyBorder="0" applyAlignment="0" applyProtection="0"/>
    <xf numFmtId="0" fontId="172" fillId="0" borderId="0" applyNumberFormat="0" applyFill="0" applyBorder="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2"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9" fontId="82"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27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27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8" fillId="0" borderId="5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30" fillId="0" borderId="7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2" fillId="0" borderId="59" applyNumberFormat="0" applyFill="0" applyAlignment="0" applyProtection="0"/>
    <xf numFmtId="0" fontId="258" fillId="0" borderId="59" applyNumberFormat="0" applyFill="0" applyAlignment="0" applyProtection="0"/>
    <xf numFmtId="168" fontId="32" fillId="0" borderId="0"/>
    <xf numFmtId="168" fontId="361" fillId="0" borderId="0"/>
    <xf numFmtId="168" fontId="32" fillId="0" borderId="0"/>
    <xf numFmtId="0" fontId="361" fillId="0" borderId="0"/>
    <xf numFmtId="0" fontId="46" fillId="0" borderId="0"/>
    <xf numFmtId="175" fontId="57" fillId="0" borderId="0">
      <alignment vertical="top"/>
    </xf>
    <xf numFmtId="38" fontId="57" fillId="0" borderId="0">
      <alignment vertical="top"/>
    </xf>
    <xf numFmtId="168" fontId="37" fillId="0" borderId="0"/>
    <xf numFmtId="0" fontId="46" fillId="0" borderId="0"/>
    <xf numFmtId="168" fontId="46" fillId="0" borderId="0"/>
    <xf numFmtId="0" fontId="38" fillId="0" borderId="0"/>
    <xf numFmtId="168" fontId="37" fillId="0" borderId="0"/>
    <xf numFmtId="168" fontId="37" fillId="0" borderId="0"/>
    <xf numFmtId="168" fontId="52" fillId="0" borderId="0"/>
    <xf numFmtId="168" fontId="32" fillId="0" borderId="0"/>
    <xf numFmtId="0" fontId="5" fillId="84" borderId="12" applyBorder="0" applyAlignment="0">
      <alignment vertical="center"/>
    </xf>
    <xf numFmtId="168" fontId="32" fillId="0" borderId="0"/>
    <xf numFmtId="168" fontId="52" fillId="0" borderId="0"/>
    <xf numFmtId="168" fontId="72" fillId="0" borderId="0" applyNumberFormat="0" applyFont="0" applyFill="0" applyBorder="0" applyAlignment="0" applyProtection="0">
      <alignment vertical="top"/>
    </xf>
    <xf numFmtId="168" fontId="72" fillId="0" borderId="0" applyNumberFormat="0" applyFont="0" applyFill="0" applyBorder="0" applyAlignment="0" applyProtection="0">
      <alignment vertical="top"/>
    </xf>
    <xf numFmtId="168" fontId="32" fillId="0" borderId="0"/>
    <xf numFmtId="168" fontId="32" fillId="0" borderId="0"/>
    <xf numFmtId="168" fontId="32" fillId="0" borderId="0">
      <alignment vertical="justify"/>
    </xf>
    <xf numFmtId="49" fontId="362" fillId="0" borderId="0"/>
    <xf numFmtId="49" fontId="363" fillId="0" borderId="0">
      <alignment vertical="top"/>
    </xf>
    <xf numFmtId="190" fontId="225" fillId="0" borderId="0" applyFill="0" applyBorder="0" applyAlignment="0" applyProtection="0"/>
    <xf numFmtId="190" fontId="225" fillId="0" borderId="0" applyFill="0" applyBorder="0" applyAlignment="0" applyProtection="0"/>
    <xf numFmtId="168" fontId="32" fillId="0" borderId="0" applyNumberFormat="0" applyFill="0" applyBorder="0" applyAlignment="0" applyProtection="0"/>
    <xf numFmtId="0" fontId="330" fillId="0" borderId="0" applyNumberFormat="0" applyFill="0" applyBorder="0" applyAlignment="0" applyProtection="0"/>
    <xf numFmtId="0"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0" fontId="4"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49" fontId="225" fillId="0" borderId="0">
      <alignment horizontal="center"/>
    </xf>
    <xf numFmtId="49" fontId="225" fillId="0" borderId="0">
      <alignment horizontal="center"/>
    </xf>
    <xf numFmtId="49" fontId="54" fillId="0" borderId="0"/>
    <xf numFmtId="361" fontId="364" fillId="0" borderId="0"/>
    <xf numFmtId="361" fontId="364" fillId="0" borderId="0"/>
    <xf numFmtId="361" fontId="364" fillId="0" borderId="0"/>
    <xf numFmtId="38" fontId="32" fillId="0" borderId="0" applyFont="0" applyFill="0" applyBorder="0" applyAlignment="0" applyProtection="0"/>
    <xf numFmtId="3" fontId="365" fillId="0" borderId="36" applyFont="0" applyBorder="0">
      <alignment horizontal="right"/>
      <protection locked="0"/>
    </xf>
    <xf numFmtId="183" fontId="37" fillId="0" borderId="0" applyFont="0" applyFill="0" applyBorder="0" applyAlignment="0" applyProtection="0"/>
    <xf numFmtId="2" fontId="225" fillId="0" borderId="0" applyFill="0" applyBorder="0" applyAlignment="0" applyProtection="0"/>
    <xf numFmtId="2" fontId="225" fillId="0" borderId="0" applyFill="0" applyBorder="0" applyAlignment="0" applyProtection="0"/>
    <xf numFmtId="295" fontId="37"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168"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8"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164" fontId="366" fillId="0" borderId="0" applyFont="0" applyFill="0" applyBorder="0" applyAlignment="0" applyProtection="0"/>
    <xf numFmtId="190" fontId="366"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362" fontId="37" fillId="0" borderId="0" applyFont="0" applyFill="0" applyBorder="0" applyAlignment="0" applyProtection="0"/>
    <xf numFmtId="235" fontId="1" fillId="0" borderId="0" applyFont="0" applyFill="0" applyBorder="0" applyAlignment="0" applyProtection="0"/>
    <xf numFmtId="235" fontId="37" fillId="0" borderId="0" applyFont="0" applyFill="0" applyBorder="0" applyAlignment="0" applyProtection="0"/>
    <xf numFmtId="235" fontId="83" fillId="0" borderId="0" applyFont="0" applyFill="0" applyBorder="0" applyAlignment="0" applyProtection="0"/>
    <xf numFmtId="238"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8" fontId="37" fillId="0" borderId="0" applyFont="0" applyFill="0" applyBorder="0" applyAlignment="0" applyProtection="0"/>
    <xf numFmtId="235" fontId="32"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363" fontId="54" fillId="0" borderId="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35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364" fontId="32" fillId="0" borderId="0" applyFont="0" applyFill="0" applyBorder="0" applyAlignment="0" applyProtection="0"/>
    <xf numFmtId="230" fontId="32" fillId="0" borderId="0" applyFont="0" applyFill="0" applyBorder="0" applyAlignment="0" applyProtection="0"/>
    <xf numFmtId="230" fontId="32" fillId="0" borderId="0" applyFont="0" applyFill="0" applyBorder="0" applyAlignment="0" applyProtection="0"/>
    <xf numFmtId="235" fontId="82" fillId="0" borderId="0" applyFont="0" applyFill="0" applyBorder="0" applyAlignment="0" applyProtection="0"/>
    <xf numFmtId="36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90" fontId="83"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67" fontId="37" fillId="0" borderId="0" applyFont="0" applyFill="0" applyBorder="0" applyAlignment="0" applyProtection="0"/>
    <xf numFmtId="235" fontId="271" fillId="0" borderId="0" applyFont="0" applyFill="0" applyBorder="0" applyAlignment="0" applyProtection="0"/>
    <xf numFmtId="181"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366" fontId="37" fillId="0" borderId="0" applyFont="0" applyFill="0" applyBorder="0" applyAlignment="0" applyProtection="0"/>
    <xf numFmtId="182"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235" fontId="8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8" fontId="1"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4" fontId="276" fillId="8" borderId="0" applyBorder="0">
      <alignment horizontal="right"/>
    </xf>
    <xf numFmtId="4" fontId="276" fillId="85" borderId="8"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0" fontId="199" fillId="20"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67" fillId="26"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2" fillId="20" borderId="0" applyNumberFormat="0" applyBorder="0" applyAlignment="0" applyProtection="0"/>
    <xf numFmtId="0" fontId="199" fillId="20" borderId="0" applyNumberFormat="0" applyBorder="0" applyAlignment="0" applyProtection="0"/>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37" fontId="32" fillId="0" borderId="0" applyFont="0" applyBorder="0" applyAlignment="0" applyProtection="0"/>
    <xf numFmtId="367" fontId="61" fillId="0" borderId="0">
      <protection locked="0"/>
    </xf>
    <xf numFmtId="183" fontId="61" fillId="0" borderId="0">
      <protection locked="0"/>
    </xf>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168" fontId="37" fillId="39" borderId="0" applyNumberFormat="0" applyBorder="0" applyAlignment="0" applyProtection="0">
      <alignment vertical="center"/>
    </xf>
    <xf numFmtId="0" fontId="37" fillId="39" borderId="0" applyNumberFormat="0" applyBorder="0" applyAlignment="0" applyProtection="0">
      <alignment vertical="center"/>
    </xf>
    <xf numFmtId="168" fontId="37" fillId="42" borderId="0" applyNumberFormat="0" applyBorder="0" applyAlignment="0" applyProtection="0">
      <alignment vertical="center"/>
    </xf>
    <xf numFmtId="0" fontId="37" fillId="42" borderId="0" applyNumberFormat="0" applyBorder="0" applyAlignment="0" applyProtection="0">
      <alignment vertical="center"/>
    </xf>
    <xf numFmtId="168" fontId="37" fillId="46" borderId="0" applyNumberFormat="0" applyBorder="0" applyAlignment="0" applyProtection="0">
      <alignment vertical="center"/>
    </xf>
    <xf numFmtId="0" fontId="37" fillId="46"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49" borderId="0" applyNumberFormat="0" applyBorder="0" applyAlignment="0" applyProtection="0">
      <alignment vertical="center"/>
    </xf>
    <xf numFmtId="0" fontId="37" fillId="49" borderId="0" applyNumberFormat="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7" borderId="38" applyNumberFormat="0" applyAlignment="0" applyProtection="0">
      <alignment vertical="center"/>
    </xf>
    <xf numFmtId="0" fontId="37" fillId="57" borderId="38" applyNumberFormat="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9" borderId="0" applyNumberFormat="0" applyBorder="0" applyAlignment="0" applyProtection="0">
      <alignment vertical="center"/>
    </xf>
    <xf numFmtId="0" fontId="37" fillId="9" borderId="0" applyNumberFormat="0" applyBorder="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0"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0" borderId="59" applyNumberFormat="0" applyFill="0" applyAlignment="0" applyProtection="0">
      <alignment vertical="center"/>
    </xf>
    <xf numFmtId="0" fontId="37" fillId="0" borderId="59" applyNumberFormat="0" applyFill="0" applyAlignment="0" applyProtection="0">
      <alignment vertical="center"/>
    </xf>
    <xf numFmtId="168" fontId="37" fillId="23" borderId="35" applyNumberFormat="0" applyAlignment="0" applyProtection="0">
      <alignment vertical="center"/>
    </xf>
    <xf numFmtId="0"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0"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368" fontId="114" fillId="0" borderId="0" applyFont="0" applyFill="0" applyBorder="0" applyAlignment="0" applyProtection="0"/>
    <xf numFmtId="211" fontId="114" fillId="0" borderId="0" applyFont="0" applyFill="0" applyBorder="0" applyAlignment="0" applyProtection="0"/>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40" fontId="32" fillId="0" borderId="0" applyFont="0" applyFill="0" applyBorder="0" applyAlignment="0" applyProtection="0"/>
    <xf numFmtId="38" fontId="32" fillId="0" borderId="0" applyFont="0" applyFill="0" applyBorder="0" applyAlignment="0" applyProtection="0"/>
    <xf numFmtId="168" fontId="32" fillId="0" borderId="0"/>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0" borderId="52" applyNumberFormat="0" applyFill="0" applyAlignment="0" applyProtection="0">
      <alignment vertical="center"/>
    </xf>
    <xf numFmtId="0" fontId="37" fillId="0" borderId="52" applyNumberFormat="0" applyFill="0" applyAlignment="0" applyProtection="0">
      <alignment vertical="center"/>
    </xf>
    <xf numFmtId="168" fontId="37" fillId="0" borderId="53" applyNumberFormat="0" applyFill="0" applyAlignment="0" applyProtection="0">
      <alignment vertical="center"/>
    </xf>
    <xf numFmtId="0" fontId="37" fillId="0" borderId="53" applyNumberFormat="0" applyFill="0" applyAlignment="0" applyProtection="0">
      <alignment vertical="center"/>
    </xf>
    <xf numFmtId="168" fontId="37" fillId="0" borderId="54" applyNumberFormat="0" applyFill="0" applyAlignment="0" applyProtection="0">
      <alignment vertical="center"/>
    </xf>
    <xf numFmtId="0" fontId="37" fillId="0" borderId="54" applyNumberFormat="0" applyFill="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4" borderId="35" applyNumberFormat="0" applyAlignment="0" applyProtection="0">
      <alignment vertical="center"/>
    </xf>
    <xf numFmtId="0"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0"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cellStyleXfs>
  <cellXfs count="148">
    <xf numFmtId="0" fontId="0" fillId="0" borderId="0" xfId="0"/>
    <xf numFmtId="0" fontId="7" fillId="6" borderId="0" xfId="2" applyFont="1" applyFill="1" applyAlignment="1">
      <alignment wrapText="1"/>
    </xf>
    <xf numFmtId="0" fontId="7" fillId="6" borderId="0" xfId="2" applyFont="1" applyFill="1"/>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vertical="center"/>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4" fontId="9" fillId="6"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0"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2"/>
    </xf>
    <xf numFmtId="16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0" fontId="7" fillId="6" borderId="12" xfId="2" applyFont="1" applyFill="1" applyBorder="1" applyAlignment="1">
      <alignment horizontal="left" vertical="center" wrapText="1" indent="2"/>
    </xf>
    <xf numFmtId="165" fontId="7" fillId="6" borderId="12" xfId="2" applyNumberFormat="1" applyFont="1" applyFill="1" applyBorder="1" applyAlignment="1">
      <alignment horizontal="center" vertical="center" wrapText="1"/>
    </xf>
    <xf numFmtId="49" fontId="12" fillId="6" borderId="12" xfId="0" applyNumberFormat="1" applyFont="1" applyFill="1" applyBorder="1" applyAlignment="1">
      <alignment horizontal="right" vertical="center"/>
    </xf>
    <xf numFmtId="0" fontId="20"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9" fillId="6" borderId="12" xfId="0" applyFont="1" applyFill="1" applyBorder="1" applyAlignment="1">
      <alignment horizontal="left" vertical="center" wrapText="1" indent="5"/>
    </xf>
    <xf numFmtId="0" fontId="16" fillId="6" borderId="20" xfId="2" applyFont="1" applyFill="1" applyBorder="1" applyAlignment="1">
      <alignment horizontal="left" vertical="center" wrapText="1" indent="2"/>
    </xf>
    <xf numFmtId="165"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6" borderId="0" xfId="2" applyFont="1" applyFill="1" applyBorder="1" applyAlignment="1">
      <alignment horizontal="left" vertical="center" wrapText="1" indent="2"/>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6" fillId="6" borderId="18" xfId="2" applyFont="1" applyFill="1" applyBorder="1" applyAlignment="1">
      <alignment horizontal="left" vertical="center" wrapText="1" indent="7"/>
    </xf>
    <xf numFmtId="0" fontId="19"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166"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9" fillId="6" borderId="12" xfId="0" applyFont="1" applyFill="1" applyBorder="1" applyAlignment="1">
      <alignment horizontal="left" vertical="center" wrapText="1" indent="4"/>
    </xf>
    <xf numFmtId="166"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0" fontId="19"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20"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6" fillId="6" borderId="18" xfId="2" applyFont="1" applyFill="1" applyBorder="1" applyAlignment="1">
      <alignment horizontal="left" vertical="center" wrapText="1" indent="5"/>
    </xf>
    <xf numFmtId="164" fontId="7" fillId="6" borderId="12" xfId="2"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20" fillId="6" borderId="12" xfId="1" applyNumberFormat="1" applyFont="1" applyFill="1" applyBorder="1" applyAlignment="1">
      <alignment horizontal="center" vertical="center"/>
    </xf>
    <xf numFmtId="0" fontId="19"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6"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49" fontId="20" fillId="6" borderId="8" xfId="2" applyNumberFormat="1" applyFont="1" applyFill="1" applyBorder="1" applyAlignment="1">
      <alignment horizontal="right" vertical="center"/>
    </xf>
    <xf numFmtId="49" fontId="20"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6" fillId="0" borderId="18" xfId="2" applyFont="1" applyFill="1" applyBorder="1" applyAlignment="1">
      <alignment horizontal="left" vertical="center" wrapText="1" indent="4"/>
    </xf>
    <xf numFmtId="167" fontId="7" fillId="6" borderId="12" xfId="1" applyNumberFormat="1" applyFont="1" applyFill="1" applyBorder="1" applyAlignment="1">
      <alignment horizontal="center" vertical="center" wrapText="1"/>
    </xf>
    <xf numFmtId="49" fontId="20"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20" xfId="2" applyFont="1" applyFill="1" applyBorder="1" applyAlignment="1">
      <alignment horizontal="left" vertical="center" wrapText="1" indent="2"/>
    </xf>
    <xf numFmtId="0" fontId="7" fillId="6" borderId="0" xfId="2" applyFont="1" applyFill="1" applyBorder="1"/>
    <xf numFmtId="0" fontId="20" fillId="6" borderId="12" xfId="2" applyFont="1" applyFill="1" applyBorder="1" applyAlignment="1">
      <alignment horizontal="left" vertical="center" wrapText="1" indent="2"/>
    </xf>
    <xf numFmtId="0" fontId="7" fillId="6" borderId="12" xfId="2" applyFont="1" applyFill="1" applyBorder="1" applyAlignment="1">
      <alignment horizontal="left" vertical="center" wrapText="1" indent="4"/>
    </xf>
    <xf numFmtId="4" fontId="7" fillId="6" borderId="12" xfId="1"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33" fillId="6" borderId="9" xfId="3" applyFont="1" applyFill="1" applyBorder="1" applyAlignment="1">
      <alignment horizontal="left" vertical="center" wrapText="1"/>
    </xf>
    <xf numFmtId="10" fontId="7" fillId="6" borderId="9" xfId="2" applyNumberFormat="1" applyFont="1" applyFill="1" applyBorder="1" applyAlignment="1">
      <alignment horizontal="center" vertical="center" wrapText="1"/>
    </xf>
    <xf numFmtId="0" fontId="7" fillId="6" borderId="0" xfId="2" applyFont="1" applyFill="1" applyBorder="1" applyAlignment="1">
      <alignment horizontal="right" vertical="center"/>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20"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0" fontId="7" fillId="6" borderId="11" xfId="2" applyFont="1" applyFill="1" applyBorder="1"/>
    <xf numFmtId="10" fontId="7" fillId="6" borderId="13" xfId="2" applyNumberFormat="1" applyFont="1" applyFill="1" applyBorder="1" applyAlignment="1" applyProtection="1">
      <alignment vertical="center"/>
      <protection locked="0"/>
    </xf>
    <xf numFmtId="0" fontId="7" fillId="6" borderId="14" xfId="2" applyFont="1" applyFill="1" applyBorder="1"/>
    <xf numFmtId="10" fontId="7" fillId="6" borderId="16" xfId="2" applyNumberFormat="1" applyFont="1" applyFill="1" applyBorder="1" applyAlignment="1" applyProtection="1">
      <alignment vertical="center"/>
      <protection locked="0"/>
    </xf>
    <xf numFmtId="0" fontId="7" fillId="6" borderId="24" xfId="2" applyFont="1" applyFill="1" applyBorder="1"/>
    <xf numFmtId="0" fontId="7" fillId="6" borderId="24" xfId="2" applyFont="1" applyFill="1" applyBorder="1" applyAlignment="1">
      <alignment vertical="center"/>
    </xf>
    <xf numFmtId="0" fontId="7" fillId="6" borderId="0" xfId="2" applyFont="1" applyFill="1" applyAlignment="1">
      <alignment vertical="center"/>
    </xf>
    <xf numFmtId="10" fontId="7" fillId="6" borderId="0" xfId="2" applyNumberFormat="1" applyFont="1" applyFill="1" applyAlignment="1">
      <alignment wrapText="1"/>
    </xf>
    <xf numFmtId="0" fontId="9" fillId="6" borderId="0" xfId="2" applyFont="1" applyFill="1" applyAlignment="1">
      <alignment horizontal="left"/>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 fontId="7" fillId="6" borderId="12" xfId="2" applyNumberFormat="1" applyFont="1" applyFill="1" applyBorder="1" applyAlignment="1">
      <alignment horizontal="center" vertical="center"/>
    </xf>
    <xf numFmtId="49" fontId="12" fillId="6" borderId="11" xfId="0" applyNumberFormat="1" applyFont="1" applyFill="1" applyBorder="1" applyAlignment="1">
      <alignment horizontal="right" vertical="center"/>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20" fillId="6" borderId="15" xfId="2" applyFont="1" applyFill="1" applyBorder="1" applyAlignment="1">
      <alignment horizontal="left" vertical="center" wrapText="1" indent="2"/>
    </xf>
    <xf numFmtId="4" fontId="20" fillId="6" borderId="15" xfId="2" applyNumberFormat="1" applyFont="1" applyFill="1" applyBorder="1" applyAlignment="1">
      <alignment horizontal="center" vertical="center" wrapText="1"/>
    </xf>
    <xf numFmtId="49" fontId="7" fillId="6" borderId="80" xfId="2" applyNumberFormat="1" applyFont="1" applyFill="1" applyBorder="1" applyAlignment="1">
      <alignment horizontal="right" vertical="center"/>
    </xf>
    <xf numFmtId="0" fontId="7" fillId="6" borderId="81" xfId="2" applyFont="1" applyFill="1" applyBorder="1" applyAlignment="1">
      <alignment horizontal="left" vertical="center" wrapText="1" indent="4"/>
    </xf>
    <xf numFmtId="10" fontId="7" fillId="6" borderId="81" xfId="1" applyNumberFormat="1" applyFont="1" applyFill="1" applyBorder="1" applyAlignment="1">
      <alignment horizontal="center" vertical="center" wrapText="1"/>
    </xf>
    <xf numFmtId="0" fontId="16" fillId="6" borderId="12" xfId="2" applyFont="1" applyFill="1" applyBorder="1" applyAlignment="1">
      <alignment horizontal="left" vertical="center" wrapText="1" indent="4"/>
    </xf>
    <xf numFmtId="0" fontId="16" fillId="6" borderId="15" xfId="2" applyFont="1" applyFill="1" applyBorder="1" applyAlignment="1">
      <alignment horizontal="left" vertical="center" wrapText="1" indent="4"/>
    </xf>
    <xf numFmtId="10" fontId="7" fillId="6" borderId="9" xfId="1" applyNumberFormat="1" applyFont="1" applyFill="1" applyBorder="1" applyAlignment="1">
      <alignment horizontal="center" vertical="center" wrapText="1"/>
    </xf>
    <xf numFmtId="0" fontId="7" fillId="6" borderId="83" xfId="2" applyFont="1" applyFill="1" applyBorder="1" applyAlignment="1">
      <alignment horizontal="right" wrapText="1" indent="1"/>
    </xf>
    <xf numFmtId="0" fontId="7" fillId="6" borderId="84" xfId="2" applyFont="1" applyFill="1" applyBorder="1" applyAlignment="1">
      <alignment horizontal="center" vertical="center" wrapText="1"/>
    </xf>
    <xf numFmtId="0" fontId="7" fillId="6" borderId="8" xfId="2" applyFont="1" applyFill="1" applyBorder="1"/>
    <xf numFmtId="10" fontId="20" fillId="6" borderId="10" xfId="2" applyNumberFormat="1" applyFont="1" applyFill="1" applyBorder="1" applyAlignment="1" applyProtection="1">
      <alignment vertical="center"/>
    </xf>
    <xf numFmtId="10" fontId="20" fillId="6" borderId="13" xfId="2" applyNumberFormat="1" applyFont="1" applyFill="1" applyBorder="1" applyAlignment="1" applyProtection="1">
      <alignment vertical="center"/>
    </xf>
    <xf numFmtId="10" fontId="20" fillId="6" borderId="16" xfId="2" applyNumberFormat="1" applyFont="1" applyFill="1" applyBorder="1" applyAlignment="1" applyProtection="1">
      <alignment vertical="center"/>
    </xf>
    <xf numFmtId="0" fontId="7" fillId="6" borderId="80" xfId="2" applyFont="1" applyFill="1" applyBorder="1"/>
    <xf numFmtId="10" fontId="20" fillId="6" borderId="82"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7" xfId="2" applyFont="1" applyFill="1" applyBorder="1" applyAlignment="1">
      <alignment horizontal="center"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left"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3"/>
    <cellStyle name="Мои наименования показателей 2" xfId="40234"/>
    <cellStyle name="Мои наименования показателей 2 2" xfId="40235"/>
    <cellStyle name="Мои наименования показателей 3" xfId="40236"/>
    <cellStyle name="Мои наименования показателей 3 2" xfId="40237"/>
    <cellStyle name="Мои наименования показателей 4" xfId="40238"/>
    <cellStyle name="Мои наименования показателей 4 2" xfId="40239"/>
    <cellStyle name="Мои наименования показателей 5" xfId="40240"/>
    <cellStyle name="Мои наименования показателей 5 2" xfId="40241"/>
    <cellStyle name="Мои наименования показателей_BALANCE.TBO.1.71" xfId="40242"/>
    <cellStyle name="Мой заголовок" xfId="40231"/>
    <cellStyle name="Мой заголовок листа" xfId="4023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externalLink" Target="externalLinks/externalLink10.xml"/><Relationship Id="rId39" Type="http://schemas.openxmlformats.org/officeDocument/2006/relationships/externalLink" Target="externalLinks/externalLink23.xml"/><Relationship Id="rId21" Type="http://schemas.openxmlformats.org/officeDocument/2006/relationships/externalLink" Target="externalLinks/externalLink5.xml"/><Relationship Id="rId34" Type="http://schemas.openxmlformats.org/officeDocument/2006/relationships/externalLink" Target="externalLinks/externalLink18.xml"/><Relationship Id="rId42" Type="http://schemas.openxmlformats.org/officeDocument/2006/relationships/externalLink" Target="externalLinks/externalLink26.xml"/><Relationship Id="rId47" Type="http://schemas.openxmlformats.org/officeDocument/2006/relationships/externalLink" Target="externalLinks/externalLink31.xml"/><Relationship Id="rId50" Type="http://schemas.openxmlformats.org/officeDocument/2006/relationships/externalLink" Target="externalLinks/externalLink34.xml"/><Relationship Id="rId55"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13.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externalLink" Target="externalLinks/externalLink21.xml"/><Relationship Id="rId40" Type="http://schemas.openxmlformats.org/officeDocument/2006/relationships/externalLink" Target="externalLinks/externalLink24.xml"/><Relationship Id="rId45" Type="http://schemas.openxmlformats.org/officeDocument/2006/relationships/externalLink" Target="externalLinks/externalLink29.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externalLink" Target="externalLinks/externalLink3.xml"/><Relationship Id="rId31" Type="http://schemas.openxmlformats.org/officeDocument/2006/relationships/externalLink" Target="externalLinks/externalLink15.xml"/><Relationship Id="rId44" Type="http://schemas.openxmlformats.org/officeDocument/2006/relationships/externalLink" Target="externalLinks/externalLink28.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 Id="rId43" Type="http://schemas.openxmlformats.org/officeDocument/2006/relationships/externalLink" Target="externalLinks/externalLink27.xml"/><Relationship Id="rId48" Type="http://schemas.openxmlformats.org/officeDocument/2006/relationships/externalLink" Target="externalLinks/externalLink32.xml"/><Relationship Id="rId8" Type="http://schemas.openxmlformats.org/officeDocument/2006/relationships/worksheet" Target="worksheets/sheet8.xml"/><Relationship Id="rId51" Type="http://schemas.openxmlformats.org/officeDocument/2006/relationships/externalLink" Target="externalLinks/externalLink3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externalLink" Target="externalLinks/externalLink22.xml"/><Relationship Id="rId46" Type="http://schemas.openxmlformats.org/officeDocument/2006/relationships/externalLink" Target="externalLinks/externalLink30.xml"/><Relationship Id="rId20" Type="http://schemas.openxmlformats.org/officeDocument/2006/relationships/externalLink" Target="externalLinks/externalLink4.xml"/><Relationship Id="rId41" Type="http://schemas.openxmlformats.org/officeDocument/2006/relationships/externalLink" Target="externalLinks/externalLink25.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externalLink" Target="externalLinks/externalLink20.xml"/><Relationship Id="rId49" Type="http://schemas.openxmlformats.org/officeDocument/2006/relationships/externalLink" Target="externalLinks/externalLink33.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17409" name="Button 1" hidden="1">
              <a:extLst>
                <a:ext uri="{63B3BB69-23CF-44E3-9099-C40C66FF867C}">
                  <a14:compatExt spid="_x0000_s1740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7410" name="Button 2" hidden="1">
              <a:extLst>
                <a:ext uri="{63B3BB69-23CF-44E3-9099-C40C66FF867C}">
                  <a14:compatExt spid="_x0000_s1741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2770" name="Button 2" hidden="1">
              <a:extLst>
                <a:ext uri="{63B3BB69-23CF-44E3-9099-C40C66FF867C}">
                  <a14:compatExt spid="_x0000_s3277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18433" name="Button 1" hidden="1">
              <a:extLst>
                <a:ext uri="{63B3BB69-23CF-44E3-9099-C40C66FF867C}">
                  <a14:compatExt spid="_x0000_s1843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8434" name="Button 2" hidden="1">
              <a:extLst>
                <a:ext uri="{63B3BB69-23CF-44E3-9099-C40C66FF867C}">
                  <a14:compatExt spid="_x0000_s1843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19457" name="Button 1" hidden="1">
              <a:extLst>
                <a:ext uri="{63B3BB69-23CF-44E3-9099-C40C66FF867C}">
                  <a14:compatExt spid="_x0000_s1945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9458" name="Button 2" hidden="1">
              <a:extLst>
                <a:ext uri="{63B3BB69-23CF-44E3-9099-C40C66FF867C}">
                  <a14:compatExt spid="_x0000_s1945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20481" name="Button 1" hidden="1">
              <a:extLst>
                <a:ext uri="{63B3BB69-23CF-44E3-9099-C40C66FF867C}">
                  <a14:compatExt spid="_x0000_s2048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20482" name="Button 2" hidden="1">
              <a:extLst>
                <a:ext uri="{63B3BB69-23CF-44E3-9099-C40C66FF867C}">
                  <a14:compatExt spid="_x0000_s2048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1505" name="Button 1" hidden="1">
              <a:extLst>
                <a:ext uri="{63B3BB69-23CF-44E3-9099-C40C66FF867C}">
                  <a14:compatExt spid="_x0000_s2150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1506" name="Button 2" hidden="1">
              <a:extLst>
                <a:ext uri="{63B3BB69-23CF-44E3-9099-C40C66FF867C}">
                  <a14:compatExt spid="_x0000_s2150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2529" name="Button 1" hidden="1">
              <a:extLst>
                <a:ext uri="{63B3BB69-23CF-44E3-9099-C40C66FF867C}">
                  <a14:compatExt spid="_x0000_s2252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2530" name="Button 2" hidden="1">
              <a:extLst>
                <a:ext uri="{63B3BB69-23CF-44E3-9099-C40C66FF867C}">
                  <a14:compatExt spid="_x0000_s2253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3553" name="Button 1" hidden="1">
              <a:extLst>
                <a:ext uri="{63B3BB69-23CF-44E3-9099-C40C66FF867C}">
                  <a14:compatExt spid="_x0000_s2355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3554" name="Button 2" hidden="1">
              <a:extLst>
                <a:ext uri="{63B3BB69-23CF-44E3-9099-C40C66FF867C}">
                  <a14:compatExt spid="_x0000_s2355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4577" name="Button 1" hidden="1">
              <a:extLst>
                <a:ext uri="{63B3BB69-23CF-44E3-9099-C40C66FF867C}">
                  <a14:compatExt spid="_x0000_s2457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4578" name="Button 2" hidden="1">
              <a:extLst>
                <a:ext uri="{63B3BB69-23CF-44E3-9099-C40C66FF867C}">
                  <a14:compatExt spid="_x0000_s2457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5601" name="Button 1" hidden="1">
              <a:extLst>
                <a:ext uri="{63B3BB69-23CF-44E3-9099-C40C66FF867C}">
                  <a14:compatExt spid="_x0000_s2560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5602" name="Button 2" hidden="1">
              <a:extLst>
                <a:ext uri="{63B3BB69-23CF-44E3-9099-C40C66FF867C}">
                  <a14:compatExt spid="_x0000_s2560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26625" name="Button 1" hidden="1">
              <a:extLst>
                <a:ext uri="{63B3BB69-23CF-44E3-9099-C40C66FF867C}">
                  <a14:compatExt spid="_x0000_s266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26627" name="Button 3" hidden="1">
              <a:extLst>
                <a:ext uri="{63B3BB69-23CF-44E3-9099-C40C66FF867C}">
                  <a14:compatExt spid="_x0000_s2662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7649" name="Button 1" hidden="1">
              <a:extLst>
                <a:ext uri="{63B3BB69-23CF-44E3-9099-C40C66FF867C}">
                  <a14:compatExt spid="_x0000_s276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7650" name="Button 2" hidden="1">
              <a:extLst>
                <a:ext uri="{63B3BB69-23CF-44E3-9099-C40C66FF867C}">
                  <a14:compatExt spid="_x0000_s2765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8673" name="Button 1" hidden="1">
              <a:extLst>
                <a:ext uri="{63B3BB69-23CF-44E3-9099-C40C66FF867C}">
                  <a14:compatExt spid="_x0000_s286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8674" name="Button 2" hidden="1">
              <a:extLst>
                <a:ext uri="{63B3BB69-23CF-44E3-9099-C40C66FF867C}">
                  <a14:compatExt spid="_x0000_s2867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9697" name="Button 1" hidden="1">
              <a:extLst>
                <a:ext uri="{63B3BB69-23CF-44E3-9099-C40C66FF867C}">
                  <a14:compatExt spid="_x0000_s296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9698" name="Button 2" hidden="1">
              <a:extLst>
                <a:ext uri="{63B3BB69-23CF-44E3-9099-C40C66FF867C}">
                  <a14:compatExt spid="_x0000_s2969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30721" name="Button 1" hidden="1">
              <a:extLst>
                <a:ext uri="{63B3BB69-23CF-44E3-9099-C40C66FF867C}">
                  <a14:compatExt spid="_x0000_s307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22" name="Button 2" hidden="1">
              <a:extLst>
                <a:ext uri="{63B3BB69-23CF-44E3-9099-C40C66FF867C}">
                  <a14:compatExt spid="_x0000_s3072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31745" name="Button 1" hidden="1">
              <a:extLst>
                <a:ext uri="{63B3BB69-23CF-44E3-9099-C40C66FF867C}">
                  <a14:compatExt spid="_x0000_s317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1746" name="Button 2" hidden="1">
              <a:extLst>
                <a:ext uri="{63B3BB69-23CF-44E3-9099-C40C66FF867C}">
                  <a14:compatExt spid="_x0000_s3174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75;&#1072;&#1079;_&#1062;&#1055;%20(&#1073;&#1077;&#1079;%20&#1053;&#1044;&#1057;)_2&#1087;&#1075;2024&#1075;_&#1084;&#1077;&#1085;&#1077;&#1077;%2050%20&#1090;&#1099;&#1089;%20&#1075;.%20&#1041;&#1086;&#1083;&#1086;&#1090;&#1085;&#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75;&#1072;&#1079;_&#1062;&#1055;%20(&#1073;&#1077;&#1079;%20&#1053;&#1044;&#1057;)_2&#1087;&#1075;2023&#1075;_&#1084;&#1077;&#1085;&#1077;&#1077;%2050%20&#1090;&#1099;&#1089;%20&#1075;.%20&#1041;&#1086;&#1083;&#1086;&#1090;&#1085;&#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75;.%20&#1041;&#1086;&#1083;&#1086;&#1090;&#1085;&#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0;&#1095;&#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0;&#1095;&#1080;&#1085;&#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1;&#1072;&#1081;&#1082;&#1072;&#1083;&#1100;&#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1;&#1072;&#1081;&#1082;&#1072;&#1083;&#1100;&#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75;&#1072;&#1079;_&#1062;&#1055;%20(&#1073;&#1077;&#1079;%20&#1053;&#1044;&#1057;)_2&#1087;&#1075;2024&#1075;_&#1084;&#1077;&#1085;&#1077;&#1077;%2050%20&#1090;&#1099;&#1089;%20&#1041;&#1072;&#1088;&#1072;&#1090;&#1072;&#1077;&#1074;&#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75;&#1072;&#1079;_&#1062;&#1055;%20(&#1073;&#1077;&#1079;%20&#1053;&#1044;&#1057;)_2&#1087;&#1075;2023&#1075;_&#1084;&#1077;&#1085;&#1077;&#1077;%2050%20&#1090;&#1099;&#1089;%20&#1041;&#1072;&#1088;&#1072;&#1090;&#1072;&#1077;&#1074;&#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1;&#1086;&#1088;&#1086;&#1074;&#1089;&#1082;&#1086;&#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1;&#1086;&#1088;&#1086;&#1074;&#1089;&#1082;&#1086;&#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2;&#1072;&#1088;&#1083;&#1072;&#1084;&#1086;&#1074;&#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2;&#1072;&#1088;&#1083;&#1072;&#1084;&#1086;&#1074;&#1089;&#1082;&#1080;&#1081;%20&#1089;&#1089;.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4;&#1080;&#1074;&#1080;&#1085;&#1089;&#1082;&#1080;&#1081;%20&#1089;&#1089;.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4;&#1080;&#1074;&#1080;&#1085;&#1089;&#1082;&#1080;&#1081;%20&#1089;&#108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5;&#1075;&#1086;&#1088;&#1086;&#1074;&#1089;&#1082;&#1080;&#1081;%20&#1089;&#1089;.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5;&#1075;&#1086;&#1088;&#1086;&#1074;&#1089;&#1082;&#1080;&#1081;%20&#1089;&#1089;.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7;&#1091;&#1076;&#1086;&#1074;&#1089;&#1082;&#1080;&#1081;%20&#1089;&#1089;.xlsm"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7;&#1091;&#1076;&#1086;&#1074;&#1089;&#1082;&#1080;&#1081;%20&#1089;&#1089;.xlsm"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75;&#1072;&#1079;_&#1062;&#1055;%20(&#1073;&#1077;&#1079;%20&#1053;&#1044;&#1057;)_2&#1087;&#1075;2024&#1075;_&#1084;&#1077;&#1085;&#1077;&#1077;%2050%20&#1090;&#1099;&#1089;%20&#1050;&#1072;&#1088;&#1072;&#1089;&#1077;&#1074;&#1089;&#1082;&#1080;&#1081;%20&#1089;&#1089;.xlsm"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75;&#1072;&#1079;_&#1062;&#1055;%20(&#1073;&#1077;&#1079;%20&#1053;&#1044;&#1057;)_2&#1087;&#1075;2023&#1075;_&#1084;&#1077;&#1085;&#1077;&#1077;%2050%20&#1090;&#1099;&#1089;%20&#1050;&#1072;&#1088;&#1072;&#1089;&#1077;&#1074;&#1089;&#1082;&#1080;&#1081;%20&#1089;&#1089;.xlsm"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0;&#1086;&#1088;&#1085;&#1080;&#1083;&#1086;&#1074;&#1089;&#1082;&#1080;&#1081;%20&#1089;&#1089;.xlsm"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0;&#1086;&#1088;&#1085;&#1080;&#1083;&#1086;&#1074;&#1089;&#1082;&#1080;&#1081;%20&#1089;&#1089;.xlsm"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0;&#1091;&#1085;&#1095;&#1091;&#1088;&#1091;&#1082;&#1089;&#1082;&#1080;&#1081;%20&#1089;&#1089;.xlsm"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0;&#1091;&#1085;&#1095;&#1091;&#1088;&#1091;&#1082;&#1089;&#1082;&#1080;&#1081;%20&#1089;&#1089;.xlsm"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3;&#1086;&#1074;&#1086;&#1073;&#1080;&#1073;&#1077;&#1077;&#1074;&#1089;&#1082;&#1080;&#1081;%20&#1089;&#1089;.xlsm"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3;&#1086;&#1074;&#1086;&#1073;&#1080;&#1073;&#1077;&#1077;&#1074;&#1089;&#1082;&#1080;&#1081;%20&#1089;&#1089;.xlsm"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4;&#1103;&#1096;&#1080;&#1085;&#1089;&#1082;&#1080;&#1081;%20&#1089;&#1089;.xlsm"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4;&#1103;&#1096;&#1080;&#1085;&#1089;&#1082;&#1080;&#1081;%20&#1089;&#1089;.xlsm"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7;&#1074;&#1077;&#1090;&#1083;&#1086;&#1087;&#1086;&#1083;&#1103;&#1085;&#1089;&#1082;&#1080;&#1081;%20&#1089;&#1089;.xlsm"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7;&#1074;&#1077;&#1090;&#1083;&#1086;&#1087;&#1086;&#1083;&#1103;&#1085;&#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Титульный"/>
      <sheetName val="TSheet"/>
      <sheetName val="к2"/>
      <sheetName val="Контроль"/>
      <sheetName val="tsh"/>
      <sheetName val="Анализ"/>
      <sheetName val="11"/>
      <sheetName val="ORGS"/>
      <sheetName val="Обнулить"/>
      <sheetName val="TEHSHEET"/>
      <sheetName val="REESTR_MO"/>
      <sheetName val="таблица7 (технол.нужды)"/>
      <sheetName val="таблица7 (хоз.нужды)"/>
      <sheetName val="REESTR"/>
      <sheetName val="FST5"/>
      <sheetName val="СЛ7"/>
      <sheetName val="СЛ3"/>
      <sheetName val="Титульный лист"/>
      <sheetName val="Инструкция"/>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Болотное</v>
          </cell>
        </row>
        <row r="15">
          <cell r="D15" t="str">
            <v/>
          </cell>
        </row>
        <row r="16">
          <cell r="D16" t="str">
            <v>Код ОКТМО</v>
          </cell>
          <cell r="E16" t="str">
            <v>50606101001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1337.7636293971889</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222.28511285714538</v>
          </cell>
        </row>
        <row r="29">
          <cell r="F29">
            <v>0.29684983999999998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317.76353663274273</v>
          </cell>
        </row>
        <row r="14">
          <cell r="F14">
            <v>4203.1296622562686</v>
          </cell>
        </row>
        <row r="15">
          <cell r="F15">
            <v>0.2</v>
          </cell>
        </row>
        <row r="18">
          <cell r="F18">
            <v>15</v>
          </cell>
        </row>
        <row r="19">
          <cell r="F19">
            <v>2638.2577020926874</v>
          </cell>
        </row>
        <row r="20">
          <cell r="F20">
            <v>2.1999999999999999E-2</v>
          </cell>
        </row>
        <row r="21">
          <cell r="F21">
            <v>10</v>
          </cell>
        </row>
        <row r="22">
          <cell r="F22">
            <v>0.6668553385714362</v>
          </cell>
        </row>
        <row r="23">
          <cell r="F23">
            <v>3.0000000000000001E-3</v>
          </cell>
        </row>
        <row r="24">
          <cell r="F24">
            <v>222.28511285714538</v>
          </cell>
        </row>
      </sheetData>
      <sheetData sheetId="23"/>
      <sheetData sheetId="24">
        <row r="12">
          <cell r="F12">
            <v>230.65925841771428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40.123830000000005</v>
          </cell>
        </row>
        <row r="27">
          <cell r="F27">
            <v>904.62444244124072</v>
          </cell>
        </row>
        <row r="28">
          <cell r="F28">
            <v>694.79603874135228</v>
          </cell>
        </row>
        <row r="29">
          <cell r="F29">
            <v>209.82840369988838</v>
          </cell>
        </row>
        <row r="30">
          <cell r="F30">
            <v>475.17307267672106</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18.059999999999999</v>
          </cell>
        </row>
        <row r="19">
          <cell r="E19">
            <v>71.67</v>
          </cell>
        </row>
      </sheetData>
      <sheetData sheetId="28" refreshError="1"/>
      <sheetData sheetId="29">
        <row r="12">
          <cell r="F12">
            <v>57.61073592083617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Болотное</v>
          </cell>
        </row>
        <row r="15">
          <cell r="D15" t="str">
            <v/>
          </cell>
        </row>
        <row r="16">
          <cell r="D16" t="str">
            <v>Код ОКТМО</v>
          </cell>
          <cell r="E16" t="str">
            <v>50606101001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502.04092522744986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2255.6916666666666</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427.58100773518561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1468.7660439664728</v>
          </cell>
        </row>
        <row r="33">
          <cell r="F33">
            <v>748.64975969802072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67.936599375325301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Ача, Болотнинский муниципальный район</v>
          </cell>
        </row>
        <row r="15">
          <cell r="D15" t="str">
            <v/>
          </cell>
        </row>
        <row r="16">
          <cell r="D16" t="str">
            <v>Код ОКТМО</v>
          </cell>
          <cell r="E16" t="str">
            <v>50606402101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676.54810514264727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3039.76</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439.79651032924949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1723.0700871400568</v>
          </cell>
        </row>
        <row r="33">
          <cell r="F33">
            <v>1002.9538028716045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71.671053025510531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804.02914480228549</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421.95053499733001</v>
          </cell>
        </row>
      </sheetData>
      <sheetData sheetId="26"/>
      <sheetData sheetId="27">
        <row r="8">
          <cell r="F8" t="str">
            <v>нет</v>
          </cell>
        </row>
      </sheetData>
      <sheetData sheetId="28">
        <row r="11">
          <cell r="E11">
            <v>1871</v>
          </cell>
        </row>
      </sheetData>
      <sheetData sheetId="29"/>
      <sheetData sheetId="30">
        <row r="12">
          <cell r="F12">
            <v>76.851359478050426</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деревня Байкал, Болотнинский муниципальный район </v>
          </cell>
        </row>
        <row r="15">
          <cell r="D15" t="str">
            <v/>
          </cell>
        </row>
        <row r="16">
          <cell r="D16" t="str">
            <v>Код ОКТМО</v>
          </cell>
          <cell r="E16" t="str">
            <v>50606404101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634.19374018993858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2849.46</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436.83170478255988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1661.3483501962958</v>
          </cell>
        </row>
        <row r="33">
          <cell r="F33">
            <v>941.23206592784356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70.76466961552255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802.55783620703426</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421.25830023764729</v>
          </cell>
        </row>
      </sheetData>
      <sheetData sheetId="26"/>
      <sheetData sheetId="27">
        <row r="8">
          <cell r="F8" t="str">
            <v>нет</v>
          </cell>
        </row>
      </sheetData>
      <sheetData sheetId="28">
        <row r="11">
          <cell r="E11">
            <v>1871</v>
          </cell>
        </row>
      </sheetData>
      <sheetData sheetId="29"/>
      <sheetData sheetId="30">
        <row r="12">
          <cell r="F12">
            <v>76.808088610951742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Баратаевка, Болотнинский муниципальный район</v>
          </cell>
        </row>
        <row r="15">
          <cell r="D15" t="str">
            <v/>
          </cell>
        </row>
        <row r="16">
          <cell r="D16" t="str">
            <v>Код ОКТМО</v>
          </cell>
          <cell r="E16" t="str">
            <v>50606405101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1337.7636293971889</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222.28511285714538</v>
          </cell>
        </row>
        <row r="29">
          <cell r="F29">
            <v>0.29684983999999998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317.76353663274273</v>
          </cell>
        </row>
        <row r="14">
          <cell r="F14">
            <v>4203.1296622562686</v>
          </cell>
        </row>
        <row r="15">
          <cell r="F15">
            <v>0.2</v>
          </cell>
        </row>
        <row r="18">
          <cell r="F18">
            <v>15</v>
          </cell>
        </row>
        <row r="19">
          <cell r="F19">
            <v>2638.2577020926874</v>
          </cell>
        </row>
        <row r="20">
          <cell r="F20">
            <v>2.1999999999999999E-2</v>
          </cell>
        </row>
        <row r="21">
          <cell r="F21">
            <v>10</v>
          </cell>
        </row>
        <row r="22">
          <cell r="F22">
            <v>0.6668553385714362</v>
          </cell>
        </row>
        <row r="23">
          <cell r="F23">
            <v>3.0000000000000001E-3</v>
          </cell>
        </row>
        <row r="24">
          <cell r="F24">
            <v>222.28511285714538</v>
          </cell>
        </row>
      </sheetData>
      <sheetData sheetId="23"/>
      <sheetData sheetId="24">
        <row r="12">
          <cell r="F12">
            <v>230.65925841771428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40.123830000000005</v>
          </cell>
        </row>
        <row r="27">
          <cell r="F27">
            <v>904.62444244124072</v>
          </cell>
        </row>
        <row r="28">
          <cell r="F28">
            <v>694.79603874135228</v>
          </cell>
        </row>
        <row r="29">
          <cell r="F29">
            <v>209.82840369988838</v>
          </cell>
        </row>
        <row r="30">
          <cell r="F30">
            <v>475.17307267672106</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18.059999999999999</v>
          </cell>
        </row>
        <row r="19">
          <cell r="E19">
            <v>71.67</v>
          </cell>
        </row>
      </sheetData>
      <sheetData sheetId="28" refreshError="1"/>
      <sheetData sheetId="29">
        <row r="12">
          <cell r="F12">
            <v>57.61073592083617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912.75572352910331</v>
          </cell>
        </row>
      </sheetData>
      <sheetData sheetId="8">
        <row r="16">
          <cell r="E16">
            <v>7900</v>
          </cell>
        </row>
      </sheetData>
      <sheetData sheetId="9"/>
      <sheetData sheetId="10"/>
      <sheetData sheetId="11"/>
      <sheetData sheetId="12"/>
      <sheetData sheetId="13">
        <row r="12">
          <cell r="F12">
            <v>1416.9522400452229</v>
          </cell>
        </row>
      </sheetData>
      <sheetData sheetId="14">
        <row r="12">
          <cell r="E12" t="str">
            <v>V</v>
          </cell>
        </row>
      </sheetData>
      <sheetData sheetId="15"/>
      <sheetData sheetId="16">
        <row r="10">
          <cell r="E10">
            <v>1287</v>
          </cell>
        </row>
      </sheetData>
      <sheetData sheetId="17">
        <row r="11">
          <cell r="E11">
            <v>5.45</v>
          </cell>
        </row>
      </sheetData>
      <sheetData sheetId="18"/>
      <sheetData sheetId="19">
        <row r="11">
          <cell r="E11">
            <v>-2.9000000000000026E-2</v>
          </cell>
        </row>
      </sheetData>
      <sheetData sheetId="20"/>
      <sheetData sheetId="21"/>
      <sheetData sheetId="22">
        <row r="12">
          <cell r="F12">
            <v>338.84523280095323</v>
          </cell>
        </row>
      </sheetData>
      <sheetData sheetId="23"/>
      <sheetData sheetId="24">
        <row r="12">
          <cell r="F12">
            <v>215.17099954016695</v>
          </cell>
        </row>
      </sheetData>
      <sheetData sheetId="25"/>
      <sheetData sheetId="26">
        <row r="8">
          <cell r="F8" t="str">
            <v>нет</v>
          </cell>
        </row>
      </sheetData>
      <sheetData sheetId="27">
        <row r="11">
          <cell r="E11">
            <v>1871</v>
          </cell>
        </row>
      </sheetData>
      <sheetData sheetId="28"/>
      <sheetData sheetId="29">
        <row r="12">
          <cell r="F12">
            <v>57.674483918308923</v>
          </cell>
        </row>
      </sheetData>
      <sheetData sheetId="30">
        <row r="12">
          <cell r="F12">
            <v>0</v>
          </cell>
        </row>
      </sheetData>
      <sheetData sheetId="31">
        <row r="11">
          <cell r="E11"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Бор, Болотнинский муниципальный район</v>
          </cell>
        </row>
        <row r="15">
          <cell r="D15" t="str">
            <v/>
          </cell>
        </row>
        <row r="16">
          <cell r="D16" t="str">
            <v>Код ОКТМО</v>
          </cell>
          <cell r="E16" t="str">
            <v>50606407101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634.19374018993858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2849.46</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436.83170478255988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1661.3483501962958</v>
          </cell>
        </row>
        <row r="33">
          <cell r="F33">
            <v>941.23206592784356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70.76466961552255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773.52520361320001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sheetData sheetId="10"/>
      <sheetData sheetId="11">
        <row r="9">
          <cell r="G9">
            <v>0</v>
          </cell>
        </row>
      </sheetData>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row>
      </sheetData>
      <sheetData sheetId="21">
        <row r="11">
          <cell r="G11" t="str">
            <v>Информация с официального сайта Банка России</v>
          </cell>
        </row>
      </sheetData>
      <sheetData sheetId="22"/>
      <sheetData sheetId="23">
        <row r="12">
          <cell r="F12">
            <v>505.24299596908781</v>
          </cell>
        </row>
      </sheetData>
      <sheetData sheetId="24">
        <row r="12">
          <cell r="F12">
            <v>0</v>
          </cell>
        </row>
      </sheetData>
      <sheetData sheetId="25">
        <row r="12">
          <cell r="F12">
            <v>420.23090781476844</v>
          </cell>
        </row>
      </sheetData>
      <sheetData sheetId="26">
        <row r="12">
          <cell r="F12" t="str">
            <v>пп № 274 от 01.03.2022</v>
          </cell>
        </row>
      </sheetData>
      <sheetData sheetId="27">
        <row r="8">
          <cell r="F8" t="str">
            <v>нет</v>
          </cell>
        </row>
      </sheetData>
      <sheetData sheetId="28">
        <row r="11">
          <cell r="E11">
            <v>1871</v>
          </cell>
        </row>
      </sheetData>
      <sheetData sheetId="29"/>
      <sheetData sheetId="30">
        <row r="12">
          <cell r="F12">
            <v>76.20688811061747</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Варламово, Болотнинский муниципальный район</v>
          </cell>
        </row>
        <row r="15">
          <cell r="D15" t="str">
            <v/>
          </cell>
        </row>
        <row r="16">
          <cell r="D16" t="str">
            <v>Код ОКТМО</v>
          </cell>
          <cell r="E16" t="str">
            <v>50606410101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676.60152105220402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439.80024944291841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1723.1479285318933</v>
          </cell>
        </row>
        <row r="33">
          <cell r="F33">
            <v>1003.031644263441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71.672196125975034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804.73577109171799</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421.6479199381954</v>
          </cell>
        </row>
      </sheetData>
      <sheetData sheetId="26"/>
      <sheetData sheetId="27">
        <row r="8">
          <cell r="F8" t="str">
            <v>нет</v>
          </cell>
        </row>
      </sheetData>
      <sheetData sheetId="28">
        <row r="11">
          <cell r="E11">
            <v>1871</v>
          </cell>
        </row>
      </sheetData>
      <sheetData sheetId="29"/>
      <sheetData sheetId="30">
        <row r="12">
          <cell r="F12">
            <v>76.859439702656388</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Дивинка, Болотнинский муниципальный район</v>
          </cell>
        </row>
        <row r="15">
          <cell r="D15" t="str">
            <v/>
          </cell>
        </row>
        <row r="16">
          <cell r="D16" t="str">
            <v>Код ОКТМО</v>
          </cell>
          <cell r="E16" t="str">
            <v>50606413101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676.60152105220402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439.80024944291841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1723.1479285318933</v>
          </cell>
        </row>
        <row r="33">
          <cell r="F33">
            <v>1003.031644263441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71.672196125975034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791.45119685038503</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421.26812302160653</v>
          </cell>
        </row>
      </sheetData>
      <sheetData sheetId="26"/>
      <sheetData sheetId="27">
        <row r="8">
          <cell r="F8" t="str">
            <v>нет</v>
          </cell>
        </row>
      </sheetData>
      <sheetData sheetId="28">
        <row r="11">
          <cell r="E11">
            <v>1871</v>
          </cell>
        </row>
      </sheetData>
      <sheetData sheetId="29"/>
      <sheetData sheetId="30">
        <row r="12">
          <cell r="F12">
            <v>76.586152279497952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Егоровка, Болотнинский муниципальный район</v>
          </cell>
        </row>
        <row r="15">
          <cell r="D15" t="str">
            <v/>
          </cell>
        </row>
        <row r="16">
          <cell r="D16" t="str">
            <v>Код ОКТМО</v>
          </cell>
          <cell r="E16" t="str">
            <v>50606413101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676.75286612928141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3040.68</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439.81084359831385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1723.3684791420967</v>
          </cell>
        </row>
        <row r="33">
          <cell r="F33">
            <v>1003.2521948736445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71.675434910624503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811.22557569729634</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422.33692552684914</v>
          </cell>
        </row>
      </sheetData>
      <sheetData sheetId="26"/>
      <sheetData sheetId="27">
        <row r="8">
          <cell r="F8" t="str">
            <v>нет</v>
          </cell>
        </row>
      </sheetData>
      <sheetData sheetId="28">
        <row r="11">
          <cell r="E11">
            <v>1871</v>
          </cell>
        </row>
      </sheetData>
      <sheetData sheetId="29"/>
      <sheetData sheetId="30">
        <row r="12">
          <cell r="F12">
            <v>77.003015906541023</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Зудово, Болотнинский муниципальный район </v>
          </cell>
        </row>
        <row r="15">
          <cell r="D15" t="str">
            <v/>
          </cell>
        </row>
        <row r="16">
          <cell r="D16" t="str">
            <v>Код ОКТМО</v>
          </cell>
          <cell r="E16" t="str">
            <v>50606419101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676.75286612928141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3040.68</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439.81084359831385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1723.3684791420967</v>
          </cell>
        </row>
        <row r="33">
          <cell r="F33">
            <v>1003.2521948736445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71.675434910624503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805.76967692572975</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422.25819166509609</v>
          </cell>
        </row>
      </sheetData>
      <sheetData sheetId="26"/>
      <sheetData sheetId="27">
        <row r="8">
          <cell r="F8" t="str">
            <v>нет</v>
          </cell>
        </row>
      </sheetData>
      <sheetData sheetId="28">
        <row r="11">
          <cell r="E11">
            <v>1871</v>
          </cell>
        </row>
      </sheetData>
      <sheetData sheetId="29"/>
      <sheetData sheetId="30">
        <row r="12">
          <cell r="F12">
            <v>76.892323253874636</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Карасево, Болотнинский муниципальный район</v>
          </cell>
        </row>
        <row r="15">
          <cell r="D15" t="str">
            <v/>
          </cell>
        </row>
        <row r="16">
          <cell r="D16" t="str">
            <v>Код ОКТМО</v>
          </cell>
          <cell r="E16" t="str">
            <v>50606422101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1337.7636293971889</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222.28511285714538</v>
          </cell>
        </row>
        <row r="29">
          <cell r="F29">
            <v>0.29684983999999998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317.76353663274273</v>
          </cell>
        </row>
        <row r="14">
          <cell r="F14">
            <v>4203.1296622562686</v>
          </cell>
        </row>
        <row r="15">
          <cell r="F15">
            <v>0.2</v>
          </cell>
        </row>
        <row r="18">
          <cell r="F18">
            <v>15</v>
          </cell>
        </row>
        <row r="19">
          <cell r="F19">
            <v>2638.2577020926874</v>
          </cell>
        </row>
        <row r="20">
          <cell r="F20">
            <v>2.1999999999999999E-2</v>
          </cell>
        </row>
        <row r="21">
          <cell r="F21">
            <v>10</v>
          </cell>
        </row>
        <row r="22">
          <cell r="F22">
            <v>0.6668553385714362</v>
          </cell>
        </row>
        <row r="23">
          <cell r="F23">
            <v>3.0000000000000001E-3</v>
          </cell>
        </row>
        <row r="24">
          <cell r="F24">
            <v>222.28511285714538</v>
          </cell>
        </row>
      </sheetData>
      <sheetData sheetId="23"/>
      <sheetData sheetId="24">
        <row r="12">
          <cell r="F12">
            <v>230.65925841771428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40.123830000000005</v>
          </cell>
        </row>
        <row r="27">
          <cell r="F27">
            <v>904.62444244124072</v>
          </cell>
        </row>
        <row r="28">
          <cell r="F28">
            <v>694.79603874135228</v>
          </cell>
        </row>
        <row r="29">
          <cell r="F29">
            <v>209.82840369988838</v>
          </cell>
        </row>
        <row r="30">
          <cell r="F30">
            <v>475.17307267672106</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18.059999999999999</v>
          </cell>
        </row>
        <row r="19">
          <cell r="E19">
            <v>71.67</v>
          </cell>
        </row>
      </sheetData>
      <sheetData sheetId="28" refreshError="1"/>
      <sheetData sheetId="29">
        <row r="12">
          <cell r="F12">
            <v>57.61073592083617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912.75572352910331</v>
          </cell>
        </row>
      </sheetData>
      <sheetData sheetId="8">
        <row r="16">
          <cell r="E16">
            <v>7900</v>
          </cell>
        </row>
      </sheetData>
      <sheetData sheetId="9"/>
      <sheetData sheetId="10"/>
      <sheetData sheetId="11"/>
      <sheetData sheetId="12"/>
      <sheetData sheetId="13">
        <row r="12">
          <cell r="F12">
            <v>1416.9522400452229</v>
          </cell>
        </row>
      </sheetData>
      <sheetData sheetId="14">
        <row r="12">
          <cell r="E12" t="str">
            <v>V</v>
          </cell>
        </row>
      </sheetData>
      <sheetData sheetId="15"/>
      <sheetData sheetId="16">
        <row r="10">
          <cell r="E10">
            <v>1287</v>
          </cell>
        </row>
      </sheetData>
      <sheetData sheetId="17">
        <row r="11">
          <cell r="E11">
            <v>5.45</v>
          </cell>
        </row>
      </sheetData>
      <sheetData sheetId="18"/>
      <sheetData sheetId="19">
        <row r="11">
          <cell r="E11">
            <v>-2.9000000000000026E-2</v>
          </cell>
        </row>
      </sheetData>
      <sheetData sheetId="20"/>
      <sheetData sheetId="21"/>
      <sheetData sheetId="22">
        <row r="12">
          <cell r="F12">
            <v>338.84523280095323</v>
          </cell>
        </row>
      </sheetData>
      <sheetData sheetId="23"/>
      <sheetData sheetId="24">
        <row r="12">
          <cell r="F12">
            <v>215.81433173361782</v>
          </cell>
        </row>
      </sheetData>
      <sheetData sheetId="25"/>
      <sheetData sheetId="26">
        <row r="8">
          <cell r="F8" t="str">
            <v>нет</v>
          </cell>
        </row>
      </sheetData>
      <sheetData sheetId="27">
        <row r="11">
          <cell r="E11">
            <v>1871</v>
          </cell>
        </row>
      </sheetData>
      <sheetData sheetId="28"/>
      <sheetData sheetId="29">
        <row r="12">
          <cell r="F12">
            <v>57.687350562177947</v>
          </cell>
        </row>
      </sheetData>
      <sheetData sheetId="30">
        <row r="12">
          <cell r="F12">
            <v>0</v>
          </cell>
        </row>
      </sheetData>
      <sheetData sheetId="31">
        <row r="11">
          <cell r="E11"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Корнилово, Болотнинский муниципальный район</v>
          </cell>
        </row>
        <row r="15">
          <cell r="D15" t="str">
            <v/>
          </cell>
        </row>
        <row r="16">
          <cell r="D16" t="str">
            <v>Код ОКТМО</v>
          </cell>
          <cell r="E16" t="str">
            <v>50606425101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651.25789763042292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2926.13</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438.02619580339376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1686.2154314967588</v>
          </cell>
        </row>
        <row r="33">
          <cell r="F33">
            <v>966.09914722830672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71.129842584748928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803.29276582698185</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421.94299833148295</v>
          </cell>
        </row>
      </sheetData>
      <sheetData sheetId="26"/>
      <sheetData sheetId="27">
        <row r="8">
          <cell r="F8" t="str">
            <v>нет</v>
          </cell>
        </row>
      </sheetData>
      <sheetData sheetId="28">
        <row r="11">
          <cell r="E11">
            <v>1871</v>
          </cell>
        </row>
      </sheetData>
      <sheetData sheetId="29"/>
      <sheetData sheetId="30">
        <row r="12">
          <cell r="F12">
            <v>76.836481165227411</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Кунчурук, Болотнинский муниципальный район</v>
          </cell>
        </row>
        <row r="15">
          <cell r="D15" t="str">
            <v/>
          </cell>
        </row>
        <row r="16">
          <cell r="D16" t="str">
            <v>Код ОКТМО</v>
          </cell>
          <cell r="E16" t="str">
            <v>50606428101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676.60152105220402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439.80024944291841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1723.1479285318933</v>
          </cell>
        </row>
        <row r="33">
          <cell r="F33">
            <v>1003.031644263441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71.672196125975034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801.52620010340036</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420.65796736130056</v>
          </cell>
        </row>
      </sheetData>
      <sheetData sheetId="26"/>
      <sheetData sheetId="27">
        <row r="8">
          <cell r="F8" t="str">
            <v>нет</v>
          </cell>
        </row>
      </sheetData>
      <sheetData sheetId="28">
        <row r="11">
          <cell r="E11">
            <v>1871</v>
          </cell>
        </row>
      </sheetData>
      <sheetData sheetId="29"/>
      <sheetData sheetId="30">
        <row r="12">
          <cell r="F12">
            <v>76.775449231352127</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Новобибеево, Болотнинский муниципальный район</v>
          </cell>
        </row>
        <row r="15">
          <cell r="D15" t="str">
            <v/>
          </cell>
        </row>
        <row r="16">
          <cell r="D16" t="str">
            <v>Код ОКТМО</v>
          </cell>
          <cell r="E16" t="str">
            <v>50606434101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676.60152105220402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v>
          </cell>
        </row>
      </sheetData>
      <sheetData sheetId="9" refreshError="1"/>
      <sheetData sheetId="10" refreshError="1"/>
      <sheetData sheetId="11"/>
      <sheetData sheetId="12" refreshError="1"/>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439.80024944291841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1723.1479285318933</v>
          </cell>
        </row>
        <row r="33">
          <cell r="F33">
            <v>1003.031644263441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refreshError="1"/>
      <sheetData sheetId="30">
        <row r="12">
          <cell r="F12">
            <v>71.672196125975034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801.51132376046507</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420.74739073450081</v>
          </cell>
        </row>
      </sheetData>
      <sheetData sheetId="26"/>
      <sheetData sheetId="27">
        <row r="8">
          <cell r="F8" t="str">
            <v>нет</v>
          </cell>
        </row>
      </sheetData>
      <sheetData sheetId="28">
        <row r="11">
          <cell r="E11">
            <v>1871</v>
          </cell>
        </row>
      </sheetData>
      <sheetData sheetId="29"/>
      <sheetData sheetId="30">
        <row r="12">
          <cell r="F12">
            <v>76.77694017195742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Ояш, Болотнинский муниципальный район</v>
          </cell>
        </row>
        <row r="15">
          <cell r="D15" t="str">
            <v/>
          </cell>
        </row>
        <row r="16">
          <cell r="D16" t="str">
            <v>Код ОКТМО</v>
          </cell>
          <cell r="E16" t="str">
            <v>50606437101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676.60152105220402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v>
          </cell>
        </row>
      </sheetData>
      <sheetData sheetId="9"/>
      <sheetData sheetId="10"/>
      <sheetData sheetId="11"/>
      <sheetData sheetId="12"/>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439.80024944291841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1723.1479285318933</v>
          </cell>
        </row>
        <row r="33">
          <cell r="F33">
            <v>1003.031644263441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sheetData sheetId="30">
        <row r="12">
          <cell r="F12">
            <v>71.672196125975034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801.46297564592476</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421.31368958564275</v>
          </cell>
        </row>
      </sheetData>
      <sheetData sheetId="26"/>
      <sheetData sheetId="27">
        <row r="8">
          <cell r="F8" t="str">
            <v>нет</v>
          </cell>
        </row>
      </sheetData>
      <sheetData sheetId="28">
        <row r="11">
          <cell r="E11">
            <v>1871</v>
          </cell>
        </row>
      </sheetData>
      <sheetData sheetId="29"/>
      <sheetData sheetId="30">
        <row r="12">
          <cell r="F12">
            <v>76.787299186689467</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Светлая Поляна, Болотнинский муниципальный район</v>
          </cell>
        </row>
        <row r="15">
          <cell r="D15" t="str">
            <v/>
          </cell>
        </row>
        <row r="16">
          <cell r="D16" t="str">
            <v>Код ОКТМО</v>
          </cell>
          <cell r="E16" t="str">
            <v>50606443101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676.60152105220402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3040</v>
          </cell>
        </row>
      </sheetData>
      <sheetData sheetId="9"/>
      <sheetData sheetId="10"/>
      <sheetData sheetId="11"/>
      <sheetData sheetId="12"/>
      <sheetData sheetId="13">
        <row r="12">
          <cell r="F12">
            <v>1993.3494362887216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1867.194948000021</v>
          </cell>
        </row>
        <row r="27">
          <cell r="F27">
            <v>0.29684983999999998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sheetData sheetId="23">
        <row r="12">
          <cell r="F12">
            <v>473.85859951490778</v>
          </cell>
        </row>
        <row r="14">
          <cell r="F14">
            <v>6081.0916722812572</v>
          </cell>
        </row>
        <row r="15">
          <cell r="F15">
            <v>0.2</v>
          </cell>
        </row>
        <row r="18">
          <cell r="F18">
            <v>15</v>
          </cell>
        </row>
        <row r="19">
          <cell r="F19">
            <v>3778.1614077800232</v>
          </cell>
        </row>
        <row r="20">
          <cell r="F20">
            <v>2.1999999999999999E-2</v>
          </cell>
        </row>
        <row r="21">
          <cell r="F21">
            <v>10</v>
          </cell>
        </row>
        <row r="22">
          <cell r="F22">
            <v>5.6015848440000635</v>
          </cell>
        </row>
        <row r="23">
          <cell r="F23">
            <v>3.0000000000000001E-3</v>
          </cell>
        </row>
        <row r="24">
          <cell r="F24">
            <v>1867.194948000021</v>
          </cell>
        </row>
      </sheetData>
      <sheetData sheetId="24"/>
      <sheetData sheetId="25">
        <row r="12">
          <cell r="F12">
            <v>439.80024944291841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1723.1479285318933</v>
          </cell>
        </row>
        <row r="33">
          <cell r="F33">
            <v>1003.031644263441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20.350000000000001</v>
          </cell>
        </row>
        <row r="19">
          <cell r="E19">
            <v>71.67</v>
          </cell>
        </row>
      </sheetData>
      <sheetData sheetId="29"/>
      <sheetData sheetId="30">
        <row r="12">
          <cell r="F12">
            <v>71.672196125975034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759.87987805568332</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417.04590199624135</v>
          </cell>
        </row>
      </sheetData>
      <sheetData sheetId="26"/>
      <sheetData sheetId="27">
        <row r="8">
          <cell r="F8" t="str">
            <v>нет</v>
          </cell>
        </row>
      </sheetData>
      <sheetData sheetId="28">
        <row r="11">
          <cell r="E11">
            <v>1871</v>
          </cell>
        </row>
      </sheetData>
      <sheetData sheetId="29"/>
      <sheetData sheetId="30">
        <row r="12">
          <cell r="F12">
            <v>75.870281483096619</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3.vml"/><Relationship Id="rId1" Type="http://schemas.openxmlformats.org/officeDocument/2006/relationships/drawing" Target="../drawings/drawing3.xml"/><Relationship Id="rId4" Type="http://schemas.openxmlformats.org/officeDocument/2006/relationships/ctrlProp" Target="../ctrlProps/ctrlProp5.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4.vml"/><Relationship Id="rId1" Type="http://schemas.openxmlformats.org/officeDocument/2006/relationships/drawing" Target="../drawings/drawing4.xml"/><Relationship Id="rId4" Type="http://schemas.openxmlformats.org/officeDocument/2006/relationships/ctrlProp" Target="../ctrlProps/ctrlProp7.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5.vml"/><Relationship Id="rId1" Type="http://schemas.openxmlformats.org/officeDocument/2006/relationships/drawing" Target="../drawings/drawing5.xml"/><Relationship Id="rId4" Type="http://schemas.openxmlformats.org/officeDocument/2006/relationships/ctrlProp" Target="../ctrlProps/ctrlProp9.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6.vml"/><Relationship Id="rId1" Type="http://schemas.openxmlformats.org/officeDocument/2006/relationships/drawing" Target="../drawings/drawing6.xml"/><Relationship Id="rId4" Type="http://schemas.openxmlformats.org/officeDocument/2006/relationships/ctrlProp" Target="../ctrlProps/ctrlProp11.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7.vml"/><Relationship Id="rId1" Type="http://schemas.openxmlformats.org/officeDocument/2006/relationships/drawing" Target="../drawings/drawing7.xml"/><Relationship Id="rId4" Type="http://schemas.openxmlformats.org/officeDocument/2006/relationships/ctrlProp" Target="../ctrlProps/ctrlProp13.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14.xml"/><Relationship Id="rId2" Type="http://schemas.openxmlformats.org/officeDocument/2006/relationships/vmlDrawing" Target="../drawings/vmlDrawing8.vml"/><Relationship Id="rId1" Type="http://schemas.openxmlformats.org/officeDocument/2006/relationships/drawing" Target="../drawings/drawing8.xml"/><Relationship Id="rId4" Type="http://schemas.openxmlformats.org/officeDocument/2006/relationships/ctrlProp" Target="../ctrlProps/ctrlProp15.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16.xml"/><Relationship Id="rId2" Type="http://schemas.openxmlformats.org/officeDocument/2006/relationships/vmlDrawing" Target="../drawings/vmlDrawing9.vml"/><Relationship Id="rId1" Type="http://schemas.openxmlformats.org/officeDocument/2006/relationships/drawing" Target="../drawings/drawing9.xml"/><Relationship Id="rId4" Type="http://schemas.openxmlformats.org/officeDocument/2006/relationships/ctrlProp" Target="../ctrlProps/ctrlProp17.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8.xml"/><Relationship Id="rId2" Type="http://schemas.openxmlformats.org/officeDocument/2006/relationships/vmlDrawing" Target="../drawings/vmlDrawing10.vml"/><Relationship Id="rId1" Type="http://schemas.openxmlformats.org/officeDocument/2006/relationships/drawing" Target="../drawings/drawing10.xml"/><Relationship Id="rId4" Type="http://schemas.openxmlformats.org/officeDocument/2006/relationships/ctrlProp" Target="../ctrlProps/ctrlProp19.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20.xml"/><Relationship Id="rId2" Type="http://schemas.openxmlformats.org/officeDocument/2006/relationships/vmlDrawing" Target="../drawings/vmlDrawing11.vml"/><Relationship Id="rId1" Type="http://schemas.openxmlformats.org/officeDocument/2006/relationships/drawing" Target="../drawings/drawing11.xml"/><Relationship Id="rId4" Type="http://schemas.openxmlformats.org/officeDocument/2006/relationships/ctrlProp" Target="../ctrlProps/ctrlProp21.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22.xml"/><Relationship Id="rId2" Type="http://schemas.openxmlformats.org/officeDocument/2006/relationships/vmlDrawing" Target="../drawings/vmlDrawing12.vml"/><Relationship Id="rId1" Type="http://schemas.openxmlformats.org/officeDocument/2006/relationships/drawing" Target="../drawings/drawing12.xml"/><Relationship Id="rId4" Type="http://schemas.openxmlformats.org/officeDocument/2006/relationships/ctrlProp" Target="../ctrlProps/ctrlProp23.xml"/></Relationships>
</file>

<file path=xl/worksheets/_rels/sheet13.xml.rels><?xml version="1.0" encoding="UTF-8" standalone="yes"?>
<Relationships xmlns="http://schemas.openxmlformats.org/package/2006/relationships"><Relationship Id="rId3" Type="http://schemas.openxmlformats.org/officeDocument/2006/relationships/ctrlProp" Target="../ctrlProps/ctrlProp24.xml"/><Relationship Id="rId2" Type="http://schemas.openxmlformats.org/officeDocument/2006/relationships/vmlDrawing" Target="../drawings/vmlDrawing13.vml"/><Relationship Id="rId1" Type="http://schemas.openxmlformats.org/officeDocument/2006/relationships/drawing" Target="../drawings/drawing13.xml"/><Relationship Id="rId4" Type="http://schemas.openxmlformats.org/officeDocument/2006/relationships/ctrlProp" Target="../ctrlProps/ctrlProp25.xml"/></Relationships>
</file>

<file path=xl/worksheets/_rels/sheet14.xml.rels><?xml version="1.0" encoding="UTF-8" standalone="yes"?>
<Relationships xmlns="http://schemas.openxmlformats.org/package/2006/relationships"><Relationship Id="rId3" Type="http://schemas.openxmlformats.org/officeDocument/2006/relationships/ctrlProp" Target="../ctrlProps/ctrlProp26.xml"/><Relationship Id="rId2" Type="http://schemas.openxmlformats.org/officeDocument/2006/relationships/vmlDrawing" Target="../drawings/vmlDrawing14.vml"/><Relationship Id="rId1" Type="http://schemas.openxmlformats.org/officeDocument/2006/relationships/drawing" Target="../drawings/drawing14.xml"/><Relationship Id="rId4" Type="http://schemas.openxmlformats.org/officeDocument/2006/relationships/ctrlProp" Target="../ctrlProps/ctrlProp27.xml"/></Relationships>
</file>

<file path=xl/worksheets/_rels/sheet15.xml.rels><?xml version="1.0" encoding="UTF-8" standalone="yes"?>
<Relationships xmlns="http://schemas.openxmlformats.org/package/2006/relationships"><Relationship Id="rId3" Type="http://schemas.openxmlformats.org/officeDocument/2006/relationships/ctrlProp" Target="../ctrlProps/ctrlProp28.xml"/><Relationship Id="rId2" Type="http://schemas.openxmlformats.org/officeDocument/2006/relationships/vmlDrawing" Target="../drawings/vmlDrawing15.vml"/><Relationship Id="rId1" Type="http://schemas.openxmlformats.org/officeDocument/2006/relationships/drawing" Target="../drawings/drawing15.xml"/><Relationship Id="rId4" Type="http://schemas.openxmlformats.org/officeDocument/2006/relationships/ctrlProp" Target="../ctrlProps/ctrlProp29.xml"/></Relationships>
</file>

<file path=xl/worksheets/_rels/sheet16.xml.rels><?xml version="1.0" encoding="UTF-8" standalone="yes"?>
<Relationships xmlns="http://schemas.openxmlformats.org/package/2006/relationships"><Relationship Id="rId3" Type="http://schemas.openxmlformats.org/officeDocument/2006/relationships/ctrlProp" Target="../ctrlProps/ctrlProp30.xml"/><Relationship Id="rId2" Type="http://schemas.openxmlformats.org/officeDocument/2006/relationships/vmlDrawing" Target="../drawings/vmlDrawing16.vml"/><Relationship Id="rId1" Type="http://schemas.openxmlformats.org/officeDocument/2006/relationships/drawing" Target="../drawings/drawing16.xml"/><Relationship Id="rId4" Type="http://schemas.openxmlformats.org/officeDocument/2006/relationships/ctrlProp" Target="../ctrlProps/ctrlProp3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C2" sqref="C2"/>
    </sheetView>
  </sheetViews>
  <sheetFormatPr defaultRowHeight="12.75"/>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3" t="s">
        <v>0</v>
      </c>
      <c r="C1" s="143"/>
    </row>
    <row r="2" spans="1:3">
      <c r="A2" s="1"/>
      <c r="B2" s="3" t="s">
        <v>1</v>
      </c>
      <c r="C2" s="4">
        <v>45317</v>
      </c>
    </row>
    <row r="3" spans="1:3">
      <c r="A3" s="1"/>
      <c r="B3" s="5" t="s">
        <v>2</v>
      </c>
      <c r="C3" s="6"/>
    </row>
    <row r="4" spans="1:3" ht="25.5">
      <c r="A4" s="7"/>
      <c r="B4" s="8" t="str">
        <f>[5]И1!D13</f>
        <v>Субъект Российской Федерации</v>
      </c>
      <c r="C4" s="9" t="str">
        <f>[5]И1!E13</f>
        <v>Новосибирская область</v>
      </c>
    </row>
    <row r="5" spans="1:3" ht="48.6" customHeight="1">
      <c r="A5" s="7"/>
      <c r="B5" s="8" t="str">
        <f>[5]И1!D14</f>
        <v>Тип муниципального образования (выберите из списка)</v>
      </c>
      <c r="C5" s="9" t="str">
        <f>[5]И1!E14</f>
        <v>г. Болотное</v>
      </c>
    </row>
    <row r="6" spans="1:3">
      <c r="A6" s="7"/>
      <c r="B6" s="8" t="str">
        <f>IF([5]И1!E15="","",[5]И1!D15)</f>
        <v/>
      </c>
      <c r="C6" s="6" t="str">
        <f>IF([5]И1!E15="","",[5]И1!E15)</f>
        <v/>
      </c>
    </row>
    <row r="7" spans="1:3">
      <c r="A7" s="7"/>
      <c r="B7" s="8" t="str">
        <f>[5]И1!D16</f>
        <v>Код ОКТМО</v>
      </c>
      <c r="C7" s="10" t="str">
        <f>[5]И1!E16</f>
        <v>50606101001</v>
      </c>
    </row>
    <row r="8" spans="1:3">
      <c r="A8" s="7"/>
      <c r="B8" s="11" t="str">
        <f>[5]И1!D17</f>
        <v>Система теплоснабжения</v>
      </c>
      <c r="C8" s="12">
        <f>[5]И1!E17</f>
        <v>0</v>
      </c>
    </row>
    <row r="9" spans="1:3">
      <c r="A9" s="7"/>
      <c r="B9" s="8" t="str">
        <f>[5]И1!D8</f>
        <v>Период регулирования (i)-й</v>
      </c>
      <c r="C9" s="13">
        <f>[5]И1!E8</f>
        <v>2024</v>
      </c>
    </row>
    <row r="10" spans="1:3">
      <c r="A10" s="7"/>
      <c r="B10" s="8" t="str">
        <f>[5]И1!D9</f>
        <v>Период регулирования (i-1)-й</v>
      </c>
      <c r="C10" s="13">
        <f>[5]И1!E9</f>
        <v>2023</v>
      </c>
    </row>
    <row r="11" spans="1:3">
      <c r="A11" s="7"/>
      <c r="B11" s="8" t="str">
        <f>[5]И1!D10</f>
        <v>Период регулирования (i-2)-й</v>
      </c>
      <c r="C11" s="13">
        <f>[5]И1!E10</f>
        <v>2022</v>
      </c>
    </row>
    <row r="12" spans="1:3">
      <c r="A12" s="7"/>
      <c r="B12" s="8" t="str">
        <f>[5]И1!D11</f>
        <v>Базовый год (б)</v>
      </c>
      <c r="C12" s="13">
        <f>[5]И1!E11</f>
        <v>2019</v>
      </c>
    </row>
    <row r="13" spans="1:3">
      <c r="A13" s="7"/>
      <c r="B13" s="8" t="str">
        <f>[5]И1!D18</f>
        <v>Вид топлива, использование которого преобладает в системе теплоснабжения</v>
      </c>
      <c r="C13" s="14" t="str">
        <f>[5]И1!E18</f>
        <v>Газ</v>
      </c>
    </row>
    <row r="14" spans="1:3" ht="26.25" customHeight="1" thickBot="1">
      <c r="A14" s="142" t="s">
        <v>3</v>
      </c>
      <c r="B14" s="142"/>
      <c r="C14" s="142"/>
    </row>
    <row r="15" spans="1:3">
      <c r="A15" s="15" t="s">
        <v>4</v>
      </c>
      <c r="B15" s="16" t="s">
        <v>5</v>
      </c>
      <c r="C15" s="17" t="s">
        <v>6</v>
      </c>
    </row>
    <row r="16" spans="1:3">
      <c r="A16" s="18">
        <v>1</v>
      </c>
      <c r="B16" s="19">
        <v>2</v>
      </c>
      <c r="C16" s="20">
        <v>3</v>
      </c>
    </row>
    <row r="17" spans="1:3">
      <c r="A17" s="21">
        <v>1</v>
      </c>
      <c r="B17" s="22" t="s">
        <v>7</v>
      </c>
      <c r="C17" s="23">
        <f>SUM(C18:C23)</f>
        <v>2938.1475319626447</v>
      </c>
    </row>
    <row r="18" spans="1:3" ht="42.75">
      <c r="A18" s="21" t="s">
        <v>8</v>
      </c>
      <c r="B18" s="24" t="s">
        <v>9</v>
      </c>
      <c r="C18" s="25">
        <f>[5]С1!F12</f>
        <v>994.35037159416254</v>
      </c>
    </row>
    <row r="19" spans="1:3" ht="42.75">
      <c r="A19" s="21" t="s">
        <v>10</v>
      </c>
      <c r="B19" s="24" t="s">
        <v>11</v>
      </c>
      <c r="C19" s="25">
        <f>[5]С2!F12</f>
        <v>1337.7636293971889</v>
      </c>
    </row>
    <row r="20" spans="1:3" ht="30">
      <c r="A20" s="21" t="s">
        <v>12</v>
      </c>
      <c r="B20" s="24" t="s">
        <v>13</v>
      </c>
      <c r="C20" s="25">
        <f>[5]С3!F12</f>
        <v>317.76353663274273</v>
      </c>
    </row>
    <row r="21" spans="1:3" ht="42.75">
      <c r="A21" s="21" t="s">
        <v>14</v>
      </c>
      <c r="B21" s="24" t="s">
        <v>15</v>
      </c>
      <c r="C21" s="25">
        <f>[5]С4!F12</f>
        <v>230.65925841771428</v>
      </c>
    </row>
    <row r="22" spans="1:3" ht="33" customHeight="1">
      <c r="A22" s="21" t="s">
        <v>16</v>
      </c>
      <c r="B22" s="24" t="s">
        <v>17</v>
      </c>
      <c r="C22" s="25">
        <f>[5]С5!F12</f>
        <v>57.61073592083617</v>
      </c>
    </row>
    <row r="23" spans="1:3" ht="45.75" customHeight="1" thickBot="1">
      <c r="A23" s="26" t="s">
        <v>18</v>
      </c>
      <c r="B23" s="140" t="s">
        <v>19</v>
      </c>
      <c r="C23" s="27">
        <f>[5]С6!F12</f>
        <v>0</v>
      </c>
    </row>
    <row r="24" spans="1:3" ht="13.5" thickBot="1">
      <c r="A24" s="1"/>
      <c r="C24" s="6"/>
    </row>
    <row r="25" spans="1:3">
      <c r="A25" s="15" t="s">
        <v>4</v>
      </c>
      <c r="B25" s="28" t="s">
        <v>5</v>
      </c>
      <c r="C25" s="16" t="s">
        <v>6</v>
      </c>
    </row>
    <row r="26" spans="1:3">
      <c r="A26" s="18">
        <v>1</v>
      </c>
      <c r="B26" s="29">
        <v>2</v>
      </c>
      <c r="C26" s="30">
        <v>3</v>
      </c>
    </row>
    <row r="27" spans="1:3" ht="37.5" customHeight="1">
      <c r="A27" s="21">
        <v>1</v>
      </c>
      <c r="B27" s="144" t="s">
        <v>20</v>
      </c>
      <c r="C27" s="144"/>
    </row>
    <row r="28" spans="1:3">
      <c r="A28" s="21" t="s">
        <v>8</v>
      </c>
      <c r="B28" s="31" t="s">
        <v>21</v>
      </c>
      <c r="C28" s="32">
        <f>[5]С1.1!E16</f>
        <v>7900</v>
      </c>
    </row>
    <row r="29" spans="1:3" ht="42.75">
      <c r="A29" s="21" t="s">
        <v>10</v>
      </c>
      <c r="B29" s="31" t="s">
        <v>22</v>
      </c>
      <c r="C29" s="32">
        <f>[5]С1.1!E32</f>
        <v>5751.37</v>
      </c>
    </row>
    <row r="30" spans="1:3" ht="38.25">
      <c r="A30" s="21" t="s">
        <v>23</v>
      </c>
      <c r="B30" s="31" t="s">
        <v>24</v>
      </c>
      <c r="C30" s="33" t="str">
        <f>[5]С1.1!E25</f>
        <v>ООО "Газпром газораспределение Томск"</v>
      </c>
    </row>
    <row r="31" spans="1:3" ht="38.25">
      <c r="A31" s="21" t="s">
        <v>25</v>
      </c>
      <c r="B31" s="31"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[5]С1.1!E26</f>
        <v>4699.5</v>
      </c>
    </row>
    <row r="32" spans="1:3" ht="25.5">
      <c r="A32" s="21" t="s">
        <v>26</v>
      </c>
      <c r="B32" s="31"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[5]С1.1!E27</f>
        <v>795.43</v>
      </c>
    </row>
    <row r="33" spans="1:3" ht="25.5">
      <c r="A33" s="21" t="s">
        <v>27</v>
      </c>
      <c r="B33" s="31"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[5]С1.1!E28</f>
        <v>136.54</v>
      </c>
    </row>
    <row r="34" spans="1:3" ht="38.25">
      <c r="A34" s="21" t="s">
        <v>28</v>
      </c>
      <c r="B34" s="31"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[5]С1.1!E29</f>
        <v>119.9</v>
      </c>
    </row>
    <row r="35" spans="1:3" ht="17.25">
      <c r="A35" s="21" t="s">
        <v>12</v>
      </c>
      <c r="B35" s="31" t="s">
        <v>29</v>
      </c>
      <c r="C35" s="34">
        <f>[5]С1.1!E20</f>
        <v>8.5000000000000006E-2</v>
      </c>
    </row>
    <row r="36" spans="1:3" ht="17.25">
      <c r="A36" s="21" t="s">
        <v>14</v>
      </c>
      <c r="B36" s="31" t="s">
        <v>30</v>
      </c>
      <c r="C36" s="34">
        <f>[5]С1.1!E21</f>
        <v>0.112</v>
      </c>
    </row>
    <row r="37" spans="1:3" ht="30">
      <c r="A37" s="21" t="s">
        <v>16</v>
      </c>
      <c r="B37" s="35" t="s">
        <v>31</v>
      </c>
      <c r="C37" s="36">
        <f>[5]С1!F13</f>
        <v>156.1</v>
      </c>
    </row>
    <row r="38" spans="1:3">
      <c r="A38" s="21" t="s">
        <v>18</v>
      </c>
      <c r="B38" s="35" t="s">
        <v>32</v>
      </c>
      <c r="C38" s="37">
        <f>[5]С1!F16</f>
        <v>7000</v>
      </c>
    </row>
    <row r="39" spans="1:3" ht="14.25">
      <c r="A39" s="38" t="s">
        <v>33</v>
      </c>
      <c r="B39" s="39" t="s">
        <v>34</v>
      </c>
      <c r="C39" s="40">
        <f>[5]С1!F17</f>
        <v>1.1285714285714286</v>
      </c>
    </row>
    <row r="40" spans="1:3" ht="15.75">
      <c r="A40" s="41" t="s">
        <v>35</v>
      </c>
      <c r="B40" s="42" t="s">
        <v>36</v>
      </c>
      <c r="C40" s="40">
        <f>[5]С1!F20</f>
        <v>22.307053372799995</v>
      </c>
    </row>
    <row r="41" spans="1:3" ht="15.75">
      <c r="A41" s="41" t="s">
        <v>37</v>
      </c>
      <c r="B41" s="43" t="s">
        <v>38</v>
      </c>
      <c r="C41" s="40">
        <f>[5]С1!F21</f>
        <v>21.531904799999996</v>
      </c>
    </row>
    <row r="42" spans="1:3" ht="14.25">
      <c r="A42" s="41" t="s">
        <v>39</v>
      </c>
      <c r="B42" s="44" t="s">
        <v>40</v>
      </c>
      <c r="C42" s="40">
        <f>[5]С1!F22</f>
        <v>1.036</v>
      </c>
    </row>
    <row r="43" spans="1:3" ht="53.25" thickBot="1">
      <c r="A43" s="26" t="s">
        <v>41</v>
      </c>
      <c r="B43" s="45" t="s">
        <v>42</v>
      </c>
      <c r="C43" s="46" t="str">
        <f>[5]С1!F23</f>
        <v>-</v>
      </c>
    </row>
    <row r="44" spans="1:3" ht="13.5" thickBot="1">
      <c r="A44" s="47"/>
      <c r="B44" s="48"/>
      <c r="C44" s="14"/>
    </row>
    <row r="45" spans="1:3" ht="36" customHeight="1">
      <c r="A45" s="49" t="s">
        <v>43</v>
      </c>
      <c r="B45" s="145" t="s">
        <v>44</v>
      </c>
      <c r="C45" s="145"/>
    </row>
    <row r="46" spans="1:3" ht="25.5">
      <c r="A46" s="21" t="s">
        <v>45</v>
      </c>
      <c r="B46" s="35" t="s">
        <v>46</v>
      </c>
      <c r="C46" s="50" t="str">
        <f>[5]С2.1!E12</f>
        <v>V</v>
      </c>
    </row>
    <row r="47" spans="1:3" ht="25.5">
      <c r="A47" s="21" t="s">
        <v>47</v>
      </c>
      <c r="B47" s="31" t="s">
        <v>48</v>
      </c>
      <c r="C47" s="50" t="str">
        <f>[5]С2.1!E13</f>
        <v>6 и менее баллов</v>
      </c>
    </row>
    <row r="48" spans="1:3" ht="25.5">
      <c r="A48" s="21" t="s">
        <v>49</v>
      </c>
      <c r="B48" s="31" t="s">
        <v>50</v>
      </c>
      <c r="C48" s="50" t="str">
        <f>[5]С2.1!E14</f>
        <v>от 200 до 500</v>
      </c>
    </row>
    <row r="49" spans="1:3" ht="25.5">
      <c r="A49" s="21" t="s">
        <v>51</v>
      </c>
      <c r="B49" s="31" t="s">
        <v>52</v>
      </c>
      <c r="C49" s="51" t="str">
        <f>[5]С2.1!E15</f>
        <v>нет</v>
      </c>
    </row>
    <row r="50" spans="1:3" ht="30">
      <c r="A50" s="21" t="s">
        <v>53</v>
      </c>
      <c r="B50" s="31" t="s">
        <v>54</v>
      </c>
      <c r="C50" s="32">
        <f>[5]С2!F18</f>
        <v>35106.652004551666</v>
      </c>
    </row>
    <row r="51" spans="1:3" ht="30">
      <c r="A51" s="21" t="s">
        <v>55</v>
      </c>
      <c r="B51" s="52" t="s">
        <v>56</v>
      </c>
      <c r="C51" s="32">
        <f>IF([5]С2!F19&gt;0,[5]С2!F19,[5]С2!F20)</f>
        <v>23441.524932855718</v>
      </c>
    </row>
    <row r="52" spans="1:3" ht="25.5">
      <c r="A52" s="21" t="s">
        <v>57</v>
      </c>
      <c r="B52" s="53" t="s">
        <v>58</v>
      </c>
      <c r="C52" s="32">
        <f>[5]С2.1!E20</f>
        <v>-38</v>
      </c>
    </row>
    <row r="53" spans="1:3" ht="25.5">
      <c r="A53" s="21" t="s">
        <v>59</v>
      </c>
      <c r="B53" s="53" t="s">
        <v>60</v>
      </c>
      <c r="C53" s="32" t="str">
        <f>[5]С2.1!E23</f>
        <v>нет</v>
      </c>
    </row>
    <row r="54" spans="1:3" ht="38.25">
      <c r="A54" s="21" t="s">
        <v>61</v>
      </c>
      <c r="B54" s="54" t="s">
        <v>62</v>
      </c>
      <c r="C54" s="32">
        <f>[5]С2.2!E10</f>
        <v>1287</v>
      </c>
    </row>
    <row r="55" spans="1:3" ht="25.5">
      <c r="A55" s="21" t="s">
        <v>63</v>
      </c>
      <c r="B55" s="55" t="s">
        <v>64</v>
      </c>
      <c r="C55" s="32">
        <f>[5]С2.2!E12</f>
        <v>5.97</v>
      </c>
    </row>
    <row r="56" spans="1:3" ht="52.5">
      <c r="A56" s="21" t="s">
        <v>65</v>
      </c>
      <c r="B56" s="56" t="s">
        <v>66</v>
      </c>
      <c r="C56" s="32">
        <f>[5]С2.2!E13</f>
        <v>1</v>
      </c>
    </row>
    <row r="57" spans="1:3" ht="27.75">
      <c r="A57" s="21" t="s">
        <v>67</v>
      </c>
      <c r="B57" s="55" t="s">
        <v>68</v>
      </c>
      <c r="C57" s="32">
        <f>[5]С2.2!E14</f>
        <v>12104</v>
      </c>
    </row>
    <row r="58" spans="1:3" ht="25.5">
      <c r="A58" s="21" t="s">
        <v>69</v>
      </c>
      <c r="B58" s="56" t="s">
        <v>70</v>
      </c>
      <c r="C58" s="34">
        <f>[5]С2.2!E15</f>
        <v>4.8000000000000001E-2</v>
      </c>
    </row>
    <row r="59" spans="1:3">
      <c r="A59" s="21" t="s">
        <v>71</v>
      </c>
      <c r="B59" s="56" t="s">
        <v>72</v>
      </c>
      <c r="C59" s="57">
        <f>[5]С2.2!E16</f>
        <v>1</v>
      </c>
    </row>
    <row r="60" spans="1:3" ht="15.75">
      <c r="A60" s="21" t="s">
        <v>73</v>
      </c>
      <c r="B60" s="58" t="s">
        <v>74</v>
      </c>
      <c r="C60" s="32">
        <f>[5]С2!F21</f>
        <v>1</v>
      </c>
    </row>
    <row r="61" spans="1:3" ht="30">
      <c r="A61" s="59" t="s">
        <v>75</v>
      </c>
      <c r="B61" s="31" t="s">
        <v>76</v>
      </c>
      <c r="C61" s="32">
        <f>[5]С2!F13</f>
        <v>105136.23090983224</v>
      </c>
    </row>
    <row r="62" spans="1:3" ht="30">
      <c r="A62" s="59" t="s">
        <v>77</v>
      </c>
      <c r="B62" s="60" t="s">
        <v>78</v>
      </c>
      <c r="C62" s="32">
        <f>[5]С2!F14</f>
        <v>64899</v>
      </c>
    </row>
    <row r="63" spans="1:3" ht="15.75">
      <c r="A63" s="59" t="s">
        <v>79</v>
      </c>
      <c r="B63" s="60" t="s">
        <v>80</v>
      </c>
      <c r="C63" s="40">
        <f>[5]С2!F15</f>
        <v>1.071</v>
      </c>
    </row>
    <row r="64" spans="1:3" ht="15.75">
      <c r="A64" s="59" t="s">
        <v>81</v>
      </c>
      <c r="B64" s="60" t="s">
        <v>82</v>
      </c>
      <c r="C64" s="61">
        <f>[5]С2!F16</f>
        <v>1</v>
      </c>
    </row>
    <row r="65" spans="1:3" ht="17.25">
      <c r="A65" s="59" t="s">
        <v>83</v>
      </c>
      <c r="B65" s="60" t="s">
        <v>84</v>
      </c>
      <c r="C65" s="62">
        <f>[5]С2!F17</f>
        <v>1.01</v>
      </c>
    </row>
    <row r="66" spans="1:3" s="65" customFormat="1" ht="14.25">
      <c r="A66" s="59" t="s">
        <v>85</v>
      </c>
      <c r="B66" s="63" t="s">
        <v>86</v>
      </c>
      <c r="C66" s="64">
        <f>[5]С2!F35</f>
        <v>10</v>
      </c>
    </row>
    <row r="67" spans="1:3" ht="30">
      <c r="A67" s="59" t="s">
        <v>87</v>
      </c>
      <c r="B67" s="66" t="s">
        <v>88</v>
      </c>
      <c r="C67" s="32">
        <f>[5]С2!F28</f>
        <v>222.28511285714538</v>
      </c>
    </row>
    <row r="68" spans="1:3" ht="17.25">
      <c r="A68" s="59" t="s">
        <v>89</v>
      </c>
      <c r="B68" s="52" t="s">
        <v>90</v>
      </c>
      <c r="C68" s="40">
        <f>[5]С2!F29</f>
        <v>0.29684983999999998</v>
      </c>
    </row>
    <row r="69" spans="1:3" ht="17.25">
      <c r="A69" s="59" t="s">
        <v>91</v>
      </c>
      <c r="B69" s="58" t="s">
        <v>92</v>
      </c>
      <c r="C69" s="64">
        <f>[5]С2!F30</f>
        <v>500</v>
      </c>
    </row>
    <row r="70" spans="1:3" ht="42.75">
      <c r="A70" s="59" t="s">
        <v>93</v>
      </c>
      <c r="B70" s="31" t="s">
        <v>94</v>
      </c>
      <c r="C70" s="32">
        <f>[5]С2!F22</f>
        <v>39638.324046481182</v>
      </c>
    </row>
    <row r="71" spans="1:3" ht="30">
      <c r="A71" s="59" t="s">
        <v>95</v>
      </c>
      <c r="B71" s="60" t="s">
        <v>96</v>
      </c>
      <c r="C71" s="32">
        <f>[5]С2!F23</f>
        <v>21</v>
      </c>
    </row>
    <row r="72" spans="1:3" ht="30">
      <c r="A72" s="59" t="s">
        <v>97</v>
      </c>
      <c r="B72" s="52" t="s">
        <v>98</v>
      </c>
      <c r="C72" s="32">
        <f>[5]С2.1!E28</f>
        <v>14036.09995</v>
      </c>
    </row>
    <row r="73" spans="1:3" ht="38.25">
      <c r="A73" s="59" t="s">
        <v>99</v>
      </c>
      <c r="B73" s="67" t="s">
        <v>100</v>
      </c>
      <c r="C73" s="51">
        <f>[5]С2.3!E21</f>
        <v>0</v>
      </c>
    </row>
    <row r="74" spans="1:3" ht="25.5">
      <c r="A74" s="59" t="s">
        <v>101</v>
      </c>
      <c r="B74" s="68" t="s">
        <v>102</v>
      </c>
      <c r="C74" s="69">
        <f>[5]С2.3!E11</f>
        <v>5.45</v>
      </c>
    </row>
    <row r="75" spans="1:3" ht="25.5">
      <c r="A75" s="59" t="s">
        <v>103</v>
      </c>
      <c r="B75" s="68" t="s">
        <v>104</v>
      </c>
      <c r="C75" s="64">
        <f>[5]С2.3!E13</f>
        <v>300</v>
      </c>
    </row>
    <row r="76" spans="1:3" ht="25.5">
      <c r="A76" s="59" t="s">
        <v>105</v>
      </c>
      <c r="B76" s="67" t="s">
        <v>106</v>
      </c>
      <c r="C76" s="70">
        <f>IF([5]С2.3!E22&gt;0,[5]С2.3!E22,[5]С2.3!E14)</f>
        <v>61211</v>
      </c>
    </row>
    <row r="77" spans="1:3" ht="38.25">
      <c r="A77" s="59" t="s">
        <v>107</v>
      </c>
      <c r="B77" s="67" t="s">
        <v>108</v>
      </c>
      <c r="C77" s="70">
        <f>IF([5]С2.3!E23&gt;0,[5]С2.3!E23,[5]С2.3!E15)</f>
        <v>45675</v>
      </c>
    </row>
    <row r="78" spans="1:3" ht="30">
      <c r="A78" s="59" t="s">
        <v>109</v>
      </c>
      <c r="B78" s="52" t="s">
        <v>110</v>
      </c>
      <c r="C78" s="32">
        <f>[5]С2.1!E29</f>
        <v>9518.3274000000001</v>
      </c>
    </row>
    <row r="79" spans="1:3" ht="38.25">
      <c r="A79" s="59" t="s">
        <v>111</v>
      </c>
      <c r="B79" s="67" t="s">
        <v>112</v>
      </c>
      <c r="C79" s="51">
        <f>[5]С2.3!E25</f>
        <v>0</v>
      </c>
    </row>
    <row r="80" spans="1:3" ht="25.5">
      <c r="A80" s="59" t="s">
        <v>113</v>
      </c>
      <c r="B80" s="68" t="s">
        <v>114</v>
      </c>
      <c r="C80" s="69">
        <f>[5]С2.3!E12</f>
        <v>0.2</v>
      </c>
    </row>
    <row r="81" spans="1:3" ht="25.5">
      <c r="A81" s="59" t="s">
        <v>115</v>
      </c>
      <c r="B81" s="68" t="s">
        <v>104</v>
      </c>
      <c r="C81" s="64">
        <f>[5]С2.3!E13</f>
        <v>300</v>
      </c>
    </row>
    <row r="82" spans="1:3" ht="25.5">
      <c r="A82" s="59" t="s">
        <v>116</v>
      </c>
      <c r="B82" s="71" t="s">
        <v>117</v>
      </c>
      <c r="C82" s="70">
        <f>IF([5]С2.3!E26&gt;0,[5]С2.3!E26,[5]С2.3!E16)</f>
        <v>65637</v>
      </c>
    </row>
    <row r="83" spans="1:3" ht="38.25">
      <c r="A83" s="59" t="s">
        <v>118</v>
      </c>
      <c r="B83" s="71" t="s">
        <v>119</v>
      </c>
      <c r="C83" s="70">
        <f>IF([5]С2.3!E27&gt;0,[5]С2.3!E27,[5]С2.3!E17)</f>
        <v>31684</v>
      </c>
    </row>
    <row r="84" spans="1:3" ht="30">
      <c r="A84" s="59" t="s">
        <v>120</v>
      </c>
      <c r="B84" s="60" t="s">
        <v>121</v>
      </c>
      <c r="C84" s="70">
        <f>IF([5]С2.1!E19&gt;0,[5]С2.1!E19,[5]С2!F26)</f>
        <v>2892</v>
      </c>
    </row>
    <row r="85" spans="1:3" ht="17.25">
      <c r="A85" s="59" t="s">
        <v>122</v>
      </c>
      <c r="B85" s="31" t="s">
        <v>123</v>
      </c>
      <c r="C85" s="34">
        <f>[5]С2!F31</f>
        <v>9.5962865259740182E-2</v>
      </c>
    </row>
    <row r="86" spans="1:3" ht="30">
      <c r="A86" s="59" t="s">
        <v>124</v>
      </c>
      <c r="B86" s="52" t="s">
        <v>125</v>
      </c>
      <c r="C86" s="72">
        <f>[5]С2!F32</f>
        <v>8.4029304029304031E-2</v>
      </c>
    </row>
    <row r="87" spans="1:3" ht="17.25">
      <c r="A87" s="59" t="s">
        <v>126</v>
      </c>
      <c r="B87" s="73" t="s">
        <v>127</v>
      </c>
      <c r="C87" s="34">
        <f>[5]С2!F33</f>
        <v>0.13880000000000001</v>
      </c>
    </row>
    <row r="88" spans="1:3" s="65" customFormat="1" ht="18" thickBot="1">
      <c r="A88" s="74" t="s">
        <v>128</v>
      </c>
      <c r="B88" s="75" t="s">
        <v>129</v>
      </c>
      <c r="C88" s="76">
        <f>[5]С2!F34</f>
        <v>0.12640000000000001</v>
      </c>
    </row>
    <row r="89" spans="1:3" ht="13.5" thickBot="1">
      <c r="A89" s="47"/>
      <c r="B89" s="48"/>
      <c r="C89" s="14"/>
    </row>
    <row r="90" spans="1:3" s="65" customFormat="1" ht="30" customHeight="1">
      <c r="A90" s="77" t="s">
        <v>130</v>
      </c>
      <c r="B90" s="145" t="s">
        <v>131</v>
      </c>
      <c r="C90" s="145"/>
    </row>
    <row r="91" spans="1:3" s="65" customFormat="1" ht="30">
      <c r="A91" s="78" t="s">
        <v>132</v>
      </c>
      <c r="B91" s="31" t="s">
        <v>133</v>
      </c>
      <c r="C91" s="32">
        <f>[5]С3!F14</f>
        <v>4203.1296622562686</v>
      </c>
    </row>
    <row r="92" spans="1:3" s="65" customFormat="1" ht="42.75">
      <c r="A92" s="78" t="s">
        <v>134</v>
      </c>
      <c r="B92" s="52" t="s">
        <v>135</v>
      </c>
      <c r="C92" s="79">
        <f>[5]С3!F15</f>
        <v>0.2</v>
      </c>
    </row>
    <row r="93" spans="1:3" s="65" customFormat="1" ht="14.25">
      <c r="A93" s="78" t="s">
        <v>136</v>
      </c>
      <c r="B93" s="80" t="s">
        <v>137</v>
      </c>
      <c r="C93" s="64">
        <f>[5]С3!F18</f>
        <v>15</v>
      </c>
    </row>
    <row r="94" spans="1:3" s="65" customFormat="1" ht="17.25">
      <c r="A94" s="78" t="s">
        <v>138</v>
      </c>
      <c r="B94" s="31" t="s">
        <v>139</v>
      </c>
      <c r="C94" s="32">
        <f>[5]С3!F19</f>
        <v>2638.2577020926874</v>
      </c>
    </row>
    <row r="95" spans="1:3" s="65" customFormat="1" ht="55.5">
      <c r="A95" s="78" t="s">
        <v>140</v>
      </c>
      <c r="B95" s="52" t="s">
        <v>141</v>
      </c>
      <c r="C95" s="81">
        <f>[5]С3!F20</f>
        <v>2.1999999999999999E-2</v>
      </c>
    </row>
    <row r="96" spans="1:3" s="65" customFormat="1" ht="14.25">
      <c r="A96" s="78" t="s">
        <v>142</v>
      </c>
      <c r="B96" s="58" t="s">
        <v>86</v>
      </c>
      <c r="C96" s="64">
        <f>[5]С3!F21</f>
        <v>10</v>
      </c>
    </row>
    <row r="97" spans="1:3" s="65" customFormat="1" ht="17.25">
      <c r="A97" s="78" t="s">
        <v>143</v>
      </c>
      <c r="B97" s="31" t="s">
        <v>144</v>
      </c>
      <c r="C97" s="32">
        <f>[5]С3!F22</f>
        <v>0.6668553385714362</v>
      </c>
    </row>
    <row r="98" spans="1:3" s="65" customFormat="1" ht="55.5">
      <c r="A98" s="78" t="s">
        <v>145</v>
      </c>
      <c r="B98" s="52" t="s">
        <v>146</v>
      </c>
      <c r="C98" s="81">
        <f>[5]С3!F23</f>
        <v>3.0000000000000001E-3</v>
      </c>
    </row>
    <row r="99" spans="1:3" s="65" customFormat="1" ht="30.75" thickBot="1">
      <c r="A99" s="82" t="s">
        <v>147</v>
      </c>
      <c r="B99" s="83" t="s">
        <v>88</v>
      </c>
      <c r="C99" s="84">
        <f>[5]С3!F24</f>
        <v>222.28511285714538</v>
      </c>
    </row>
    <row r="100" spans="1:3" ht="13.5" thickBot="1">
      <c r="A100" s="47"/>
      <c r="B100" s="48"/>
      <c r="C100" s="14"/>
    </row>
    <row r="101" spans="1:3" ht="30" customHeight="1">
      <c r="A101" s="85" t="s">
        <v>148</v>
      </c>
      <c r="B101" s="145" t="s">
        <v>149</v>
      </c>
      <c r="C101" s="145"/>
    </row>
    <row r="102" spans="1:3" ht="30">
      <c r="A102" s="59" t="s">
        <v>150</v>
      </c>
      <c r="B102" s="31" t="s">
        <v>151</v>
      </c>
      <c r="C102" s="32">
        <f>[5]С4!F16</f>
        <v>832.33500000000004</v>
      </c>
    </row>
    <row r="103" spans="1:3" ht="30">
      <c r="A103" s="59" t="s">
        <v>152</v>
      </c>
      <c r="B103" s="58" t="s">
        <v>153</v>
      </c>
      <c r="C103" s="32">
        <f>[5]С4!F17</f>
        <v>43385</v>
      </c>
    </row>
    <row r="104" spans="1:3" ht="17.25">
      <c r="A104" s="59" t="s">
        <v>154</v>
      </c>
      <c r="B104" s="58" t="s">
        <v>155</v>
      </c>
      <c r="C104" s="40">
        <f>[5]С4!F18</f>
        <v>1.4999999999999999E-2</v>
      </c>
    </row>
    <row r="105" spans="1:3" ht="30">
      <c r="A105" s="59" t="s">
        <v>156</v>
      </c>
      <c r="B105" s="58" t="s">
        <v>157</v>
      </c>
      <c r="C105" s="32">
        <f>[5]С4!F19</f>
        <v>12104</v>
      </c>
    </row>
    <row r="106" spans="1:3" ht="31.5">
      <c r="A106" s="59" t="s">
        <v>158</v>
      </c>
      <c r="B106" s="58" t="s">
        <v>159</v>
      </c>
      <c r="C106" s="40">
        <f>[5]С4!F20</f>
        <v>1.4999999999999999E-2</v>
      </c>
    </row>
    <row r="107" spans="1:3" ht="30">
      <c r="A107" s="59" t="s">
        <v>160</v>
      </c>
      <c r="B107" s="31" t="s">
        <v>161</v>
      </c>
      <c r="C107" s="32">
        <f>[5]С4!F21</f>
        <v>1221.9019409821399</v>
      </c>
    </row>
    <row r="108" spans="1:3" ht="45.6" customHeight="1">
      <c r="A108" s="59" t="s">
        <v>162</v>
      </c>
      <c r="B108" s="52" t="s">
        <v>163</v>
      </c>
      <c r="C108" s="33" t="str">
        <f>IF([5]С4.2!F8="да",[5]С4.2!D21,[5]С4.2!D15)</f>
        <v>АО "Новосибирскэнергосбыт"</v>
      </c>
    </row>
    <row r="109" spans="1:3" ht="68.25" customHeight="1">
      <c r="A109" s="59" t="s">
        <v>164</v>
      </c>
      <c r="B109" s="52" t="s">
        <v>165</v>
      </c>
      <c r="C109" s="32">
        <f>[5]С4!F22</f>
        <v>3.6112641666666665</v>
      </c>
    </row>
    <row r="110" spans="1:3" ht="30">
      <c r="A110" s="59" t="s">
        <v>166</v>
      </c>
      <c r="B110" s="58" t="s">
        <v>167</v>
      </c>
      <c r="C110" s="64">
        <f>[5]С4!F23</f>
        <v>110</v>
      </c>
    </row>
    <row r="111" spans="1:3" ht="14.25">
      <c r="A111" s="59" t="s">
        <v>168</v>
      </c>
      <c r="B111" s="52" t="s">
        <v>169</v>
      </c>
      <c r="C111" s="32">
        <f>[5]С4!F24</f>
        <v>8497.1999999999989</v>
      </c>
    </row>
    <row r="112" spans="1:3" ht="14.25">
      <c r="A112" s="59" t="s">
        <v>170</v>
      </c>
      <c r="B112" s="58" t="s">
        <v>171</v>
      </c>
      <c r="C112" s="40">
        <f>[5]С4!F25</f>
        <v>0.36199999999999999</v>
      </c>
    </row>
    <row r="113" spans="1:3" ht="17.25">
      <c r="A113" s="59" t="s">
        <v>172</v>
      </c>
      <c r="B113" s="31" t="s">
        <v>173</v>
      </c>
      <c r="C113" s="32">
        <f>[5]С4!F26</f>
        <v>40.123830000000005</v>
      </c>
    </row>
    <row r="114" spans="1:3" ht="25.5">
      <c r="A114" s="59" t="s">
        <v>174</v>
      </c>
      <c r="B114" s="52" t="s">
        <v>100</v>
      </c>
      <c r="C114" s="33">
        <f>[5]С4.3!E16</f>
        <v>0</v>
      </c>
    </row>
    <row r="115" spans="1:3" ht="25.5">
      <c r="A115" s="59" t="s">
        <v>175</v>
      </c>
      <c r="B115" s="52" t="s">
        <v>176</v>
      </c>
      <c r="C115" s="32">
        <f>[5]С4.3!E17</f>
        <v>18.059999999999999</v>
      </c>
    </row>
    <row r="116" spans="1:3" ht="38.25">
      <c r="A116" s="59" t="s">
        <v>177</v>
      </c>
      <c r="B116" s="52" t="s">
        <v>112</v>
      </c>
      <c r="C116" s="33">
        <f>[5]С4.3!E18</f>
        <v>0</v>
      </c>
    </row>
    <row r="117" spans="1:3">
      <c r="A117" s="59" t="s">
        <v>178</v>
      </c>
      <c r="B117" s="52" t="s">
        <v>179</v>
      </c>
      <c r="C117" s="32">
        <f>[5]С4.3!E19</f>
        <v>71.67</v>
      </c>
    </row>
    <row r="118" spans="1:3">
      <c r="A118" s="59" t="s">
        <v>180</v>
      </c>
      <c r="B118" s="58" t="s">
        <v>181</v>
      </c>
      <c r="C118" s="64">
        <f>[5]С4.3!E11</f>
        <v>1871</v>
      </c>
    </row>
    <row r="119" spans="1:3">
      <c r="A119" s="59" t="s">
        <v>182</v>
      </c>
      <c r="B119" s="58" t="s">
        <v>183</v>
      </c>
      <c r="C119" s="51">
        <f>[5]С4.3!E12</f>
        <v>61</v>
      </c>
    </row>
    <row r="120" spans="1:3">
      <c r="A120" s="59" t="s">
        <v>184</v>
      </c>
      <c r="B120" s="58" t="s">
        <v>185</v>
      </c>
      <c r="C120" s="51">
        <f>[5]С4.3!E13</f>
        <v>73</v>
      </c>
    </row>
    <row r="121" spans="1:3" ht="30">
      <c r="A121" s="59" t="s">
        <v>186</v>
      </c>
      <c r="B121" s="31" t="s">
        <v>187</v>
      </c>
      <c r="C121" s="32">
        <f>[5]С4!F27</f>
        <v>904.62444244124072</v>
      </c>
    </row>
    <row r="122" spans="1:3" ht="25.5">
      <c r="A122" s="59" t="s">
        <v>188</v>
      </c>
      <c r="B122" s="52" t="s">
        <v>189</v>
      </c>
      <c r="C122" s="32">
        <f>[5]С4!F28</f>
        <v>694.79603874135228</v>
      </c>
    </row>
    <row r="123" spans="1:3" ht="42.75">
      <c r="A123" s="59" t="s">
        <v>190</v>
      </c>
      <c r="B123" s="52" t="s">
        <v>191</v>
      </c>
      <c r="C123" s="32">
        <f>[5]С4!F29</f>
        <v>209.82840369988838</v>
      </c>
    </row>
    <row r="124" spans="1:3" ht="30.75" thickBot="1">
      <c r="A124" s="74" t="s">
        <v>192</v>
      </c>
      <c r="B124" s="86" t="s">
        <v>193</v>
      </c>
      <c r="C124" s="84">
        <f>[5]С4!F30</f>
        <v>475.17307267672106</v>
      </c>
    </row>
    <row r="125" spans="1:3" s="87" customFormat="1" ht="13.5" thickBot="1">
      <c r="A125" s="47"/>
      <c r="B125" s="48"/>
      <c r="C125" s="14"/>
    </row>
    <row r="126" spans="1:3" s="65" customFormat="1" ht="30" customHeight="1">
      <c r="A126" s="77" t="s">
        <v>194</v>
      </c>
      <c r="B126" s="145" t="s">
        <v>195</v>
      </c>
      <c r="C126" s="145"/>
    </row>
    <row r="127" spans="1:3" ht="30.6" customHeight="1" thickBot="1">
      <c r="A127" s="26" t="s">
        <v>196</v>
      </c>
      <c r="B127" s="86" t="s">
        <v>197</v>
      </c>
      <c r="C127" s="84">
        <f>[5]С5!F17</f>
        <v>0.02</v>
      </c>
    </row>
    <row r="128" spans="1:3" s="87" customFormat="1" ht="13.5" thickBot="1">
      <c r="A128" s="47"/>
      <c r="B128" s="48"/>
      <c r="C128" s="14"/>
    </row>
    <row r="129" spans="1:4" ht="42.75" customHeight="1">
      <c r="A129" s="85" t="s">
        <v>198</v>
      </c>
      <c r="B129" s="145" t="s">
        <v>199</v>
      </c>
      <c r="C129" s="145"/>
    </row>
    <row r="130" spans="1:4" ht="68.25">
      <c r="A130" s="59" t="s">
        <v>200</v>
      </c>
      <c r="B130" s="88" t="s">
        <v>201</v>
      </c>
      <c r="C130" s="32" t="str">
        <f>IF([5]С6.1!E11="нет",[5]С6!F13,"")</f>
        <v/>
      </c>
    </row>
    <row r="131" spans="1:4" ht="42.75">
      <c r="A131" s="59" t="s">
        <v>202</v>
      </c>
      <c r="B131" s="89" t="s">
        <v>203</v>
      </c>
      <c r="C131" s="90" t="str">
        <f>IF([5]С6.1!E12="нет",[5]С6.1!E17,"")</f>
        <v/>
      </c>
    </row>
    <row r="132" spans="1:4" ht="68.25">
      <c r="A132" s="59" t="s">
        <v>204</v>
      </c>
      <c r="B132" s="88" t="s">
        <v>205</v>
      </c>
      <c r="C132" s="91" t="str">
        <f>IF([5]С6.1!E18="нет",[5]С6!F19,"")</f>
        <v/>
      </c>
    </row>
    <row r="133" spans="1:4" ht="55.5">
      <c r="A133" s="59" t="s">
        <v>206</v>
      </c>
      <c r="B133" s="89" t="s">
        <v>207</v>
      </c>
      <c r="C133" s="34" t="str">
        <f>IF([5]С6.1!E18="нет",[5]С6.1!E19,"")</f>
        <v/>
      </c>
    </row>
    <row r="134" spans="1:4" ht="61.5" customHeight="1">
      <c r="A134" s="59" t="s">
        <v>208</v>
      </c>
      <c r="B134" s="89" t="s">
        <v>209</v>
      </c>
      <c r="C134" s="34" t="str">
        <f>IF([5]С6.1!E18="нет",[5]С6.1!E22,"")</f>
        <v/>
      </c>
    </row>
    <row r="135" spans="1:4" ht="69" thickBot="1">
      <c r="A135" s="74" t="s">
        <v>210</v>
      </c>
      <c r="B135" s="92" t="s">
        <v>211</v>
      </c>
      <c r="C135" s="76" t="str">
        <f>IF([5]С6.1!E18="нет",[5]С6.1!E23,"")</f>
        <v/>
      </c>
    </row>
    <row r="136" spans="1:4" s="87" customFormat="1" ht="13.5" thickBot="1">
      <c r="A136" s="47"/>
      <c r="B136" s="48"/>
      <c r="C136" s="14"/>
    </row>
    <row r="137" spans="1:4" ht="15.75">
      <c r="A137" s="85" t="s">
        <v>212</v>
      </c>
      <c r="B137" s="93" t="s">
        <v>213</v>
      </c>
      <c r="C137" s="94">
        <f>[5]С2!F39</f>
        <v>21.531904799999996</v>
      </c>
    </row>
    <row r="138" spans="1:4" ht="14.25">
      <c r="A138" s="59" t="s">
        <v>214</v>
      </c>
      <c r="B138" s="58" t="s">
        <v>215</v>
      </c>
      <c r="C138" s="32">
        <f>[5]С2!F40</f>
        <v>7</v>
      </c>
    </row>
    <row r="139" spans="1:4" ht="17.25">
      <c r="A139" s="59" t="s">
        <v>216</v>
      </c>
      <c r="B139" s="58" t="s">
        <v>217</v>
      </c>
      <c r="C139" s="32">
        <f>[5]С2!F42</f>
        <v>0.97</v>
      </c>
    </row>
    <row r="140" spans="1:4" ht="15" thickBot="1">
      <c r="A140" s="74" t="s">
        <v>218</v>
      </c>
      <c r="B140" s="75" t="s">
        <v>219</v>
      </c>
      <c r="C140" s="46">
        <f>[5]С2!F44</f>
        <v>0.36199999999999999</v>
      </c>
    </row>
    <row r="141" spans="1:4" s="87" customFormat="1" ht="13.5" thickBot="1">
      <c r="A141" s="47"/>
      <c r="B141" s="48"/>
      <c r="C141" s="14"/>
    </row>
    <row r="142" spans="1:4" ht="17.25">
      <c r="A142" s="85" t="s">
        <v>220</v>
      </c>
      <c r="B142" s="95" t="s">
        <v>221</v>
      </c>
      <c r="C142" s="96">
        <f>[5]С2!F37</f>
        <v>1.4976266307379205</v>
      </c>
      <c r="D142" s="87"/>
    </row>
    <row r="143" spans="1:4" ht="17.25" customHeight="1" thickBot="1">
      <c r="A143" s="74" t="s">
        <v>222</v>
      </c>
      <c r="B143" s="141" t="s">
        <v>223</v>
      </c>
      <c r="C143" s="141"/>
      <c r="D143" s="87"/>
    </row>
    <row r="144" spans="1:4">
      <c r="A144" s="97"/>
      <c r="B144" s="98" t="s">
        <v>224</v>
      </c>
      <c r="C144" s="99"/>
    </row>
    <row r="145" spans="1:3">
      <c r="A145" s="97"/>
      <c r="B145" s="100">
        <v>2020</v>
      </c>
      <c r="C145" s="101">
        <f>[5]С2.5!$E$11</f>
        <v>-2.9000000000000026E-2</v>
      </c>
    </row>
    <row r="146" spans="1:3">
      <c r="B146" s="100">
        <f>B145+1</f>
        <v>2021</v>
      </c>
      <c r="C146" s="102">
        <f>[5]С2.5!$F$11</f>
        <v>0.245</v>
      </c>
    </row>
    <row r="147" spans="1:3">
      <c r="B147" s="100">
        <f t="shared" ref="B147:B210" si="0">B146+1</f>
        <v>2022</v>
      </c>
      <c r="C147" s="103">
        <f>[5]С2.5!$G$11</f>
        <v>0.114</v>
      </c>
    </row>
    <row r="148" spans="1:3">
      <c r="B148" s="104">
        <f t="shared" si="0"/>
        <v>2023</v>
      </c>
      <c r="C148" s="105">
        <f>[5]С2.5!$H$11</f>
        <v>2.4E-2</v>
      </c>
    </row>
    <row r="149" spans="1:3" ht="13.5" thickBot="1">
      <c r="B149" s="104">
        <f t="shared" si="0"/>
        <v>2024</v>
      </c>
      <c r="C149" s="105">
        <f>[5]С2.5!$I$11</f>
        <v>8.5999999999999993E-2</v>
      </c>
    </row>
    <row r="150" spans="1:3" ht="13.5" hidden="1" thickBot="1">
      <c r="B150" s="104">
        <f t="shared" si="0"/>
        <v>2025</v>
      </c>
      <c r="C150" s="105">
        <f>[5]С2.5!$J$11</f>
        <v>0</v>
      </c>
    </row>
    <row r="151" spans="1:3" ht="13.5" hidden="1" thickBot="1">
      <c r="B151" s="104">
        <f t="shared" si="0"/>
        <v>2026</v>
      </c>
      <c r="C151" s="105">
        <f>[5]С2.5!$K$11</f>
        <v>0</v>
      </c>
    </row>
    <row r="152" spans="1:3" ht="13.5" hidden="1" thickBot="1">
      <c r="B152" s="104">
        <f t="shared" si="0"/>
        <v>2027</v>
      </c>
      <c r="C152" s="105">
        <f>[5]С2.5!$L$11</f>
        <v>0</v>
      </c>
    </row>
    <row r="153" spans="1:3" ht="13.5" hidden="1" thickBot="1">
      <c r="B153" s="104">
        <f t="shared" si="0"/>
        <v>2028</v>
      </c>
      <c r="C153" s="105">
        <f>[5]С2.5!$M$11</f>
        <v>0</v>
      </c>
    </row>
    <row r="154" spans="1:3" ht="13.5" hidden="1" thickBot="1">
      <c r="B154" s="104">
        <f t="shared" si="0"/>
        <v>2029</v>
      </c>
      <c r="C154" s="105">
        <f>[5]С2.5!$N$11</f>
        <v>0</v>
      </c>
    </row>
    <row r="155" spans="1:3" ht="13.5" hidden="1" thickBot="1">
      <c r="B155" s="104">
        <f t="shared" si="0"/>
        <v>2030</v>
      </c>
      <c r="C155" s="105">
        <f>[5]С2.5!$O$11</f>
        <v>0</v>
      </c>
    </row>
    <row r="156" spans="1:3" ht="13.5" hidden="1" thickBot="1">
      <c r="B156" s="104">
        <f t="shared" si="0"/>
        <v>2031</v>
      </c>
      <c r="C156" s="105">
        <f>[5]С2.5!$P$11</f>
        <v>0</v>
      </c>
    </row>
    <row r="157" spans="1:3" ht="13.5" hidden="1" thickBot="1">
      <c r="B157" s="104">
        <f t="shared" si="0"/>
        <v>2032</v>
      </c>
      <c r="C157" s="105">
        <f>[5]С2.5!$Q$11</f>
        <v>0</v>
      </c>
    </row>
    <row r="158" spans="1:3" ht="13.5" hidden="1" thickBot="1">
      <c r="B158" s="104">
        <f t="shared" si="0"/>
        <v>2033</v>
      </c>
      <c r="C158" s="105">
        <f>[5]С2.5!$R$11</f>
        <v>0</v>
      </c>
    </row>
    <row r="159" spans="1:3" ht="13.5" hidden="1" thickBot="1">
      <c r="B159" s="104">
        <f t="shared" si="0"/>
        <v>2034</v>
      </c>
      <c r="C159" s="105">
        <f>[5]С2.5!$S$11</f>
        <v>0</v>
      </c>
    </row>
    <row r="160" spans="1:3" ht="13.5" hidden="1" thickBot="1">
      <c r="B160" s="104">
        <f t="shared" si="0"/>
        <v>2035</v>
      </c>
      <c r="C160" s="105">
        <f>[5]С2.5!$T$11</f>
        <v>0</v>
      </c>
    </row>
    <row r="161" spans="2:3" ht="13.5" hidden="1" thickBot="1">
      <c r="B161" s="104">
        <f t="shared" si="0"/>
        <v>2036</v>
      </c>
      <c r="C161" s="105">
        <f>[5]С2.5!$U$11</f>
        <v>0</v>
      </c>
    </row>
    <row r="162" spans="2:3" ht="13.5" hidden="1" thickBot="1">
      <c r="B162" s="104">
        <f t="shared" si="0"/>
        <v>2037</v>
      </c>
      <c r="C162" s="105">
        <f>[5]С2.5!$V$11</f>
        <v>0</v>
      </c>
    </row>
    <row r="163" spans="2:3" ht="13.5" hidden="1" thickBot="1">
      <c r="B163" s="104">
        <f t="shared" si="0"/>
        <v>2038</v>
      </c>
      <c r="C163" s="105">
        <f>[5]С2.5!$W$11</f>
        <v>0</v>
      </c>
    </row>
    <row r="164" spans="2:3" ht="13.5" hidden="1" thickBot="1">
      <c r="B164" s="104">
        <f t="shared" si="0"/>
        <v>2039</v>
      </c>
      <c r="C164" s="105">
        <f>[5]С2.5!$X$11</f>
        <v>0</v>
      </c>
    </row>
    <row r="165" spans="2:3" ht="13.5" hidden="1" thickBot="1">
      <c r="B165" s="104">
        <f t="shared" si="0"/>
        <v>2040</v>
      </c>
      <c r="C165" s="105">
        <f>[5]С2.5!$Y$11</f>
        <v>0</v>
      </c>
    </row>
    <row r="166" spans="2:3" ht="13.5" hidden="1" thickBot="1">
      <c r="B166" s="104">
        <f t="shared" si="0"/>
        <v>2041</v>
      </c>
      <c r="C166" s="105">
        <f>[5]С2.5!$Z$11</f>
        <v>0</v>
      </c>
    </row>
    <row r="167" spans="2:3" ht="13.5" hidden="1" thickBot="1">
      <c r="B167" s="104">
        <f t="shared" si="0"/>
        <v>2042</v>
      </c>
      <c r="C167" s="105">
        <f>[5]С2.5!$AA$11</f>
        <v>0</v>
      </c>
    </row>
    <row r="168" spans="2:3" ht="13.5" hidden="1" thickBot="1">
      <c r="B168" s="104">
        <f t="shared" si="0"/>
        <v>2043</v>
      </c>
      <c r="C168" s="105">
        <f>[5]С2.5!$AB$11</f>
        <v>0</v>
      </c>
    </row>
    <row r="169" spans="2:3" ht="13.5" hidden="1" thickBot="1">
      <c r="B169" s="104">
        <f t="shared" si="0"/>
        <v>2044</v>
      </c>
      <c r="C169" s="105">
        <f>[5]С2.5!$AC$11</f>
        <v>0</v>
      </c>
    </row>
    <row r="170" spans="2:3" ht="13.5" hidden="1" thickBot="1">
      <c r="B170" s="104">
        <f t="shared" si="0"/>
        <v>2045</v>
      </c>
      <c r="C170" s="105">
        <f>[5]С2.5!$AD$11</f>
        <v>0</v>
      </c>
    </row>
    <row r="171" spans="2:3" ht="13.5" hidden="1" thickBot="1">
      <c r="B171" s="104">
        <f t="shared" si="0"/>
        <v>2046</v>
      </c>
      <c r="C171" s="105">
        <f>[5]С2.5!$AE$11</f>
        <v>0</v>
      </c>
    </row>
    <row r="172" spans="2:3" ht="13.5" hidden="1" thickBot="1">
      <c r="B172" s="104">
        <f t="shared" si="0"/>
        <v>2047</v>
      </c>
      <c r="C172" s="105">
        <f>[5]С2.5!$AF$11</f>
        <v>0</v>
      </c>
    </row>
    <row r="173" spans="2:3" ht="13.5" hidden="1" thickBot="1">
      <c r="B173" s="104">
        <f t="shared" si="0"/>
        <v>2048</v>
      </c>
      <c r="C173" s="105">
        <f>[5]С2.5!$AG$11</f>
        <v>0</v>
      </c>
    </row>
    <row r="174" spans="2:3" ht="13.5" hidden="1" thickBot="1">
      <c r="B174" s="104">
        <f t="shared" si="0"/>
        <v>2049</v>
      </c>
      <c r="C174" s="105">
        <f>[5]С2.5!$AH$11</f>
        <v>0</v>
      </c>
    </row>
    <row r="175" spans="2:3" ht="13.5" hidden="1" thickBot="1">
      <c r="B175" s="104">
        <f t="shared" si="0"/>
        <v>2050</v>
      </c>
      <c r="C175" s="105">
        <f>[5]С2.5!$AI$11</f>
        <v>0</v>
      </c>
    </row>
    <row r="176" spans="2:3" ht="13.5" hidden="1" thickBot="1">
      <c r="B176" s="104">
        <f t="shared" si="0"/>
        <v>2051</v>
      </c>
      <c r="C176" s="105">
        <f>[5]С2.5!$AJ$11</f>
        <v>0</v>
      </c>
    </row>
    <row r="177" spans="2:3" ht="13.5" hidden="1" thickBot="1">
      <c r="B177" s="104">
        <f t="shared" si="0"/>
        <v>2052</v>
      </c>
      <c r="C177" s="105">
        <f>[5]С2.5!$AK$11</f>
        <v>0</v>
      </c>
    </row>
    <row r="178" spans="2:3" ht="13.5" hidden="1" thickBot="1">
      <c r="B178" s="104">
        <f t="shared" si="0"/>
        <v>2053</v>
      </c>
      <c r="C178" s="105">
        <f>[5]С2.5!$AL$11</f>
        <v>0</v>
      </c>
    </row>
    <row r="179" spans="2:3" ht="13.5" hidden="1" thickBot="1">
      <c r="B179" s="104">
        <f t="shared" si="0"/>
        <v>2054</v>
      </c>
      <c r="C179" s="105">
        <f>[5]С2.5!$AM$11</f>
        <v>0</v>
      </c>
    </row>
    <row r="180" spans="2:3" ht="13.5" hidden="1" thickBot="1">
      <c r="B180" s="104">
        <f t="shared" si="0"/>
        <v>2055</v>
      </c>
      <c r="C180" s="105">
        <f>[5]С2.5!$AN$11</f>
        <v>0</v>
      </c>
    </row>
    <row r="181" spans="2:3" ht="13.5" hidden="1" thickBot="1">
      <c r="B181" s="104">
        <f t="shared" si="0"/>
        <v>2056</v>
      </c>
      <c r="C181" s="105">
        <f>[5]С2.5!$AO$11</f>
        <v>0</v>
      </c>
    </row>
    <row r="182" spans="2:3" ht="13.5" hidden="1" thickBot="1">
      <c r="B182" s="104">
        <f t="shared" si="0"/>
        <v>2057</v>
      </c>
      <c r="C182" s="105">
        <f>[5]С2.5!$AP$11</f>
        <v>0</v>
      </c>
    </row>
    <row r="183" spans="2:3" ht="13.5" hidden="1" thickBot="1">
      <c r="B183" s="104">
        <f t="shared" si="0"/>
        <v>2058</v>
      </c>
      <c r="C183" s="105">
        <f>[5]С2.5!$AQ$11</f>
        <v>0</v>
      </c>
    </row>
    <row r="184" spans="2:3" ht="13.5" hidden="1" thickBot="1">
      <c r="B184" s="104">
        <f t="shared" si="0"/>
        <v>2059</v>
      </c>
      <c r="C184" s="105">
        <f>[5]С2.5!$AR$11</f>
        <v>0</v>
      </c>
    </row>
    <row r="185" spans="2:3" ht="13.5" hidden="1" thickBot="1">
      <c r="B185" s="104">
        <f t="shared" si="0"/>
        <v>2060</v>
      </c>
      <c r="C185" s="105">
        <f>[5]С2.5!$AS$11</f>
        <v>0</v>
      </c>
    </row>
    <row r="186" spans="2:3" ht="13.5" hidden="1" thickBot="1">
      <c r="B186" s="104">
        <f t="shared" si="0"/>
        <v>2061</v>
      </c>
      <c r="C186" s="105">
        <f>[5]С2.5!$AT$11</f>
        <v>0</v>
      </c>
    </row>
    <row r="187" spans="2:3" ht="13.5" hidden="1" thickBot="1">
      <c r="B187" s="104">
        <f t="shared" si="0"/>
        <v>2062</v>
      </c>
      <c r="C187" s="105">
        <f>[5]С2.5!$AU$11</f>
        <v>0</v>
      </c>
    </row>
    <row r="188" spans="2:3" ht="13.5" hidden="1" thickBot="1">
      <c r="B188" s="104">
        <f t="shared" si="0"/>
        <v>2063</v>
      </c>
      <c r="C188" s="105">
        <f>[5]С2.5!$AV$11</f>
        <v>0</v>
      </c>
    </row>
    <row r="189" spans="2:3" ht="13.5" hidden="1" thickBot="1">
      <c r="B189" s="104">
        <f t="shared" si="0"/>
        <v>2064</v>
      </c>
      <c r="C189" s="105">
        <f>[5]С2.5!$AW$11</f>
        <v>0</v>
      </c>
    </row>
    <row r="190" spans="2:3" ht="13.5" hidden="1" thickBot="1">
      <c r="B190" s="104">
        <f t="shared" si="0"/>
        <v>2065</v>
      </c>
      <c r="C190" s="105">
        <f>[5]С2.5!$AX$11</f>
        <v>0</v>
      </c>
    </row>
    <row r="191" spans="2:3" ht="13.5" hidden="1" thickBot="1">
      <c r="B191" s="104">
        <f t="shared" si="0"/>
        <v>2066</v>
      </c>
      <c r="C191" s="105">
        <f>[5]С2.5!$AY$11</f>
        <v>0</v>
      </c>
    </row>
    <row r="192" spans="2:3" ht="13.5" hidden="1" thickBot="1">
      <c r="B192" s="104">
        <f t="shared" si="0"/>
        <v>2067</v>
      </c>
      <c r="C192" s="105">
        <f>[5]С2.5!$AZ$11</f>
        <v>0</v>
      </c>
    </row>
    <row r="193" spans="2:3" ht="13.5" hidden="1" thickBot="1">
      <c r="B193" s="104">
        <f t="shared" si="0"/>
        <v>2068</v>
      </c>
      <c r="C193" s="105">
        <f>[5]С2.5!$BA$11</f>
        <v>0</v>
      </c>
    </row>
    <row r="194" spans="2:3" ht="13.5" hidden="1" thickBot="1">
      <c r="B194" s="104">
        <f t="shared" si="0"/>
        <v>2069</v>
      </c>
      <c r="C194" s="105">
        <f>[5]С2.5!$BB$11</f>
        <v>0</v>
      </c>
    </row>
    <row r="195" spans="2:3" ht="13.5" hidden="1" thickBot="1">
      <c r="B195" s="104">
        <f t="shared" si="0"/>
        <v>2070</v>
      </c>
      <c r="C195" s="105">
        <f>[5]С2.5!$BC$11</f>
        <v>0</v>
      </c>
    </row>
    <row r="196" spans="2:3" ht="13.5" hidden="1" thickBot="1">
      <c r="B196" s="104">
        <f t="shared" si="0"/>
        <v>2071</v>
      </c>
      <c r="C196" s="105">
        <f>[5]С2.5!$BD$11</f>
        <v>0</v>
      </c>
    </row>
    <row r="197" spans="2:3" ht="13.5" hidden="1" thickBot="1">
      <c r="B197" s="104">
        <f t="shared" si="0"/>
        <v>2072</v>
      </c>
      <c r="C197" s="105">
        <f>[5]С2.5!$BE$11</f>
        <v>0</v>
      </c>
    </row>
    <row r="198" spans="2:3" ht="13.5" hidden="1" thickBot="1">
      <c r="B198" s="104">
        <f t="shared" si="0"/>
        <v>2073</v>
      </c>
      <c r="C198" s="105">
        <f>[5]С2.5!$BF$11</f>
        <v>0</v>
      </c>
    </row>
    <row r="199" spans="2:3" ht="13.5" hidden="1" thickBot="1">
      <c r="B199" s="104">
        <f t="shared" si="0"/>
        <v>2074</v>
      </c>
      <c r="C199" s="105">
        <f>[5]С2.5!$BG$11</f>
        <v>0</v>
      </c>
    </row>
    <row r="200" spans="2:3" ht="13.5" hidden="1" thickBot="1">
      <c r="B200" s="104">
        <f t="shared" si="0"/>
        <v>2075</v>
      </c>
      <c r="C200" s="105">
        <f>[5]С2.5!$BH$11</f>
        <v>0</v>
      </c>
    </row>
    <row r="201" spans="2:3" ht="13.5" hidden="1" thickBot="1">
      <c r="B201" s="104">
        <f t="shared" si="0"/>
        <v>2076</v>
      </c>
      <c r="C201" s="105">
        <f>[5]С2.5!$BI$11</f>
        <v>0</v>
      </c>
    </row>
    <row r="202" spans="2:3" ht="13.5" hidden="1" thickBot="1">
      <c r="B202" s="104">
        <f t="shared" si="0"/>
        <v>2077</v>
      </c>
      <c r="C202" s="105">
        <f>[5]С2.5!$BJ$11</f>
        <v>0</v>
      </c>
    </row>
    <row r="203" spans="2:3" ht="13.5" hidden="1" thickBot="1">
      <c r="B203" s="104">
        <f t="shared" si="0"/>
        <v>2078</v>
      </c>
      <c r="C203" s="105">
        <f>[5]С2.5!$BK$11</f>
        <v>0</v>
      </c>
    </row>
    <row r="204" spans="2:3" ht="13.5" hidden="1" thickBot="1">
      <c r="B204" s="104">
        <f t="shared" si="0"/>
        <v>2079</v>
      </c>
      <c r="C204" s="105">
        <f>[5]С2.5!$BL$11</f>
        <v>0</v>
      </c>
    </row>
    <row r="205" spans="2:3" ht="13.5" hidden="1" thickBot="1">
      <c r="B205" s="104">
        <f t="shared" si="0"/>
        <v>2080</v>
      </c>
      <c r="C205" s="105">
        <f>[5]С2.5!$BM$11</f>
        <v>0</v>
      </c>
    </row>
    <row r="206" spans="2:3" ht="13.5" hidden="1" thickBot="1">
      <c r="B206" s="104">
        <f t="shared" si="0"/>
        <v>2081</v>
      </c>
      <c r="C206" s="105">
        <f>[5]С2.5!$BN$11</f>
        <v>0</v>
      </c>
    </row>
    <row r="207" spans="2:3" ht="13.5" hidden="1" thickBot="1">
      <c r="B207" s="104">
        <f t="shared" si="0"/>
        <v>2082</v>
      </c>
      <c r="C207" s="105">
        <f>[5]С2.5!$BO$11</f>
        <v>0</v>
      </c>
    </row>
    <row r="208" spans="2:3" ht="13.5" hidden="1" thickBot="1">
      <c r="B208" s="104">
        <f t="shared" si="0"/>
        <v>2083</v>
      </c>
      <c r="C208" s="105">
        <f>[5]С2.5!$BP$11</f>
        <v>0</v>
      </c>
    </row>
    <row r="209" spans="2:3" ht="13.5" hidden="1" thickBot="1">
      <c r="B209" s="104">
        <f t="shared" si="0"/>
        <v>2084</v>
      </c>
      <c r="C209" s="105">
        <f>[5]С2.5!$BQ$11</f>
        <v>0</v>
      </c>
    </row>
    <row r="210" spans="2:3" ht="13.5" hidden="1" thickBot="1">
      <c r="B210" s="104">
        <f t="shared" si="0"/>
        <v>2085</v>
      </c>
      <c r="C210" s="105">
        <f>[5]С2.5!$BR$11</f>
        <v>0</v>
      </c>
    </row>
    <row r="211" spans="2:3" ht="13.5" hidden="1" thickBot="1">
      <c r="B211" s="104">
        <f t="shared" ref="B211:B224" si="1">B210+1</f>
        <v>2086</v>
      </c>
      <c r="C211" s="105">
        <f>[5]С2.5!$BS$11</f>
        <v>0</v>
      </c>
    </row>
    <row r="212" spans="2:3" ht="13.5" hidden="1" thickBot="1">
      <c r="B212" s="104">
        <f t="shared" si="1"/>
        <v>2087</v>
      </c>
      <c r="C212" s="105">
        <f>[5]С2.5!$BT$11</f>
        <v>0</v>
      </c>
    </row>
    <row r="213" spans="2:3" ht="13.5" hidden="1" thickBot="1">
      <c r="B213" s="104">
        <f t="shared" si="1"/>
        <v>2088</v>
      </c>
      <c r="C213" s="105">
        <f>[5]С2.5!$BU$11</f>
        <v>0</v>
      </c>
    </row>
    <row r="214" spans="2:3" ht="13.5" hidden="1" thickBot="1">
      <c r="B214" s="104">
        <f t="shared" si="1"/>
        <v>2089</v>
      </c>
      <c r="C214" s="105">
        <f>[5]С2.5!$BV$11</f>
        <v>0</v>
      </c>
    </row>
    <row r="215" spans="2:3" ht="13.5" hidden="1" thickBot="1">
      <c r="B215" s="104">
        <f t="shared" si="1"/>
        <v>2090</v>
      </c>
      <c r="C215" s="105">
        <f>[5]С2.5!$BW$11</f>
        <v>0</v>
      </c>
    </row>
    <row r="216" spans="2:3" ht="13.5" hidden="1" thickBot="1">
      <c r="B216" s="104">
        <f t="shared" si="1"/>
        <v>2091</v>
      </c>
      <c r="C216" s="105">
        <f>[5]С2.5!$BX$11</f>
        <v>0</v>
      </c>
    </row>
    <row r="217" spans="2:3" ht="13.5" hidden="1" thickBot="1">
      <c r="B217" s="104">
        <f t="shared" si="1"/>
        <v>2092</v>
      </c>
      <c r="C217" s="105">
        <f>[5]С2.5!$BY$11</f>
        <v>0</v>
      </c>
    </row>
    <row r="218" spans="2:3" ht="13.5" hidden="1" thickBot="1">
      <c r="B218" s="104">
        <f t="shared" si="1"/>
        <v>2093</v>
      </c>
      <c r="C218" s="105">
        <f>[5]С2.5!$BZ$11</f>
        <v>0</v>
      </c>
    </row>
    <row r="219" spans="2:3" ht="13.5" hidden="1" thickBot="1">
      <c r="B219" s="104">
        <f t="shared" si="1"/>
        <v>2094</v>
      </c>
      <c r="C219" s="105">
        <f>[5]С2.5!$CA$11</f>
        <v>0</v>
      </c>
    </row>
    <row r="220" spans="2:3" ht="13.5" hidden="1" thickBot="1">
      <c r="B220" s="104">
        <f t="shared" si="1"/>
        <v>2095</v>
      </c>
      <c r="C220" s="105">
        <f>[5]С2.5!$CB$11</f>
        <v>0</v>
      </c>
    </row>
    <row r="221" spans="2:3" ht="13.5" hidden="1" thickBot="1">
      <c r="B221" s="104">
        <f t="shared" si="1"/>
        <v>2096</v>
      </c>
      <c r="C221" s="105">
        <f>[5]С2.5!$CC$11</f>
        <v>0</v>
      </c>
    </row>
    <row r="222" spans="2:3" ht="13.5" hidden="1" thickBot="1">
      <c r="B222" s="104">
        <f t="shared" si="1"/>
        <v>2097</v>
      </c>
      <c r="C222" s="105">
        <f>[5]С2.5!$CD$11</f>
        <v>0</v>
      </c>
    </row>
    <row r="223" spans="2:3" ht="13.5" hidden="1" thickBot="1">
      <c r="B223" s="104">
        <f t="shared" si="1"/>
        <v>2098</v>
      </c>
      <c r="C223" s="105">
        <f>[5]С2.5!$CE$11</f>
        <v>0</v>
      </c>
    </row>
    <row r="224" spans="2:3" ht="13.5" hidden="1" thickBot="1">
      <c r="B224" s="104">
        <f t="shared" si="1"/>
        <v>2099</v>
      </c>
      <c r="C224" s="105">
        <f>[5]С2.5!$CF$11</f>
        <v>0</v>
      </c>
    </row>
    <row r="225" spans="2:3" ht="13.5" hidden="1" thickBot="1">
      <c r="B225" s="106">
        <f>B162+1</f>
        <v>2038</v>
      </c>
      <c r="C225" s="107" t="e">
        <f>[5]С2.5!#REF!</f>
        <v>#REF!</v>
      </c>
    </row>
    <row r="226" spans="2:3">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7409" r:id="rId4" name="Button 1">
              <controlPr defaultSize="0" print="0" autoFill="0" autoPict="0" macro="[6]!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17410" r:id="rId5" name="Button 2">
              <controlPr defaultSize="0" print="0" autoFill="0" autoPict="0" macro="[5]!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[7]И1!D13</f>
        <v>Субъект Российской Федерации</v>
      </c>
      <c r="C4" s="9" t="str">
        <f>[7]И1!E13</f>
        <v>Новосибирская область</v>
      </c>
    </row>
    <row r="5" spans="1:3" ht="46.9" customHeight="1">
      <c r="A5" s="7"/>
      <c r="B5" s="8" t="str">
        <f>[7]И1!D14</f>
        <v>Тип муниципального образования (выберите из списка)</v>
      </c>
      <c r="C5" s="9" t="str">
        <f>[7]И1!E14</f>
        <v>г. Болотное</v>
      </c>
    </row>
    <row r="6" spans="1:3">
      <c r="A6" s="7"/>
      <c r="B6" s="8" t="str">
        <f>IF([7]И1!E15="","",[7]И1!D15)</f>
        <v/>
      </c>
      <c r="C6" s="9" t="str">
        <f>IF([7]И1!E15="","",[7]И1!E15)</f>
        <v/>
      </c>
    </row>
    <row r="7" spans="1:3">
      <c r="A7" s="7"/>
      <c r="B7" s="8" t="str">
        <f>[7]И1!D16</f>
        <v>Код ОКТМО</v>
      </c>
      <c r="C7" s="10" t="str">
        <f>[7]И1!E16</f>
        <v>50606101001</v>
      </c>
    </row>
    <row r="8" spans="1:3">
      <c r="A8" s="7"/>
      <c r="B8" s="11" t="str">
        <f>[7]И1!D17</f>
        <v>Система теплоснабжения</v>
      </c>
      <c r="C8" s="12">
        <f>[7]И1!E17</f>
        <v>0</v>
      </c>
    </row>
    <row r="9" spans="1:3">
      <c r="A9" s="7"/>
      <c r="B9" s="8" t="str">
        <f>[7]И1!D8</f>
        <v>Период регулирования (i)-й</v>
      </c>
      <c r="C9" s="13">
        <f>[7]И1!E8</f>
        <v>2024</v>
      </c>
    </row>
    <row r="10" spans="1:3">
      <c r="A10" s="7"/>
      <c r="B10" s="8" t="str">
        <f>[7]И1!D9</f>
        <v>Период регулирования (i-1)-й</v>
      </c>
      <c r="C10" s="13">
        <f>[7]И1!E9</f>
        <v>2023</v>
      </c>
    </row>
    <row r="11" spans="1:3">
      <c r="A11" s="7"/>
      <c r="B11" s="8" t="str">
        <f>[7]И1!D10</f>
        <v>Период регулирования (i-2)-й</v>
      </c>
      <c r="C11" s="13">
        <f>[7]И1!E10</f>
        <v>2022</v>
      </c>
    </row>
    <row r="12" spans="1:3">
      <c r="A12" s="7"/>
      <c r="B12" s="8" t="str">
        <f>[7]И1!D11</f>
        <v>Базовый год (б)</v>
      </c>
      <c r="C12" s="13">
        <f>[7]И1!E11</f>
        <v>2019</v>
      </c>
    </row>
    <row r="13" spans="1:3" ht="38.25">
      <c r="A13" s="7"/>
      <c r="B13" s="8" t="str">
        <f>[7]И1!D18</f>
        <v>Вид топлива, использование которого преобладает в системе теплоснабжения</v>
      </c>
      <c r="C13" s="14" t="str">
        <f>[7]С1.1!E13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3464.7665681415906</v>
      </c>
    </row>
    <row r="18" spans="1:3" ht="42.75">
      <c r="A18" s="21" t="s">
        <v>8</v>
      </c>
      <c r="B18" s="24" t="s">
        <v>9</v>
      </c>
      <c r="C18" s="25">
        <f>[7]С1!F12</f>
        <v>502.04092522744986</v>
      </c>
    </row>
    <row r="19" spans="1:3" ht="42.75">
      <c r="A19" s="21" t="s">
        <v>10</v>
      </c>
      <c r="B19" s="24" t="s">
        <v>11</v>
      </c>
      <c r="C19" s="25">
        <f>[7]С2!F12</f>
        <v>1993.3494362887216</v>
      </c>
    </row>
    <row r="20" spans="1:3" ht="30">
      <c r="A20" s="21" t="s">
        <v>12</v>
      </c>
      <c r="B20" s="24" t="s">
        <v>13</v>
      </c>
      <c r="C20" s="25">
        <f>[7]С3!F12</f>
        <v>473.85859951490778</v>
      </c>
    </row>
    <row r="21" spans="1:3" ht="42.75">
      <c r="A21" s="21" t="s">
        <v>14</v>
      </c>
      <c r="B21" s="24" t="s">
        <v>226</v>
      </c>
      <c r="C21" s="25">
        <f>[7]С4!F12</f>
        <v>427.58100773518561</v>
      </c>
    </row>
    <row r="22" spans="1:3" ht="30">
      <c r="A22" s="21" t="s">
        <v>16</v>
      </c>
      <c r="B22" s="24" t="s">
        <v>227</v>
      </c>
      <c r="C22" s="25">
        <f>[7]С5!F12</f>
        <v>67.936599375325301</v>
      </c>
    </row>
    <row r="23" spans="1:3" ht="43.5" thickBot="1">
      <c r="A23" s="26" t="s">
        <v>18</v>
      </c>
      <c r="B23" s="140" t="s">
        <v>228</v>
      </c>
      <c r="C23" s="27" t="str">
        <f>[7]С6!F12</f>
        <v>-</v>
      </c>
    </row>
    <row r="24" spans="1:3" ht="13.5" thickBot="1">
      <c r="A24" s="1"/>
    </row>
    <row r="25" spans="1:3">
      <c r="A25" s="15" t="s">
        <v>4</v>
      </c>
      <c r="B25" s="28" t="s">
        <v>5</v>
      </c>
      <c r="C25" s="16" t="s">
        <v>6</v>
      </c>
    </row>
    <row r="26" spans="1:3">
      <c r="A26" s="18">
        <v>1</v>
      </c>
      <c r="B26" s="29">
        <v>2</v>
      </c>
      <c r="C26" s="30">
        <v>3</v>
      </c>
    </row>
    <row r="27" spans="1:3" ht="36" customHeight="1">
      <c r="A27" s="21">
        <v>1</v>
      </c>
      <c r="B27" s="144" t="s">
        <v>20</v>
      </c>
      <c r="C27" s="144"/>
    </row>
    <row r="28" spans="1:3">
      <c r="A28" s="21" t="s">
        <v>8</v>
      </c>
      <c r="B28" s="31" t="s">
        <v>229</v>
      </c>
      <c r="C28" s="32">
        <f>[7]С1.1!E16</f>
        <v>5100</v>
      </c>
    </row>
    <row r="29" spans="1:3" ht="42.75">
      <c r="A29" s="21" t="s">
        <v>10</v>
      </c>
      <c r="B29" s="31" t="s">
        <v>230</v>
      </c>
      <c r="C29" s="32">
        <f>[7]С1.1!E27</f>
        <v>2255.6916666666666</v>
      </c>
    </row>
    <row r="30" spans="1:3" ht="17.25">
      <c r="A30" s="21" t="s">
        <v>12</v>
      </c>
      <c r="B30" s="31" t="s">
        <v>29</v>
      </c>
      <c r="C30" s="34">
        <f>[7]С1.1!E19</f>
        <v>-0.19900000000000001</v>
      </c>
    </row>
    <row r="31" spans="1:3" ht="17.25">
      <c r="A31" s="21" t="s">
        <v>14</v>
      </c>
      <c r="B31" s="31" t="s">
        <v>30</v>
      </c>
      <c r="C31" s="34">
        <f>[7]С1.1!E20</f>
        <v>5.7000000000000002E-2</v>
      </c>
    </row>
    <row r="32" spans="1:3" ht="30">
      <c r="A32" s="21" t="s">
        <v>16</v>
      </c>
      <c r="B32" s="35" t="s">
        <v>231</v>
      </c>
      <c r="C32" s="117">
        <f>[7]С1!F13</f>
        <v>176.4</v>
      </c>
    </row>
    <row r="33" spans="1:3">
      <c r="A33" s="21" t="s">
        <v>18</v>
      </c>
      <c r="B33" s="35" t="s">
        <v>32</v>
      </c>
      <c r="C33" s="37">
        <f>[7]С1!F16</f>
        <v>7000</v>
      </c>
    </row>
    <row r="34" spans="1:3" ht="14.25">
      <c r="A34" s="21" t="s">
        <v>33</v>
      </c>
      <c r="B34" s="39" t="s">
        <v>232</v>
      </c>
      <c r="C34" s="40">
        <f>[7]С1!F17</f>
        <v>0.72857142857142854</v>
      </c>
    </row>
    <row r="35" spans="1:3" ht="15.75">
      <c r="A35" s="118" t="s">
        <v>35</v>
      </c>
      <c r="B35" s="42" t="s">
        <v>36</v>
      </c>
      <c r="C35" s="40">
        <f>[7]С1!F20</f>
        <v>21.588411179999994</v>
      </c>
    </row>
    <row r="36" spans="1:3" ht="15.75">
      <c r="A36" s="118" t="s">
        <v>37</v>
      </c>
      <c r="B36" s="43" t="s">
        <v>38</v>
      </c>
      <c r="C36" s="40">
        <f>[7]С1!F21</f>
        <v>20.818139999999996</v>
      </c>
    </row>
    <row r="37" spans="1:3" ht="14.25">
      <c r="A37" s="118" t="s">
        <v>39</v>
      </c>
      <c r="B37" s="44" t="s">
        <v>40</v>
      </c>
      <c r="C37" s="40">
        <f>[7]С1!F22</f>
        <v>1.0369999999999999</v>
      </c>
    </row>
    <row r="38" spans="1:3" ht="53.25" thickBot="1">
      <c r="A38" s="26" t="s">
        <v>41</v>
      </c>
      <c r="B38" s="45" t="s">
        <v>42</v>
      </c>
      <c r="C38" s="46">
        <f>[7]С1!F23</f>
        <v>1.0469999999999999</v>
      </c>
    </row>
    <row r="39" spans="1:3" ht="13.5" thickBot="1">
      <c r="A39" s="47"/>
      <c r="B39" s="119"/>
      <c r="C39" s="120"/>
    </row>
    <row r="40" spans="1:3" ht="37.5" customHeight="1">
      <c r="A40" s="49" t="s">
        <v>43</v>
      </c>
      <c r="B40" s="145" t="s">
        <v>44</v>
      </c>
      <c r="C40" s="145"/>
    </row>
    <row r="41" spans="1:3" ht="25.5">
      <c r="A41" s="21" t="s">
        <v>45</v>
      </c>
      <c r="B41" s="35" t="s">
        <v>46</v>
      </c>
      <c r="C41" s="50" t="str">
        <f>[7]С2.1!E12</f>
        <v>V</v>
      </c>
    </row>
    <row r="42" spans="1:3" ht="25.5">
      <c r="A42" s="21" t="s">
        <v>47</v>
      </c>
      <c r="B42" s="31" t="s">
        <v>48</v>
      </c>
      <c r="C42" s="50" t="str">
        <f>[7]С2.1!E13</f>
        <v>6 и менее баллов</v>
      </c>
    </row>
    <row r="43" spans="1:3" ht="25.5">
      <c r="A43" s="21" t="s">
        <v>49</v>
      </c>
      <c r="B43" s="31" t="s">
        <v>233</v>
      </c>
      <c r="C43" s="50" t="str">
        <f>[7]С2.1!E14</f>
        <v>от 200 до 500</v>
      </c>
    </row>
    <row r="44" spans="1:3" ht="25.5">
      <c r="A44" s="21" t="s">
        <v>51</v>
      </c>
      <c r="B44" s="31" t="s">
        <v>234</v>
      </c>
      <c r="C44" s="51" t="str">
        <f>[7]С2.1!E15</f>
        <v>нет</v>
      </c>
    </row>
    <row r="45" spans="1:3" ht="30">
      <c r="A45" s="21" t="s">
        <v>53</v>
      </c>
      <c r="B45" s="31" t="s">
        <v>54</v>
      </c>
      <c r="C45" s="32">
        <f>[7]С2!F18</f>
        <v>35106.652004551666</v>
      </c>
    </row>
    <row r="46" spans="1:3" ht="30">
      <c r="A46" s="21" t="s">
        <v>55</v>
      </c>
      <c r="B46" s="52" t="s">
        <v>56</v>
      </c>
      <c r="C46" s="32">
        <f>IF([7]С2!F19&gt;0,[7]С2!F19,[7]С2!F20)</f>
        <v>23441.524932855718</v>
      </c>
    </row>
    <row r="47" spans="1:3" ht="25.5">
      <c r="A47" s="21" t="s">
        <v>57</v>
      </c>
      <c r="B47" s="53" t="s">
        <v>58</v>
      </c>
      <c r="C47" s="32">
        <f>[7]С2.1!E19</f>
        <v>-38</v>
      </c>
    </row>
    <row r="48" spans="1:3" ht="25.5">
      <c r="A48" s="21" t="s">
        <v>59</v>
      </c>
      <c r="B48" s="53" t="s">
        <v>60</v>
      </c>
      <c r="C48" s="32" t="str">
        <f>[7]С2.1!E22</f>
        <v>нет</v>
      </c>
    </row>
    <row r="49" spans="1:3" ht="38.25">
      <c r="A49" s="21" t="s">
        <v>61</v>
      </c>
      <c r="B49" s="54" t="s">
        <v>62</v>
      </c>
      <c r="C49" s="32">
        <f>[7]С2.2!E10</f>
        <v>1287</v>
      </c>
    </row>
    <row r="50" spans="1:3" ht="25.5">
      <c r="A50" s="21" t="s">
        <v>63</v>
      </c>
      <c r="B50" s="55" t="s">
        <v>64</v>
      </c>
      <c r="C50" s="32">
        <f>[7]С2.2!E12</f>
        <v>5.97</v>
      </c>
    </row>
    <row r="51" spans="1:3" ht="52.5">
      <c r="A51" s="21" t="s">
        <v>65</v>
      </c>
      <c r="B51" s="56" t="s">
        <v>66</v>
      </c>
      <c r="C51" s="32">
        <f>[7]С2.2!E13</f>
        <v>1</v>
      </c>
    </row>
    <row r="52" spans="1:3" ht="27.75">
      <c r="A52" s="21" t="s">
        <v>67</v>
      </c>
      <c r="B52" s="55" t="s">
        <v>68</v>
      </c>
      <c r="C52" s="32">
        <f>[7]С2.2!E14</f>
        <v>12104</v>
      </c>
    </row>
    <row r="53" spans="1:3" ht="25.5">
      <c r="A53" s="21" t="s">
        <v>69</v>
      </c>
      <c r="B53" s="56" t="s">
        <v>70</v>
      </c>
      <c r="C53" s="34">
        <f>[7]С2.2!E15</f>
        <v>4.8000000000000001E-2</v>
      </c>
    </row>
    <row r="54" spans="1:3">
      <c r="A54" s="21" t="s">
        <v>71</v>
      </c>
      <c r="B54" s="56" t="s">
        <v>72</v>
      </c>
      <c r="C54" s="32">
        <f>[7]С2.2!E16</f>
        <v>1</v>
      </c>
    </row>
    <row r="55" spans="1:3" ht="15.75">
      <c r="A55" s="21" t="s">
        <v>73</v>
      </c>
      <c r="B55" s="58" t="s">
        <v>74</v>
      </c>
      <c r="C55" s="32">
        <f>[7]С2!F21</f>
        <v>1</v>
      </c>
    </row>
    <row r="56" spans="1:3" ht="30">
      <c r="A56" s="59" t="s">
        <v>75</v>
      </c>
      <c r="B56" s="31" t="s">
        <v>235</v>
      </c>
      <c r="C56" s="32">
        <f>[7]С2!F13</f>
        <v>183796.83936385796</v>
      </c>
    </row>
    <row r="57" spans="1:3" ht="30">
      <c r="A57" s="59" t="s">
        <v>77</v>
      </c>
      <c r="B57" s="58" t="s">
        <v>236</v>
      </c>
      <c r="C57" s="32">
        <f>[7]С2!F14</f>
        <v>113455</v>
      </c>
    </row>
    <row r="58" spans="1:3" ht="15.75">
      <c r="A58" s="59" t="s">
        <v>79</v>
      </c>
      <c r="B58" s="60" t="s">
        <v>80</v>
      </c>
      <c r="C58" s="40">
        <f>[7]С2!F15</f>
        <v>1.071</v>
      </c>
    </row>
    <row r="59" spans="1:3" ht="15.75">
      <c r="A59" s="59" t="s">
        <v>81</v>
      </c>
      <c r="B59" s="60" t="s">
        <v>82</v>
      </c>
      <c r="C59" s="40">
        <f>[7]С2!F16</f>
        <v>1</v>
      </c>
    </row>
    <row r="60" spans="1:3" ht="17.25">
      <c r="A60" s="59" t="s">
        <v>83</v>
      </c>
      <c r="B60" s="58" t="s">
        <v>84</v>
      </c>
      <c r="C60" s="32">
        <f>[7]С2!F17</f>
        <v>1.01</v>
      </c>
    </row>
    <row r="61" spans="1:3" s="65" customFormat="1" ht="14.25">
      <c r="A61" s="59" t="s">
        <v>85</v>
      </c>
      <c r="B61" s="63" t="s">
        <v>86</v>
      </c>
      <c r="C61" s="64">
        <f>[7]С2!F33</f>
        <v>10</v>
      </c>
    </row>
    <row r="62" spans="1:3" ht="30">
      <c r="A62" s="59" t="s">
        <v>87</v>
      </c>
      <c r="B62" s="66" t="s">
        <v>88</v>
      </c>
      <c r="C62" s="32">
        <f>[7]С2!F26</f>
        <v>1867.194948000021</v>
      </c>
    </row>
    <row r="63" spans="1:3" ht="17.25">
      <c r="A63" s="59" t="s">
        <v>89</v>
      </c>
      <c r="B63" s="52" t="s">
        <v>237</v>
      </c>
      <c r="C63" s="32">
        <f>[7]С2!F27</f>
        <v>0.29684983999999998</v>
      </c>
    </row>
    <row r="64" spans="1:3" ht="17.25">
      <c r="A64" s="59" t="s">
        <v>91</v>
      </c>
      <c r="B64" s="58" t="s">
        <v>238</v>
      </c>
      <c r="C64" s="64">
        <f>[7]С2!F28</f>
        <v>4200</v>
      </c>
    </row>
    <row r="65" spans="1:3" ht="42.75">
      <c r="A65" s="59" t="s">
        <v>93</v>
      </c>
      <c r="B65" s="31" t="s">
        <v>239</v>
      </c>
      <c r="C65" s="32">
        <f>[7]С2!F22</f>
        <v>38698.422798410109</v>
      </c>
    </row>
    <row r="66" spans="1:3" ht="30">
      <c r="A66" s="59" t="s">
        <v>95</v>
      </c>
      <c r="B66" s="60" t="s">
        <v>240</v>
      </c>
      <c r="C66" s="32">
        <f>[7]С2!F23</f>
        <v>1990</v>
      </c>
    </row>
    <row r="67" spans="1:3" ht="30">
      <c r="A67" s="59" t="s">
        <v>97</v>
      </c>
      <c r="B67" s="52" t="s">
        <v>98</v>
      </c>
      <c r="C67" s="32">
        <f>[7]С2.1!E27</f>
        <v>14307.876789999998</v>
      </c>
    </row>
    <row r="68" spans="1:3" ht="38.25">
      <c r="A68" s="59" t="s">
        <v>99</v>
      </c>
      <c r="B68" s="67" t="s">
        <v>100</v>
      </c>
      <c r="C68" s="51">
        <f>[7]С2.3!E21</f>
        <v>0</v>
      </c>
    </row>
    <row r="69" spans="1:3" ht="25.5">
      <c r="A69" s="59" t="s">
        <v>101</v>
      </c>
      <c r="B69" s="68" t="s">
        <v>102</v>
      </c>
      <c r="C69" s="69">
        <f>[7]С2.3!E11</f>
        <v>9.89</v>
      </c>
    </row>
    <row r="70" spans="1:3" ht="25.5">
      <c r="A70" s="59" t="s">
        <v>103</v>
      </c>
      <c r="B70" s="68" t="s">
        <v>104</v>
      </c>
      <c r="C70" s="64">
        <f>[7]С2.3!E13</f>
        <v>300</v>
      </c>
    </row>
    <row r="71" spans="1:3" ht="25.5">
      <c r="A71" s="59" t="s">
        <v>105</v>
      </c>
      <c r="B71" s="67" t="s">
        <v>106</v>
      </c>
      <c r="C71" s="70">
        <f>IF([7]С2.3!E22&gt;0,[7]С2.3!E22,[7]С2.3!E14)</f>
        <v>61211</v>
      </c>
    </row>
    <row r="72" spans="1:3" ht="38.25">
      <c r="A72" s="59" t="s">
        <v>107</v>
      </c>
      <c r="B72" s="67" t="s">
        <v>108</v>
      </c>
      <c r="C72" s="70">
        <f>IF([7]С2.3!E23&gt;0,[7]С2.3!E23,[7]С2.3!E15)</f>
        <v>45675</v>
      </c>
    </row>
    <row r="73" spans="1:3" ht="30">
      <c r="A73" s="59" t="s">
        <v>109</v>
      </c>
      <c r="B73" s="52" t="s">
        <v>110</v>
      </c>
      <c r="C73" s="32">
        <f>[7]С2.1!E28</f>
        <v>9541.9567200000001</v>
      </c>
    </row>
    <row r="74" spans="1:3" ht="38.25">
      <c r="A74" s="59" t="s">
        <v>111</v>
      </c>
      <c r="B74" s="67" t="s">
        <v>112</v>
      </c>
      <c r="C74" s="51">
        <f>[7]С2.3!E25</f>
        <v>0</v>
      </c>
    </row>
    <row r="75" spans="1:3" ht="25.5">
      <c r="A75" s="59" t="s">
        <v>113</v>
      </c>
      <c r="B75" s="68" t="s">
        <v>114</v>
      </c>
      <c r="C75" s="69">
        <f>[7]С2.3!E12</f>
        <v>0.56000000000000005</v>
      </c>
    </row>
    <row r="76" spans="1:3" ht="25.5">
      <c r="A76" s="59" t="s">
        <v>115</v>
      </c>
      <c r="B76" s="68" t="s">
        <v>104</v>
      </c>
      <c r="C76" s="64">
        <f>[7]С2.3!E13</f>
        <v>300</v>
      </c>
    </row>
    <row r="77" spans="1:3" ht="25.5">
      <c r="A77" s="59" t="s">
        <v>116</v>
      </c>
      <c r="B77" s="71" t="s">
        <v>117</v>
      </c>
      <c r="C77" s="70">
        <f>IF([7]С2.3!E26&gt;0,[7]С2.3!E26,[7]С2.3!E16)</f>
        <v>65637</v>
      </c>
    </row>
    <row r="78" spans="1:3" ht="38.25">
      <c r="A78" s="59" t="s">
        <v>118</v>
      </c>
      <c r="B78" s="71" t="s">
        <v>119</v>
      </c>
      <c r="C78" s="70">
        <f>IF([7]С2.3!E27&gt;0,[7]С2.3!E27,[7]С2.3!E17)</f>
        <v>31684</v>
      </c>
    </row>
    <row r="79" spans="1:3" ht="17.25">
      <c r="A79" s="59" t="s">
        <v>122</v>
      </c>
      <c r="B79" s="31" t="s">
        <v>123</v>
      </c>
      <c r="C79" s="34">
        <f>[7]С2!F29</f>
        <v>9.5962865259740182E-2</v>
      </c>
    </row>
    <row r="80" spans="1:3" ht="30">
      <c r="A80" s="59" t="s">
        <v>124</v>
      </c>
      <c r="B80" s="52" t="s">
        <v>125</v>
      </c>
      <c r="C80" s="72">
        <f>[7]С2!F30</f>
        <v>8.4029304029304031E-2</v>
      </c>
    </row>
    <row r="81" spans="1:3" ht="17.25">
      <c r="A81" s="59" t="s">
        <v>126</v>
      </c>
      <c r="B81" s="73" t="s">
        <v>127</v>
      </c>
      <c r="C81" s="34">
        <f>[7]С2!F31</f>
        <v>0.13880000000000001</v>
      </c>
    </row>
    <row r="82" spans="1:3" s="65" customFormat="1" ht="18" thickBot="1">
      <c r="A82" s="74" t="s">
        <v>128</v>
      </c>
      <c r="B82" s="75" t="s">
        <v>129</v>
      </c>
      <c r="C82" s="76">
        <f>[7]С2!F32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[7]С3!F14</f>
        <v>6081.0916722812572</v>
      </c>
    </row>
    <row r="86" spans="1:3" s="65" customFormat="1" ht="42.75">
      <c r="A86" s="78" t="s">
        <v>134</v>
      </c>
      <c r="B86" s="52" t="s">
        <v>135</v>
      </c>
      <c r="C86" s="79">
        <f>[7]С3!F15</f>
        <v>0.2</v>
      </c>
    </row>
    <row r="87" spans="1:3" s="65" customFormat="1" ht="14.25">
      <c r="A87" s="78" t="s">
        <v>136</v>
      </c>
      <c r="B87" s="80" t="s">
        <v>137</v>
      </c>
      <c r="C87" s="64">
        <f>[7]С3!F18</f>
        <v>15</v>
      </c>
    </row>
    <row r="88" spans="1:3" s="65" customFormat="1" ht="17.25">
      <c r="A88" s="78" t="s">
        <v>138</v>
      </c>
      <c r="B88" s="31" t="s">
        <v>139</v>
      </c>
      <c r="C88" s="32">
        <f>[7]С3!F19</f>
        <v>3778.1614077800232</v>
      </c>
    </row>
    <row r="89" spans="1:3" s="65" customFormat="1" ht="55.5">
      <c r="A89" s="78" t="s">
        <v>140</v>
      </c>
      <c r="B89" s="52" t="s">
        <v>141</v>
      </c>
      <c r="C89" s="81">
        <f>[7]С3!F20</f>
        <v>2.1999999999999999E-2</v>
      </c>
    </row>
    <row r="90" spans="1:3" s="65" customFormat="1" ht="14.25">
      <c r="A90" s="78" t="s">
        <v>142</v>
      </c>
      <c r="B90" s="58" t="s">
        <v>86</v>
      </c>
      <c r="C90" s="64">
        <f>[7]С3!F21</f>
        <v>10</v>
      </c>
    </row>
    <row r="91" spans="1:3" s="65" customFormat="1" ht="17.25">
      <c r="A91" s="78" t="s">
        <v>143</v>
      </c>
      <c r="B91" s="31" t="s">
        <v>144</v>
      </c>
      <c r="C91" s="32">
        <f>[7]С3!F22</f>
        <v>5.6015848440000635</v>
      </c>
    </row>
    <row r="92" spans="1:3" s="65" customFormat="1" ht="55.5">
      <c r="A92" s="78" t="s">
        <v>145</v>
      </c>
      <c r="B92" s="52" t="s">
        <v>146</v>
      </c>
      <c r="C92" s="81">
        <f>[7]С3!F23</f>
        <v>3.0000000000000001E-3</v>
      </c>
    </row>
    <row r="93" spans="1:3" s="65" customFormat="1" ht="27.75" thickBot="1">
      <c r="A93" s="82" t="s">
        <v>147</v>
      </c>
      <c r="B93" s="83" t="s">
        <v>241</v>
      </c>
      <c r="C93" s="84">
        <f>[7]С3!F24</f>
        <v>1867.194948000021</v>
      </c>
    </row>
    <row r="94" spans="1:3" ht="13.5" thickBot="1">
      <c r="A94" s="47"/>
      <c r="B94" s="48"/>
      <c r="C94" s="14"/>
    </row>
    <row r="95" spans="1:3" ht="30" customHeight="1">
      <c r="A95" s="85" t="s">
        <v>148</v>
      </c>
      <c r="B95" s="145" t="s">
        <v>149</v>
      </c>
      <c r="C95" s="145"/>
    </row>
    <row r="96" spans="1:3" ht="30">
      <c r="A96" s="59" t="s">
        <v>150</v>
      </c>
      <c r="B96" s="31" t="s">
        <v>242</v>
      </c>
      <c r="C96" s="32">
        <f>[7]С4!F16</f>
        <v>1652.5</v>
      </c>
    </row>
    <row r="97" spans="1:3" ht="30">
      <c r="A97" s="59" t="s">
        <v>152</v>
      </c>
      <c r="B97" s="58" t="s">
        <v>243</v>
      </c>
      <c r="C97" s="32">
        <f>[7]С4!F17</f>
        <v>73547</v>
      </c>
    </row>
    <row r="98" spans="1:3" ht="17.25">
      <c r="A98" s="59" t="s">
        <v>154</v>
      </c>
      <c r="B98" s="58" t="s">
        <v>155</v>
      </c>
      <c r="C98" s="40">
        <f>[7]С4!F18</f>
        <v>0.02</v>
      </c>
    </row>
    <row r="99" spans="1:3" ht="30">
      <c r="A99" s="59" t="s">
        <v>156</v>
      </c>
      <c r="B99" s="58" t="s">
        <v>157</v>
      </c>
      <c r="C99" s="32">
        <f>[7]С4!F19</f>
        <v>12104</v>
      </c>
    </row>
    <row r="100" spans="1:3" ht="31.5">
      <c r="A100" s="59" t="s">
        <v>158</v>
      </c>
      <c r="B100" s="58" t="s">
        <v>159</v>
      </c>
      <c r="C100" s="40">
        <f>[7]С4!F20</f>
        <v>1.4999999999999999E-2</v>
      </c>
    </row>
    <row r="101" spans="1:3" ht="30">
      <c r="A101" s="59" t="s">
        <v>160</v>
      </c>
      <c r="B101" s="31" t="s">
        <v>244</v>
      </c>
      <c r="C101" s="32">
        <f>[7]С4!F21</f>
        <v>1933.1949342509995</v>
      </c>
    </row>
    <row r="102" spans="1:3" ht="24" customHeight="1">
      <c r="A102" s="59" t="s">
        <v>162</v>
      </c>
      <c r="B102" s="52" t="s">
        <v>163</v>
      </c>
      <c r="C102" s="33">
        <f>IF([7]С4.2!F8="да",[7]С4.2!D21,[7]С4.2!D15)</f>
        <v>0</v>
      </c>
    </row>
    <row r="103" spans="1:3" ht="68.25">
      <c r="A103" s="59" t="s">
        <v>164</v>
      </c>
      <c r="B103" s="52" t="s">
        <v>165</v>
      </c>
      <c r="C103" s="32">
        <f>[7]С4!F22</f>
        <v>3.6112641666666665</v>
      </c>
    </row>
    <row r="104" spans="1:3" ht="30">
      <c r="A104" s="59" t="s">
        <v>166</v>
      </c>
      <c r="B104" s="58" t="s">
        <v>245</v>
      </c>
      <c r="C104" s="32">
        <f>[7]С4!F23</f>
        <v>180</v>
      </c>
    </row>
    <row r="105" spans="1:3" ht="14.25">
      <c r="A105" s="59" t="s">
        <v>168</v>
      </c>
      <c r="B105" s="52" t="s">
        <v>169</v>
      </c>
      <c r="C105" s="32">
        <f>[7]С4!F24</f>
        <v>8497.1999999999989</v>
      </c>
    </row>
    <row r="106" spans="1:3" ht="14.25">
      <c r="A106" s="59" t="s">
        <v>170</v>
      </c>
      <c r="B106" s="58" t="s">
        <v>171</v>
      </c>
      <c r="C106" s="40">
        <f>[7]С4!F25</f>
        <v>0.35</v>
      </c>
    </row>
    <row r="107" spans="1:3" ht="17.25">
      <c r="A107" s="59" t="s">
        <v>172</v>
      </c>
      <c r="B107" s="31" t="s">
        <v>173</v>
      </c>
      <c r="C107" s="32">
        <f>[7]С4!F26</f>
        <v>85.988129999999998</v>
      </c>
    </row>
    <row r="108" spans="1:3" ht="25.5">
      <c r="A108" s="59" t="s">
        <v>174</v>
      </c>
      <c r="B108" s="52" t="s">
        <v>100</v>
      </c>
      <c r="C108" s="33">
        <f>[7]С4.3!E16</f>
        <v>0</v>
      </c>
    </row>
    <row r="109" spans="1:3" ht="25.5">
      <c r="A109" s="59" t="s">
        <v>175</v>
      </c>
      <c r="B109" s="52" t="s">
        <v>176</v>
      </c>
      <c r="C109" s="32">
        <f>[7]С4.3!E17</f>
        <v>20.350000000000001</v>
      </c>
    </row>
    <row r="110" spans="1:3" ht="38.25">
      <c r="A110" s="59" t="s">
        <v>177</v>
      </c>
      <c r="B110" s="52" t="s">
        <v>112</v>
      </c>
      <c r="C110" s="33">
        <f>[7]С4.3!E18</f>
        <v>0</v>
      </c>
    </row>
    <row r="111" spans="1:3">
      <c r="A111" s="59" t="s">
        <v>178</v>
      </c>
      <c r="B111" s="52" t="s">
        <v>179</v>
      </c>
      <c r="C111" s="32">
        <f>[7]С4.3!E19</f>
        <v>71.67</v>
      </c>
    </row>
    <row r="112" spans="1:3">
      <c r="A112" s="59" t="s">
        <v>180</v>
      </c>
      <c r="B112" s="58" t="s">
        <v>181</v>
      </c>
      <c r="C112" s="32">
        <f>[7]С4.3!E11</f>
        <v>1871</v>
      </c>
    </row>
    <row r="113" spans="1:3">
      <c r="A113" s="59" t="s">
        <v>182</v>
      </c>
      <c r="B113" s="58" t="s">
        <v>183</v>
      </c>
      <c r="C113" s="51">
        <f>[7]С4.3!E12</f>
        <v>1636</v>
      </c>
    </row>
    <row r="114" spans="1:3">
      <c r="A114" s="59" t="s">
        <v>184</v>
      </c>
      <c r="B114" s="58" t="s">
        <v>185</v>
      </c>
      <c r="C114" s="51">
        <f>[7]С4.3!E13</f>
        <v>204</v>
      </c>
    </row>
    <row r="115" spans="1:3" ht="30">
      <c r="A115" s="59" t="s">
        <v>186</v>
      </c>
      <c r="B115" s="31" t="s">
        <v>246</v>
      </c>
      <c r="C115" s="32">
        <f>[7]С4!F27</f>
        <v>1291.2863994686898</v>
      </c>
    </row>
    <row r="116" spans="1:3" ht="25.5">
      <c r="A116" s="59" t="s">
        <v>188</v>
      </c>
      <c r="B116" s="52" t="s">
        <v>247</v>
      </c>
      <c r="C116" s="32">
        <f>[7]С4!F28</f>
        <v>991.77142816335618</v>
      </c>
    </row>
    <row r="117" spans="1:3" ht="42.75">
      <c r="A117" s="59" t="s">
        <v>190</v>
      </c>
      <c r="B117" s="52" t="s">
        <v>191</v>
      </c>
      <c r="C117" s="32">
        <f>[7]С4!F29</f>
        <v>299.51497130533357</v>
      </c>
    </row>
    <row r="118" spans="1:3" ht="30">
      <c r="A118" s="59" t="s">
        <v>192</v>
      </c>
      <c r="B118" s="39" t="s">
        <v>193</v>
      </c>
      <c r="C118" s="32">
        <f>[7]С4!F30</f>
        <v>1468.7660439664728</v>
      </c>
    </row>
    <row r="119" spans="1:3" ht="42.75">
      <c r="A119" s="59" t="s">
        <v>248</v>
      </c>
      <c r="B119" s="89" t="s">
        <v>249</v>
      </c>
      <c r="C119" s="32">
        <f>[7]С4!F33</f>
        <v>748.64975969802072</v>
      </c>
    </row>
    <row r="120" spans="1:3" ht="30">
      <c r="A120" s="59" t="s">
        <v>250</v>
      </c>
      <c r="B120" s="121" t="s">
        <v>251</v>
      </c>
      <c r="C120" s="32">
        <f>[7]С4!F35</f>
        <v>17.040680999999999</v>
      </c>
    </row>
    <row r="121" spans="1:3" ht="14.25">
      <c r="A121" s="59" t="s">
        <v>252</v>
      </c>
      <c r="B121" s="55" t="s">
        <v>253</v>
      </c>
      <c r="C121" s="32">
        <f>[7]С4!F36</f>
        <v>14319.9</v>
      </c>
    </row>
    <row r="122" spans="1:3" ht="28.5" thickBot="1">
      <c r="A122" s="74" t="s">
        <v>254</v>
      </c>
      <c r="B122" s="122" t="s">
        <v>255</v>
      </c>
      <c r="C122" s="84">
        <f>[7]С4!F37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[7]С5!F17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[7]С2!F37</f>
        <v>20.818139999999996</v>
      </c>
    </row>
    <row r="136" spans="1:4" ht="14.25">
      <c r="A136" s="59" t="s">
        <v>214</v>
      </c>
      <c r="B136" s="128" t="s">
        <v>215</v>
      </c>
      <c r="C136" s="32">
        <f>[7]С2!F38</f>
        <v>7</v>
      </c>
    </row>
    <row r="137" spans="1:4" ht="17.25">
      <c r="A137" s="59" t="s">
        <v>216</v>
      </c>
      <c r="B137" s="128" t="s">
        <v>217</v>
      </c>
      <c r="C137" s="32">
        <f>[7]С2!F40</f>
        <v>0.97</v>
      </c>
    </row>
    <row r="138" spans="1:4" ht="15" thickBot="1">
      <c r="A138" s="74" t="s">
        <v>218</v>
      </c>
      <c r="B138" s="129" t="s">
        <v>219</v>
      </c>
      <c r="C138" s="46">
        <f>[7]С2!F42</f>
        <v>0.35</v>
      </c>
    </row>
    <row r="139" spans="1:4" s="87" customFormat="1" ht="13.5" thickBot="1">
      <c r="A139" s="47"/>
      <c r="B139" s="48"/>
      <c r="C139" s="14"/>
    </row>
    <row r="140" spans="1:4" ht="30">
      <c r="A140" s="85" t="s">
        <v>220</v>
      </c>
      <c r="B140" s="95" t="s">
        <v>258</v>
      </c>
      <c r="C140" s="130">
        <f>[7]С2!F35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[7]С2.5!$E$11</f>
        <v>-2.9000000000000026E-2</v>
      </c>
      <c r="D143" s="87"/>
    </row>
    <row r="144" spans="1:4">
      <c r="A144" s="97"/>
      <c r="B144" s="104">
        <f>B143+1</f>
        <v>2021</v>
      </c>
      <c r="C144" s="135">
        <f>[7]С2.5!$F$11</f>
        <v>0.245</v>
      </c>
      <c r="D144" s="87"/>
    </row>
    <row r="145" spans="1:4">
      <c r="A145" s="97"/>
      <c r="B145" s="104">
        <f t="shared" ref="B145:B208" si="0">B144+1</f>
        <v>2022</v>
      </c>
      <c r="C145" s="135">
        <f>[7]С2.5!$G$11</f>
        <v>0.114</v>
      </c>
      <c r="D145" s="87"/>
    </row>
    <row r="146" spans="1:4" ht="13.5" thickBot="1">
      <c r="A146" s="97"/>
      <c r="B146" s="106">
        <f t="shared" si="0"/>
        <v>2023</v>
      </c>
      <c r="C146" s="136">
        <f>[7]С2.5!$H$11</f>
        <v>2.4E-2</v>
      </c>
      <c r="D146" s="87"/>
    </row>
    <row r="147" spans="1:4">
      <c r="A147" s="97"/>
      <c r="B147" s="137">
        <f t="shared" si="0"/>
        <v>2024</v>
      </c>
      <c r="C147" s="138">
        <f>[7]С2.5!$I$11</f>
        <v>8.5999999999999993E-2</v>
      </c>
      <c r="D147" s="87"/>
    </row>
    <row r="148" spans="1:4" hidden="1">
      <c r="A148" s="97"/>
      <c r="B148" s="104">
        <f t="shared" si="0"/>
        <v>2025</v>
      </c>
      <c r="C148" s="135">
        <f>[7]С2.5!$J$11</f>
        <v>0.21215960863291</v>
      </c>
      <c r="D148" s="87"/>
    </row>
    <row r="149" spans="1:4" hidden="1">
      <c r="A149" s="97"/>
      <c r="B149" s="104">
        <f t="shared" si="0"/>
        <v>2026</v>
      </c>
      <c r="C149" s="135">
        <f>[7]С2.5!$K$11</f>
        <v>3.5813361771260002E-2</v>
      </c>
      <c r="D149" s="87"/>
    </row>
    <row r="150" spans="1:4" hidden="1">
      <c r="A150" s="97"/>
      <c r="B150" s="104">
        <f t="shared" si="0"/>
        <v>2027</v>
      </c>
      <c r="C150" s="135">
        <f>[7]С2.5!$L$11</f>
        <v>3.2682303599220003E-2</v>
      </c>
      <c r="D150" s="87"/>
    </row>
    <row r="151" spans="1:4" hidden="1">
      <c r="A151" s="97"/>
      <c r="B151" s="104">
        <f t="shared" si="0"/>
        <v>2028</v>
      </c>
      <c r="C151" s="135">
        <f>[7]С2.5!$M$11</f>
        <v>0</v>
      </c>
      <c r="D151" s="87"/>
    </row>
    <row r="152" spans="1:4" hidden="1">
      <c r="A152" s="97"/>
      <c r="B152" s="104">
        <f t="shared" si="0"/>
        <v>2029</v>
      </c>
      <c r="C152" s="135">
        <f>[7]С2.5!$N$11</f>
        <v>0</v>
      </c>
      <c r="D152" s="87"/>
    </row>
    <row r="153" spans="1:4" hidden="1">
      <c r="A153" s="97"/>
      <c r="B153" s="104">
        <f t="shared" si="0"/>
        <v>2030</v>
      </c>
      <c r="C153" s="135">
        <f>[7]С2.5!$O$11</f>
        <v>0</v>
      </c>
      <c r="D153" s="87"/>
    </row>
    <row r="154" spans="1:4" hidden="1">
      <c r="A154" s="97"/>
      <c r="B154" s="104">
        <f t="shared" si="0"/>
        <v>2031</v>
      </c>
      <c r="C154" s="135">
        <f>[7]С2.5!$P$11</f>
        <v>0</v>
      </c>
      <c r="D154" s="87"/>
    </row>
    <row r="155" spans="1:4" hidden="1">
      <c r="A155" s="87"/>
      <c r="B155" s="104">
        <f t="shared" si="0"/>
        <v>2032</v>
      </c>
      <c r="C155" s="135">
        <f>[7]С2.5!$Q$11</f>
        <v>0</v>
      </c>
      <c r="D155" s="87"/>
    </row>
    <row r="156" spans="1:4" hidden="1">
      <c r="A156" s="87"/>
      <c r="B156" s="104">
        <f t="shared" si="0"/>
        <v>2033</v>
      </c>
      <c r="C156" s="135">
        <f>[7]С2.5!$R$11</f>
        <v>0</v>
      </c>
      <c r="D156" s="87"/>
    </row>
    <row r="157" spans="1:4" hidden="1">
      <c r="B157" s="104">
        <f t="shared" si="0"/>
        <v>2034</v>
      </c>
      <c r="C157" s="135">
        <f>[7]С2.5!$S$11</f>
        <v>0</v>
      </c>
    </row>
    <row r="158" spans="1:4" hidden="1">
      <c r="B158" s="104">
        <f t="shared" si="0"/>
        <v>2035</v>
      </c>
      <c r="C158" s="135">
        <f>[7]С2.5!$T$11</f>
        <v>0</v>
      </c>
    </row>
    <row r="159" spans="1:4" hidden="1">
      <c r="B159" s="104">
        <f t="shared" si="0"/>
        <v>2036</v>
      </c>
      <c r="C159" s="135">
        <f>[7]С2.5!$U$11</f>
        <v>0</v>
      </c>
    </row>
    <row r="160" spans="1:4" hidden="1">
      <c r="B160" s="104">
        <f t="shared" si="0"/>
        <v>2037</v>
      </c>
      <c r="C160" s="135">
        <f>[7]С2.5!$V$11</f>
        <v>0</v>
      </c>
    </row>
    <row r="161" spans="2:3" hidden="1">
      <c r="B161" s="104">
        <f t="shared" si="0"/>
        <v>2038</v>
      </c>
      <c r="C161" s="135">
        <f>[7]С2.5!$W$11</f>
        <v>0</v>
      </c>
    </row>
    <row r="162" spans="2:3" hidden="1">
      <c r="B162" s="104">
        <f t="shared" si="0"/>
        <v>2039</v>
      </c>
      <c r="C162" s="135">
        <f>[7]С2.5!$X$11</f>
        <v>0</v>
      </c>
    </row>
    <row r="163" spans="2:3" hidden="1">
      <c r="B163" s="104">
        <f t="shared" si="0"/>
        <v>2040</v>
      </c>
      <c r="C163" s="135">
        <f>[7]С2.5!$Y$11</f>
        <v>0</v>
      </c>
    </row>
    <row r="164" spans="2:3" hidden="1">
      <c r="B164" s="104">
        <f t="shared" si="0"/>
        <v>2041</v>
      </c>
      <c r="C164" s="135">
        <f>[7]С2.5!$Z$11</f>
        <v>0</v>
      </c>
    </row>
    <row r="165" spans="2:3" hidden="1">
      <c r="B165" s="104">
        <f t="shared" si="0"/>
        <v>2042</v>
      </c>
      <c r="C165" s="135">
        <f>[7]С2.5!$AA$11</f>
        <v>0</v>
      </c>
    </row>
    <row r="166" spans="2:3" hidden="1">
      <c r="B166" s="104">
        <f t="shared" si="0"/>
        <v>2043</v>
      </c>
      <c r="C166" s="135">
        <f>[7]С2.5!$AB$11</f>
        <v>0</v>
      </c>
    </row>
    <row r="167" spans="2:3" hidden="1">
      <c r="B167" s="104">
        <f t="shared" si="0"/>
        <v>2044</v>
      </c>
      <c r="C167" s="135">
        <f>[7]С2.5!$AC$11</f>
        <v>0</v>
      </c>
    </row>
    <row r="168" spans="2:3" hidden="1">
      <c r="B168" s="104">
        <f t="shared" si="0"/>
        <v>2045</v>
      </c>
      <c r="C168" s="135">
        <f>[7]С2.5!$AD$11</f>
        <v>0</v>
      </c>
    </row>
    <row r="169" spans="2:3" hidden="1">
      <c r="B169" s="104">
        <f t="shared" si="0"/>
        <v>2046</v>
      </c>
      <c r="C169" s="135">
        <f>[7]С2.5!$AE$11</f>
        <v>0</v>
      </c>
    </row>
    <row r="170" spans="2:3" hidden="1">
      <c r="B170" s="104">
        <f t="shared" si="0"/>
        <v>2047</v>
      </c>
      <c r="C170" s="135">
        <f>[7]С2.5!$AF$11</f>
        <v>0</v>
      </c>
    </row>
    <row r="171" spans="2:3" hidden="1">
      <c r="B171" s="104">
        <f t="shared" si="0"/>
        <v>2048</v>
      </c>
      <c r="C171" s="135">
        <f>[7]С2.5!$AG$11</f>
        <v>0</v>
      </c>
    </row>
    <row r="172" spans="2:3" hidden="1">
      <c r="B172" s="104">
        <f t="shared" si="0"/>
        <v>2049</v>
      </c>
      <c r="C172" s="135">
        <f>[7]С2.5!$AH$11</f>
        <v>0</v>
      </c>
    </row>
    <row r="173" spans="2:3" hidden="1">
      <c r="B173" s="104">
        <f t="shared" si="0"/>
        <v>2050</v>
      </c>
      <c r="C173" s="135">
        <f>[7]С2.5!$AI$11</f>
        <v>0</v>
      </c>
    </row>
    <row r="174" spans="2:3" hidden="1">
      <c r="B174" s="104">
        <f t="shared" si="0"/>
        <v>2051</v>
      </c>
      <c r="C174" s="135">
        <f>[7]С2.5!$AJ$11</f>
        <v>0</v>
      </c>
    </row>
    <row r="175" spans="2:3" hidden="1">
      <c r="B175" s="104">
        <f t="shared" si="0"/>
        <v>2052</v>
      </c>
      <c r="C175" s="135">
        <f>[7]С2.5!$AK$11</f>
        <v>0</v>
      </c>
    </row>
    <row r="176" spans="2:3" hidden="1">
      <c r="B176" s="104">
        <f t="shared" si="0"/>
        <v>2053</v>
      </c>
      <c r="C176" s="135">
        <f>[7]С2.5!$AL$11</f>
        <v>0</v>
      </c>
    </row>
    <row r="177" spans="2:3" hidden="1">
      <c r="B177" s="104">
        <f t="shared" si="0"/>
        <v>2054</v>
      </c>
      <c r="C177" s="135">
        <f>[7]С2.5!$AM$11</f>
        <v>0</v>
      </c>
    </row>
    <row r="178" spans="2:3" hidden="1">
      <c r="B178" s="104">
        <f t="shared" si="0"/>
        <v>2055</v>
      </c>
      <c r="C178" s="135">
        <f>[7]С2.5!$AN$11</f>
        <v>0</v>
      </c>
    </row>
    <row r="179" spans="2:3" hidden="1">
      <c r="B179" s="104">
        <f t="shared" si="0"/>
        <v>2056</v>
      </c>
      <c r="C179" s="135">
        <f>[7]С2.5!$AO$11</f>
        <v>0</v>
      </c>
    </row>
    <row r="180" spans="2:3" hidden="1">
      <c r="B180" s="104">
        <f t="shared" si="0"/>
        <v>2057</v>
      </c>
      <c r="C180" s="135">
        <f>[7]С2.5!$AP$11</f>
        <v>0</v>
      </c>
    </row>
    <row r="181" spans="2:3" hidden="1">
      <c r="B181" s="104">
        <f t="shared" si="0"/>
        <v>2058</v>
      </c>
      <c r="C181" s="135">
        <f>[7]С2.5!$AQ$11</f>
        <v>0</v>
      </c>
    </row>
    <row r="182" spans="2:3" hidden="1">
      <c r="B182" s="104">
        <f t="shared" si="0"/>
        <v>2059</v>
      </c>
      <c r="C182" s="135">
        <f>[7]С2.5!$AR$11</f>
        <v>0</v>
      </c>
    </row>
    <row r="183" spans="2:3" hidden="1">
      <c r="B183" s="104">
        <f t="shared" si="0"/>
        <v>2060</v>
      </c>
      <c r="C183" s="135">
        <f>[7]С2.5!$AS$11</f>
        <v>0</v>
      </c>
    </row>
    <row r="184" spans="2:3" hidden="1">
      <c r="B184" s="104">
        <f t="shared" si="0"/>
        <v>2061</v>
      </c>
      <c r="C184" s="135">
        <f>[7]С2.5!$AT$11</f>
        <v>0</v>
      </c>
    </row>
    <row r="185" spans="2:3" hidden="1">
      <c r="B185" s="104">
        <f t="shared" si="0"/>
        <v>2062</v>
      </c>
      <c r="C185" s="135">
        <f>[7]С2.5!$AU$11</f>
        <v>0</v>
      </c>
    </row>
    <row r="186" spans="2:3" hidden="1">
      <c r="B186" s="104">
        <f t="shared" si="0"/>
        <v>2063</v>
      </c>
      <c r="C186" s="135">
        <f>[7]С2.5!$AV$11</f>
        <v>0</v>
      </c>
    </row>
    <row r="187" spans="2:3" hidden="1">
      <c r="B187" s="104">
        <f t="shared" si="0"/>
        <v>2064</v>
      </c>
      <c r="C187" s="135">
        <f>[7]С2.5!$AW$11</f>
        <v>0</v>
      </c>
    </row>
    <row r="188" spans="2:3" hidden="1">
      <c r="B188" s="104">
        <f t="shared" si="0"/>
        <v>2065</v>
      </c>
      <c r="C188" s="135">
        <f>[7]С2.5!$AX$11</f>
        <v>0</v>
      </c>
    </row>
    <row r="189" spans="2:3" hidden="1">
      <c r="B189" s="104">
        <f t="shared" si="0"/>
        <v>2066</v>
      </c>
      <c r="C189" s="135">
        <f>[7]С2.5!$AY$11</f>
        <v>0</v>
      </c>
    </row>
    <row r="190" spans="2:3" hidden="1">
      <c r="B190" s="104">
        <f t="shared" si="0"/>
        <v>2067</v>
      </c>
      <c r="C190" s="135">
        <f>[7]С2.5!$AZ$11</f>
        <v>0</v>
      </c>
    </row>
    <row r="191" spans="2:3" hidden="1">
      <c r="B191" s="104">
        <f t="shared" si="0"/>
        <v>2068</v>
      </c>
      <c r="C191" s="135">
        <f>[7]С2.5!$BA$11</f>
        <v>0</v>
      </c>
    </row>
    <row r="192" spans="2:3" hidden="1">
      <c r="B192" s="104">
        <f t="shared" si="0"/>
        <v>2069</v>
      </c>
      <c r="C192" s="135">
        <f>[7]С2.5!$BB$11</f>
        <v>0</v>
      </c>
    </row>
    <row r="193" spans="2:3" hidden="1">
      <c r="B193" s="104">
        <f t="shared" si="0"/>
        <v>2070</v>
      </c>
      <c r="C193" s="135">
        <f>[7]С2.5!$BC$11</f>
        <v>0</v>
      </c>
    </row>
    <row r="194" spans="2:3" hidden="1">
      <c r="B194" s="104">
        <f t="shared" si="0"/>
        <v>2071</v>
      </c>
      <c r="C194" s="135">
        <f>[7]С2.5!$BD$11</f>
        <v>0</v>
      </c>
    </row>
    <row r="195" spans="2:3" hidden="1">
      <c r="B195" s="104">
        <f t="shared" si="0"/>
        <v>2072</v>
      </c>
      <c r="C195" s="135">
        <f>[7]С2.5!$BE$11</f>
        <v>0</v>
      </c>
    </row>
    <row r="196" spans="2:3" hidden="1">
      <c r="B196" s="104">
        <f t="shared" si="0"/>
        <v>2073</v>
      </c>
      <c r="C196" s="135">
        <f>[7]С2.5!$BF$11</f>
        <v>0</v>
      </c>
    </row>
    <row r="197" spans="2:3" hidden="1">
      <c r="B197" s="104">
        <f t="shared" si="0"/>
        <v>2074</v>
      </c>
      <c r="C197" s="135">
        <f>[7]С2.5!$BG$11</f>
        <v>0</v>
      </c>
    </row>
    <row r="198" spans="2:3" hidden="1">
      <c r="B198" s="104">
        <f t="shared" si="0"/>
        <v>2075</v>
      </c>
      <c r="C198" s="135">
        <f>[7]С2.5!$BH$11</f>
        <v>0</v>
      </c>
    </row>
    <row r="199" spans="2:3" hidden="1">
      <c r="B199" s="104">
        <f t="shared" si="0"/>
        <v>2076</v>
      </c>
      <c r="C199" s="135">
        <f>[7]С2.5!$BI$11</f>
        <v>0</v>
      </c>
    </row>
    <row r="200" spans="2:3" hidden="1">
      <c r="B200" s="104">
        <f t="shared" si="0"/>
        <v>2077</v>
      </c>
      <c r="C200" s="135">
        <f>[7]С2.5!$BJ$11</f>
        <v>0</v>
      </c>
    </row>
    <row r="201" spans="2:3" hidden="1">
      <c r="B201" s="104">
        <f t="shared" si="0"/>
        <v>2078</v>
      </c>
      <c r="C201" s="135">
        <f>[7]С2.5!$BK$11</f>
        <v>0</v>
      </c>
    </row>
    <row r="202" spans="2:3" hidden="1">
      <c r="B202" s="104">
        <f t="shared" si="0"/>
        <v>2079</v>
      </c>
      <c r="C202" s="135">
        <f>[7]С2.5!$BL$11</f>
        <v>0</v>
      </c>
    </row>
    <row r="203" spans="2:3" hidden="1">
      <c r="B203" s="104">
        <f t="shared" si="0"/>
        <v>2080</v>
      </c>
      <c r="C203" s="135">
        <f>[7]С2.5!$BM$11</f>
        <v>0</v>
      </c>
    </row>
    <row r="204" spans="2:3" hidden="1">
      <c r="B204" s="104">
        <f t="shared" si="0"/>
        <v>2081</v>
      </c>
      <c r="C204" s="135">
        <f>[7]С2.5!$BN$11</f>
        <v>0</v>
      </c>
    </row>
    <row r="205" spans="2:3" hidden="1">
      <c r="B205" s="104">
        <f t="shared" si="0"/>
        <v>2082</v>
      </c>
      <c r="C205" s="135">
        <f>[7]С2.5!$BO$11</f>
        <v>0</v>
      </c>
    </row>
    <row r="206" spans="2:3" hidden="1">
      <c r="B206" s="104">
        <f t="shared" si="0"/>
        <v>2083</v>
      </c>
      <c r="C206" s="135">
        <f>[7]С2.5!$BP$11</f>
        <v>0</v>
      </c>
    </row>
    <row r="207" spans="2:3" hidden="1">
      <c r="B207" s="104">
        <f t="shared" si="0"/>
        <v>2084</v>
      </c>
      <c r="C207" s="135">
        <f>[7]С2.5!$BQ$11</f>
        <v>0</v>
      </c>
    </row>
    <row r="208" spans="2:3" hidden="1">
      <c r="B208" s="104">
        <f t="shared" si="0"/>
        <v>2085</v>
      </c>
      <c r="C208" s="135">
        <f>[7]С2.5!$BR$11</f>
        <v>0</v>
      </c>
    </row>
    <row r="209" spans="2:3" hidden="1">
      <c r="B209" s="104">
        <f t="shared" ref="B209:B223" si="1">B208+1</f>
        <v>2086</v>
      </c>
      <c r="C209" s="135">
        <f>[7]С2.5!$BS$11</f>
        <v>0</v>
      </c>
    </row>
    <row r="210" spans="2:3" hidden="1">
      <c r="B210" s="104">
        <f t="shared" si="1"/>
        <v>2087</v>
      </c>
      <c r="C210" s="135">
        <f>[7]С2.5!$BT$11</f>
        <v>0</v>
      </c>
    </row>
    <row r="211" spans="2:3" hidden="1">
      <c r="B211" s="104">
        <f t="shared" si="1"/>
        <v>2088</v>
      </c>
      <c r="C211" s="135">
        <f>[7]С2.5!$BU$11</f>
        <v>0</v>
      </c>
    </row>
    <row r="212" spans="2:3" hidden="1">
      <c r="B212" s="104">
        <f t="shared" si="1"/>
        <v>2089</v>
      </c>
      <c r="C212" s="135">
        <f>[7]С2.5!$BV$11</f>
        <v>0</v>
      </c>
    </row>
    <row r="213" spans="2:3" hidden="1">
      <c r="B213" s="104">
        <f t="shared" si="1"/>
        <v>2090</v>
      </c>
      <c r="C213" s="135">
        <f>[7]С2.5!$BW$11</f>
        <v>0</v>
      </c>
    </row>
    <row r="214" spans="2:3" hidden="1">
      <c r="B214" s="104">
        <f t="shared" si="1"/>
        <v>2091</v>
      </c>
      <c r="C214" s="135">
        <f>[7]С2.5!$BX$11</f>
        <v>0</v>
      </c>
    </row>
    <row r="215" spans="2:3" hidden="1">
      <c r="B215" s="104">
        <f t="shared" si="1"/>
        <v>2092</v>
      </c>
      <c r="C215" s="135">
        <f>[7]С2.5!$BY$11</f>
        <v>0</v>
      </c>
    </row>
    <row r="216" spans="2:3" hidden="1">
      <c r="B216" s="104">
        <f t="shared" si="1"/>
        <v>2093</v>
      </c>
      <c r="C216" s="135">
        <f>[7]С2.5!$BZ$11</f>
        <v>0</v>
      </c>
    </row>
    <row r="217" spans="2:3" hidden="1">
      <c r="B217" s="104">
        <f t="shared" si="1"/>
        <v>2094</v>
      </c>
      <c r="C217" s="135">
        <f>[7]С2.5!$CA$11</f>
        <v>0</v>
      </c>
    </row>
    <row r="218" spans="2:3" hidden="1">
      <c r="B218" s="104">
        <f t="shared" si="1"/>
        <v>2095</v>
      </c>
      <c r="C218" s="135">
        <f>[7]С2.5!$CB$11</f>
        <v>0</v>
      </c>
    </row>
    <row r="219" spans="2:3" hidden="1">
      <c r="B219" s="104">
        <f t="shared" si="1"/>
        <v>2096</v>
      </c>
      <c r="C219" s="135">
        <f>[7]С2.5!$CC$11</f>
        <v>0</v>
      </c>
    </row>
    <row r="220" spans="2:3" hidden="1">
      <c r="B220" s="104">
        <f t="shared" si="1"/>
        <v>2097</v>
      </c>
      <c r="C220" s="135">
        <f>[7]С2.5!$CD$11</f>
        <v>0</v>
      </c>
    </row>
    <row r="221" spans="2:3" hidden="1">
      <c r="B221" s="104">
        <f t="shared" si="1"/>
        <v>2098</v>
      </c>
      <c r="C221" s="135">
        <f>[7]С2.5!$CE$11</f>
        <v>0</v>
      </c>
    </row>
    <row r="222" spans="2:3" hidden="1">
      <c r="B222" s="104">
        <f t="shared" si="1"/>
        <v>2099</v>
      </c>
      <c r="C222" s="135">
        <f>[7]С2.5!$CF$11</f>
        <v>0</v>
      </c>
    </row>
    <row r="223" spans="2:3" ht="13.5" hidden="1" thickBot="1">
      <c r="B223" s="106">
        <f t="shared" si="1"/>
        <v>2100</v>
      </c>
      <c r="C223" s="136">
        <f>[7]С2.5!$CG$11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2770" r:id="rId3" name="Button 2">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[8]И1!D13</f>
        <v>Субъект Российской Федерации</v>
      </c>
      <c r="C4" s="9" t="str">
        <f>[8]И1!E13</f>
        <v>Новосибирская область</v>
      </c>
    </row>
    <row r="5" spans="1:3" ht="46.9" customHeight="1">
      <c r="A5" s="7"/>
      <c r="B5" s="8" t="str">
        <f>[8]И1!D14</f>
        <v>Тип муниципального образования (выберите из списка)</v>
      </c>
      <c r="C5" s="9" t="str">
        <f>[8]И1!E14</f>
        <v>село Ача, Болотнинский муниципальный район</v>
      </c>
    </row>
    <row r="6" spans="1:3">
      <c r="A6" s="7"/>
      <c r="B6" s="8" t="str">
        <f>IF([8]И1!E15="","",[8]И1!D15)</f>
        <v/>
      </c>
      <c r="C6" s="9" t="str">
        <f>IF([8]И1!E15="","",[8]И1!E15)</f>
        <v/>
      </c>
    </row>
    <row r="7" spans="1:3">
      <c r="A7" s="7"/>
      <c r="B7" s="8" t="str">
        <f>[8]И1!D16</f>
        <v>Код ОКТМО</v>
      </c>
      <c r="C7" s="10" t="str">
        <f>[8]И1!E16</f>
        <v>50606402101</v>
      </c>
    </row>
    <row r="8" spans="1:3">
      <c r="A8" s="7"/>
      <c r="B8" s="11" t="str">
        <f>[8]И1!D17</f>
        <v>Система теплоснабжения</v>
      </c>
      <c r="C8" s="12">
        <f>[8]И1!E17</f>
        <v>0</v>
      </c>
    </row>
    <row r="9" spans="1:3">
      <c r="A9" s="7"/>
      <c r="B9" s="8" t="str">
        <f>[8]И1!D8</f>
        <v>Период регулирования (i)-й</v>
      </c>
      <c r="C9" s="13">
        <f>[8]И1!E8</f>
        <v>2024</v>
      </c>
    </row>
    <row r="10" spans="1:3">
      <c r="A10" s="7"/>
      <c r="B10" s="8" t="str">
        <f>[8]И1!D9</f>
        <v>Период регулирования (i-1)-й</v>
      </c>
      <c r="C10" s="13">
        <f>[8]И1!E9</f>
        <v>2023</v>
      </c>
    </row>
    <row r="11" spans="1:3">
      <c r="A11" s="7"/>
      <c r="B11" s="8" t="str">
        <f>[8]И1!D10</f>
        <v>Период регулирования (i-2)-й</v>
      </c>
      <c r="C11" s="13">
        <f>[8]И1!E10</f>
        <v>2022</v>
      </c>
    </row>
    <row r="12" spans="1:3">
      <c r="A12" s="7"/>
      <c r="B12" s="8" t="str">
        <f>[8]И1!D11</f>
        <v>Базовый год (б)</v>
      </c>
      <c r="C12" s="13">
        <f>[8]И1!E11</f>
        <v>2019</v>
      </c>
    </row>
    <row r="13" spans="1:3" ht="38.25">
      <c r="A13" s="7"/>
      <c r="B13" s="8" t="str">
        <f>[8]И1!D18</f>
        <v>Вид топлива, использование которого преобладает в системе теплоснабжения</v>
      </c>
      <c r="C13" s="14" t="str">
        <f>[8]С1.1!E13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3655.2237043010368</v>
      </c>
    </row>
    <row r="18" spans="1:3" ht="42.75">
      <c r="A18" s="21" t="s">
        <v>8</v>
      </c>
      <c r="B18" s="24" t="s">
        <v>9</v>
      </c>
      <c r="C18" s="25">
        <f>[8]С1!F12</f>
        <v>676.54810514264727</v>
      </c>
    </row>
    <row r="19" spans="1:3" ht="42.75">
      <c r="A19" s="21" t="s">
        <v>10</v>
      </c>
      <c r="B19" s="24" t="s">
        <v>11</v>
      </c>
      <c r="C19" s="25">
        <f>[8]С2!F12</f>
        <v>1993.3494362887216</v>
      </c>
    </row>
    <row r="20" spans="1:3" ht="30">
      <c r="A20" s="21" t="s">
        <v>12</v>
      </c>
      <c r="B20" s="24" t="s">
        <v>13</v>
      </c>
      <c r="C20" s="25">
        <f>[8]С3!F12</f>
        <v>473.85859951490778</v>
      </c>
    </row>
    <row r="21" spans="1:3" ht="42.75">
      <c r="A21" s="21" t="s">
        <v>14</v>
      </c>
      <c r="B21" s="24" t="s">
        <v>226</v>
      </c>
      <c r="C21" s="25">
        <f>[8]С4!F12</f>
        <v>439.79651032924949</v>
      </c>
    </row>
    <row r="22" spans="1:3" ht="30">
      <c r="A22" s="21" t="s">
        <v>16</v>
      </c>
      <c r="B22" s="24" t="s">
        <v>227</v>
      </c>
      <c r="C22" s="25">
        <f>[8]С5!F12</f>
        <v>71.671053025510531</v>
      </c>
    </row>
    <row r="23" spans="1:3" ht="43.5" thickBot="1">
      <c r="A23" s="26" t="s">
        <v>18</v>
      </c>
      <c r="B23" s="140" t="s">
        <v>228</v>
      </c>
      <c r="C23" s="27" t="str">
        <f>[8]С6!F12</f>
        <v>-</v>
      </c>
    </row>
    <row r="24" spans="1:3" ht="13.5" thickBot="1">
      <c r="A24" s="1"/>
    </row>
    <row r="25" spans="1:3">
      <c r="A25" s="15" t="s">
        <v>4</v>
      </c>
      <c r="B25" s="28" t="s">
        <v>5</v>
      </c>
      <c r="C25" s="16" t="s">
        <v>6</v>
      </c>
    </row>
    <row r="26" spans="1:3">
      <c r="A26" s="18">
        <v>1</v>
      </c>
      <c r="B26" s="29">
        <v>2</v>
      </c>
      <c r="C26" s="30">
        <v>3</v>
      </c>
    </row>
    <row r="27" spans="1:3" ht="30" customHeight="1">
      <c r="A27" s="21">
        <v>1</v>
      </c>
      <c r="B27" s="144" t="s">
        <v>20</v>
      </c>
      <c r="C27" s="144"/>
    </row>
    <row r="28" spans="1:3">
      <c r="A28" s="21" t="s">
        <v>8</v>
      </c>
      <c r="B28" s="31" t="s">
        <v>229</v>
      </c>
      <c r="C28" s="32">
        <f>[8]С1.1!E16</f>
        <v>5100</v>
      </c>
    </row>
    <row r="29" spans="1:3" ht="42.75">
      <c r="A29" s="21" t="s">
        <v>10</v>
      </c>
      <c r="B29" s="31" t="s">
        <v>230</v>
      </c>
      <c r="C29" s="32">
        <f>[8]С1.1!E27</f>
        <v>3039.76</v>
      </c>
    </row>
    <row r="30" spans="1:3" ht="17.25">
      <c r="A30" s="21" t="s">
        <v>12</v>
      </c>
      <c r="B30" s="31" t="s">
        <v>29</v>
      </c>
      <c r="C30" s="34">
        <f>[8]С1.1!E19</f>
        <v>-0.19900000000000001</v>
      </c>
    </row>
    <row r="31" spans="1:3" ht="17.25">
      <c r="A31" s="21" t="s">
        <v>14</v>
      </c>
      <c r="B31" s="31" t="s">
        <v>30</v>
      </c>
      <c r="C31" s="34">
        <f>[8]С1.1!E20</f>
        <v>5.7000000000000002E-2</v>
      </c>
    </row>
    <row r="32" spans="1:3" ht="30">
      <c r="A32" s="21" t="s">
        <v>16</v>
      </c>
      <c r="B32" s="35" t="s">
        <v>231</v>
      </c>
      <c r="C32" s="117">
        <f>[8]С1!F13</f>
        <v>176.4</v>
      </c>
    </row>
    <row r="33" spans="1:3">
      <c r="A33" s="21" t="s">
        <v>18</v>
      </c>
      <c r="B33" s="35" t="s">
        <v>32</v>
      </c>
      <c r="C33" s="37">
        <f>[8]С1!F16</f>
        <v>7000</v>
      </c>
    </row>
    <row r="34" spans="1:3" ht="14.25">
      <c r="A34" s="21" t="s">
        <v>33</v>
      </c>
      <c r="B34" s="39" t="s">
        <v>232</v>
      </c>
      <c r="C34" s="40">
        <f>[8]С1!F17</f>
        <v>0.72857142857142854</v>
      </c>
    </row>
    <row r="35" spans="1:3" ht="15.75">
      <c r="A35" s="118" t="s">
        <v>35</v>
      </c>
      <c r="B35" s="42" t="s">
        <v>36</v>
      </c>
      <c r="C35" s="40">
        <f>[8]С1!F20</f>
        <v>21.588411179999994</v>
      </c>
    </row>
    <row r="36" spans="1:3" ht="15.75">
      <c r="A36" s="118" t="s">
        <v>37</v>
      </c>
      <c r="B36" s="43" t="s">
        <v>38</v>
      </c>
      <c r="C36" s="40">
        <f>[8]С1!F21</f>
        <v>20.818139999999996</v>
      </c>
    </row>
    <row r="37" spans="1:3" ht="14.25">
      <c r="A37" s="118" t="s">
        <v>39</v>
      </c>
      <c r="B37" s="44" t="s">
        <v>40</v>
      </c>
      <c r="C37" s="40">
        <f>[8]С1!F22</f>
        <v>1.0369999999999999</v>
      </c>
    </row>
    <row r="38" spans="1:3" ht="53.25" thickBot="1">
      <c r="A38" s="26" t="s">
        <v>41</v>
      </c>
      <c r="B38" s="45" t="s">
        <v>42</v>
      </c>
      <c r="C38" s="46">
        <f>[8]С1!F23</f>
        <v>1.0469999999999999</v>
      </c>
    </row>
    <row r="39" spans="1:3" ht="13.5" thickBot="1">
      <c r="A39" s="47"/>
      <c r="B39" s="119"/>
      <c r="C39" s="120"/>
    </row>
    <row r="40" spans="1:3" ht="30" customHeight="1">
      <c r="A40" s="49" t="s">
        <v>43</v>
      </c>
      <c r="B40" s="145" t="s">
        <v>44</v>
      </c>
      <c r="C40" s="145"/>
    </row>
    <row r="41" spans="1:3" ht="25.5">
      <c r="A41" s="21" t="s">
        <v>45</v>
      </c>
      <c r="B41" s="35" t="s">
        <v>46</v>
      </c>
      <c r="C41" s="50" t="str">
        <f>[8]С2.1!E12</f>
        <v>V</v>
      </c>
    </row>
    <row r="42" spans="1:3" ht="25.5">
      <c r="A42" s="21" t="s">
        <v>47</v>
      </c>
      <c r="B42" s="31" t="s">
        <v>48</v>
      </c>
      <c r="C42" s="50" t="str">
        <f>[8]С2.1!E13</f>
        <v>6 и менее баллов</v>
      </c>
    </row>
    <row r="43" spans="1:3" ht="25.5">
      <c r="A43" s="21" t="s">
        <v>49</v>
      </c>
      <c r="B43" s="31" t="s">
        <v>233</v>
      </c>
      <c r="C43" s="50" t="str">
        <f>[8]С2.1!E14</f>
        <v>от 200 до 500</v>
      </c>
    </row>
    <row r="44" spans="1:3" ht="25.5">
      <c r="A44" s="21" t="s">
        <v>51</v>
      </c>
      <c r="B44" s="31" t="s">
        <v>234</v>
      </c>
      <c r="C44" s="51" t="str">
        <f>[8]С2.1!E15</f>
        <v>нет</v>
      </c>
    </row>
    <row r="45" spans="1:3" ht="30">
      <c r="A45" s="21" t="s">
        <v>53</v>
      </c>
      <c r="B45" s="31" t="s">
        <v>54</v>
      </c>
      <c r="C45" s="32">
        <f>[8]С2!F18</f>
        <v>35106.652004551666</v>
      </c>
    </row>
    <row r="46" spans="1:3" ht="30">
      <c r="A46" s="21" t="s">
        <v>55</v>
      </c>
      <c r="B46" s="52" t="s">
        <v>56</v>
      </c>
      <c r="C46" s="32">
        <f>IF([8]С2!F19&gt;0,[8]С2!F19,[8]С2!F20)</f>
        <v>23441.524932855718</v>
      </c>
    </row>
    <row r="47" spans="1:3" ht="25.5">
      <c r="A47" s="21" t="s">
        <v>57</v>
      </c>
      <c r="B47" s="53" t="s">
        <v>58</v>
      </c>
      <c r="C47" s="32">
        <f>[8]С2.1!E19</f>
        <v>-38</v>
      </c>
    </row>
    <row r="48" spans="1:3" ht="25.5">
      <c r="A48" s="21" t="s">
        <v>59</v>
      </c>
      <c r="B48" s="53" t="s">
        <v>60</v>
      </c>
      <c r="C48" s="32" t="str">
        <f>[8]С2.1!E22</f>
        <v>нет</v>
      </c>
    </row>
    <row r="49" spans="1:3" ht="38.25">
      <c r="A49" s="21" t="s">
        <v>61</v>
      </c>
      <c r="B49" s="54" t="s">
        <v>62</v>
      </c>
      <c r="C49" s="32">
        <f>[8]С2.2!E10</f>
        <v>1287</v>
      </c>
    </row>
    <row r="50" spans="1:3" ht="25.5">
      <c r="A50" s="21" t="s">
        <v>63</v>
      </c>
      <c r="B50" s="55" t="s">
        <v>64</v>
      </c>
      <c r="C50" s="32">
        <f>[8]С2.2!E12</f>
        <v>5.97</v>
      </c>
    </row>
    <row r="51" spans="1:3" ht="52.5">
      <c r="A51" s="21" t="s">
        <v>65</v>
      </c>
      <c r="B51" s="56" t="s">
        <v>66</v>
      </c>
      <c r="C51" s="32">
        <f>[8]С2.2!E13</f>
        <v>1</v>
      </c>
    </row>
    <row r="52" spans="1:3" ht="27.75">
      <c r="A52" s="21" t="s">
        <v>67</v>
      </c>
      <c r="B52" s="55" t="s">
        <v>68</v>
      </c>
      <c r="C52" s="32">
        <f>[8]С2.2!E14</f>
        <v>12104</v>
      </c>
    </row>
    <row r="53" spans="1:3" ht="25.5">
      <c r="A53" s="21" t="s">
        <v>69</v>
      </c>
      <c r="B53" s="56" t="s">
        <v>70</v>
      </c>
      <c r="C53" s="34">
        <f>[8]С2.2!E15</f>
        <v>4.8000000000000001E-2</v>
      </c>
    </row>
    <row r="54" spans="1:3">
      <c r="A54" s="21" t="s">
        <v>71</v>
      </c>
      <c r="B54" s="56" t="s">
        <v>72</v>
      </c>
      <c r="C54" s="32">
        <f>[8]С2.2!E16</f>
        <v>1</v>
      </c>
    </row>
    <row r="55" spans="1:3" ht="15.75">
      <c r="A55" s="21" t="s">
        <v>73</v>
      </c>
      <c r="B55" s="58" t="s">
        <v>74</v>
      </c>
      <c r="C55" s="32">
        <f>[8]С2!F21</f>
        <v>1</v>
      </c>
    </row>
    <row r="56" spans="1:3" ht="30">
      <c r="A56" s="59" t="s">
        <v>75</v>
      </c>
      <c r="B56" s="31" t="s">
        <v>235</v>
      </c>
      <c r="C56" s="32">
        <f>[8]С2!F13</f>
        <v>183796.83936385796</v>
      </c>
    </row>
    <row r="57" spans="1:3" ht="30">
      <c r="A57" s="59" t="s">
        <v>77</v>
      </c>
      <c r="B57" s="58" t="s">
        <v>236</v>
      </c>
      <c r="C57" s="32">
        <f>[8]С2!F14</f>
        <v>113455</v>
      </c>
    </row>
    <row r="58" spans="1:3" ht="15.75">
      <c r="A58" s="59" t="s">
        <v>79</v>
      </c>
      <c r="B58" s="60" t="s">
        <v>80</v>
      </c>
      <c r="C58" s="40">
        <f>[8]С2!F15</f>
        <v>1.071</v>
      </c>
    </row>
    <row r="59" spans="1:3" ht="15.75">
      <c r="A59" s="59" t="s">
        <v>81</v>
      </c>
      <c r="B59" s="60" t="s">
        <v>82</v>
      </c>
      <c r="C59" s="40">
        <f>[8]С2!F16</f>
        <v>1</v>
      </c>
    </row>
    <row r="60" spans="1:3" ht="17.25">
      <c r="A60" s="59" t="s">
        <v>83</v>
      </c>
      <c r="B60" s="58" t="s">
        <v>84</v>
      </c>
      <c r="C60" s="32">
        <f>[8]С2!F17</f>
        <v>1.01</v>
      </c>
    </row>
    <row r="61" spans="1:3" s="65" customFormat="1" ht="14.25">
      <c r="A61" s="59" t="s">
        <v>85</v>
      </c>
      <c r="B61" s="63" t="s">
        <v>86</v>
      </c>
      <c r="C61" s="64">
        <f>[8]С2!F33</f>
        <v>10</v>
      </c>
    </row>
    <row r="62" spans="1:3" ht="30">
      <c r="A62" s="59" t="s">
        <v>87</v>
      </c>
      <c r="B62" s="66" t="s">
        <v>88</v>
      </c>
      <c r="C62" s="32">
        <f>[8]С2!F26</f>
        <v>1867.194948000021</v>
      </c>
    </row>
    <row r="63" spans="1:3" ht="17.25">
      <c r="A63" s="59" t="s">
        <v>89</v>
      </c>
      <c r="B63" s="52" t="s">
        <v>237</v>
      </c>
      <c r="C63" s="32">
        <f>[8]С2!F27</f>
        <v>0.29684983999999998</v>
      </c>
    </row>
    <row r="64" spans="1:3" ht="17.25">
      <c r="A64" s="59" t="s">
        <v>91</v>
      </c>
      <c r="B64" s="58" t="s">
        <v>238</v>
      </c>
      <c r="C64" s="64">
        <f>[8]С2!F28</f>
        <v>4200</v>
      </c>
    </row>
    <row r="65" spans="1:3" ht="42.75">
      <c r="A65" s="59" t="s">
        <v>93</v>
      </c>
      <c r="B65" s="31" t="s">
        <v>239</v>
      </c>
      <c r="C65" s="32">
        <f>[8]С2!F22</f>
        <v>38698.422798410109</v>
      </c>
    </row>
    <row r="66" spans="1:3" ht="30">
      <c r="A66" s="59" t="s">
        <v>95</v>
      </c>
      <c r="B66" s="60" t="s">
        <v>240</v>
      </c>
      <c r="C66" s="32">
        <f>[8]С2!F23</f>
        <v>1990</v>
      </c>
    </row>
    <row r="67" spans="1:3" ht="30">
      <c r="A67" s="59" t="s">
        <v>97</v>
      </c>
      <c r="B67" s="52" t="s">
        <v>98</v>
      </c>
      <c r="C67" s="32">
        <f>[8]С2.1!E27</f>
        <v>14307.876789999998</v>
      </c>
    </row>
    <row r="68" spans="1:3" ht="38.25">
      <c r="A68" s="59" t="s">
        <v>99</v>
      </c>
      <c r="B68" s="67" t="s">
        <v>100</v>
      </c>
      <c r="C68" s="51">
        <f>[8]С2.3!E21</f>
        <v>0</v>
      </c>
    </row>
    <row r="69" spans="1:3" ht="25.5">
      <c r="A69" s="59" t="s">
        <v>101</v>
      </c>
      <c r="B69" s="68" t="s">
        <v>102</v>
      </c>
      <c r="C69" s="69">
        <f>[8]С2.3!E11</f>
        <v>9.89</v>
      </c>
    </row>
    <row r="70" spans="1:3" ht="25.5">
      <c r="A70" s="59" t="s">
        <v>103</v>
      </c>
      <c r="B70" s="68" t="s">
        <v>104</v>
      </c>
      <c r="C70" s="64">
        <f>[8]С2.3!E13</f>
        <v>300</v>
      </c>
    </row>
    <row r="71" spans="1:3" ht="25.5">
      <c r="A71" s="59" t="s">
        <v>105</v>
      </c>
      <c r="B71" s="67" t="s">
        <v>106</v>
      </c>
      <c r="C71" s="70">
        <f>IF([8]С2.3!E22&gt;0,[8]С2.3!E22,[8]С2.3!E14)</f>
        <v>61211</v>
      </c>
    </row>
    <row r="72" spans="1:3" ht="38.25">
      <c r="A72" s="59" t="s">
        <v>107</v>
      </c>
      <c r="B72" s="67" t="s">
        <v>108</v>
      </c>
      <c r="C72" s="70">
        <f>IF([8]С2.3!E23&gt;0,[8]С2.3!E23,[8]С2.3!E15)</f>
        <v>45675</v>
      </c>
    </row>
    <row r="73" spans="1:3" ht="30">
      <c r="A73" s="59" t="s">
        <v>109</v>
      </c>
      <c r="B73" s="52" t="s">
        <v>110</v>
      </c>
      <c r="C73" s="32">
        <f>[8]С2.1!E28</f>
        <v>9541.9567200000001</v>
      </c>
    </row>
    <row r="74" spans="1:3" ht="38.25">
      <c r="A74" s="59" t="s">
        <v>111</v>
      </c>
      <c r="B74" s="67" t="s">
        <v>112</v>
      </c>
      <c r="C74" s="51">
        <f>[8]С2.3!E25</f>
        <v>0</v>
      </c>
    </row>
    <row r="75" spans="1:3" ht="25.5">
      <c r="A75" s="59" t="s">
        <v>113</v>
      </c>
      <c r="B75" s="68" t="s">
        <v>114</v>
      </c>
      <c r="C75" s="69">
        <f>[8]С2.3!E12</f>
        <v>0.56000000000000005</v>
      </c>
    </row>
    <row r="76" spans="1:3" ht="25.5">
      <c r="A76" s="59" t="s">
        <v>115</v>
      </c>
      <c r="B76" s="68" t="s">
        <v>104</v>
      </c>
      <c r="C76" s="64">
        <f>[8]С2.3!E13</f>
        <v>300</v>
      </c>
    </row>
    <row r="77" spans="1:3" ht="25.5">
      <c r="A77" s="59" t="s">
        <v>116</v>
      </c>
      <c r="B77" s="71" t="s">
        <v>117</v>
      </c>
      <c r="C77" s="70">
        <f>IF([8]С2.3!E26&gt;0,[8]С2.3!E26,[8]С2.3!E16)</f>
        <v>65637</v>
      </c>
    </row>
    <row r="78" spans="1:3" ht="38.25">
      <c r="A78" s="59" t="s">
        <v>118</v>
      </c>
      <c r="B78" s="71" t="s">
        <v>119</v>
      </c>
      <c r="C78" s="70">
        <f>IF([8]С2.3!E27&gt;0,[8]С2.3!E27,[8]С2.3!E17)</f>
        <v>31684</v>
      </c>
    </row>
    <row r="79" spans="1:3" ht="17.25">
      <c r="A79" s="59" t="s">
        <v>122</v>
      </c>
      <c r="B79" s="31" t="s">
        <v>123</v>
      </c>
      <c r="C79" s="34">
        <f>[8]С2!F29</f>
        <v>9.5962865259740182E-2</v>
      </c>
    </row>
    <row r="80" spans="1:3" ht="30">
      <c r="A80" s="59" t="s">
        <v>124</v>
      </c>
      <c r="B80" s="52" t="s">
        <v>125</v>
      </c>
      <c r="C80" s="72">
        <f>[8]С2!F30</f>
        <v>8.4029304029304031E-2</v>
      </c>
    </row>
    <row r="81" spans="1:3" ht="17.25">
      <c r="A81" s="59" t="s">
        <v>126</v>
      </c>
      <c r="B81" s="73" t="s">
        <v>127</v>
      </c>
      <c r="C81" s="34">
        <f>[8]С2!F31</f>
        <v>0.13880000000000001</v>
      </c>
    </row>
    <row r="82" spans="1:3" s="65" customFormat="1" ht="18" thickBot="1">
      <c r="A82" s="74" t="s">
        <v>128</v>
      </c>
      <c r="B82" s="75" t="s">
        <v>129</v>
      </c>
      <c r="C82" s="76">
        <f>[8]С2!F32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[8]С3!F14</f>
        <v>6081.0916722812572</v>
      </c>
    </row>
    <row r="86" spans="1:3" s="65" customFormat="1" ht="42.75">
      <c r="A86" s="78" t="s">
        <v>134</v>
      </c>
      <c r="B86" s="52" t="s">
        <v>135</v>
      </c>
      <c r="C86" s="79">
        <f>[8]С3!F15</f>
        <v>0.2</v>
      </c>
    </row>
    <row r="87" spans="1:3" s="65" customFormat="1" ht="14.25">
      <c r="A87" s="78" t="s">
        <v>136</v>
      </c>
      <c r="B87" s="80" t="s">
        <v>137</v>
      </c>
      <c r="C87" s="64">
        <f>[8]С3!F18</f>
        <v>15</v>
      </c>
    </row>
    <row r="88" spans="1:3" s="65" customFormat="1" ht="17.25">
      <c r="A88" s="78" t="s">
        <v>138</v>
      </c>
      <c r="B88" s="31" t="s">
        <v>139</v>
      </c>
      <c r="C88" s="32">
        <f>[8]С3!F19</f>
        <v>3778.1614077800232</v>
      </c>
    </row>
    <row r="89" spans="1:3" s="65" customFormat="1" ht="55.5">
      <c r="A89" s="78" t="s">
        <v>140</v>
      </c>
      <c r="B89" s="52" t="s">
        <v>141</v>
      </c>
      <c r="C89" s="81">
        <f>[8]С3!F20</f>
        <v>2.1999999999999999E-2</v>
      </c>
    </row>
    <row r="90" spans="1:3" s="65" customFormat="1" ht="14.25">
      <c r="A90" s="78" t="s">
        <v>142</v>
      </c>
      <c r="B90" s="58" t="s">
        <v>86</v>
      </c>
      <c r="C90" s="64">
        <f>[8]С3!F21</f>
        <v>10</v>
      </c>
    </row>
    <row r="91" spans="1:3" s="65" customFormat="1" ht="17.25">
      <c r="A91" s="78" t="s">
        <v>143</v>
      </c>
      <c r="B91" s="31" t="s">
        <v>144</v>
      </c>
      <c r="C91" s="32">
        <f>[8]С3!F22</f>
        <v>5.6015848440000635</v>
      </c>
    </row>
    <row r="92" spans="1:3" s="65" customFormat="1" ht="55.5">
      <c r="A92" s="78" t="s">
        <v>145</v>
      </c>
      <c r="B92" s="52" t="s">
        <v>146</v>
      </c>
      <c r="C92" s="81">
        <f>[8]С3!F23</f>
        <v>3.0000000000000001E-3</v>
      </c>
    </row>
    <row r="93" spans="1:3" s="65" customFormat="1" ht="27.75" thickBot="1">
      <c r="A93" s="82" t="s">
        <v>147</v>
      </c>
      <c r="B93" s="83" t="s">
        <v>241</v>
      </c>
      <c r="C93" s="84">
        <f>[8]С3!F24</f>
        <v>1867.194948000021</v>
      </c>
    </row>
    <row r="94" spans="1:3" ht="13.5" thickBot="1">
      <c r="A94" s="47"/>
      <c r="B94" s="48"/>
      <c r="C94" s="14"/>
    </row>
    <row r="95" spans="1:3" ht="30" customHeight="1">
      <c r="A95" s="85" t="s">
        <v>148</v>
      </c>
      <c r="B95" s="145" t="s">
        <v>149</v>
      </c>
      <c r="C95" s="145"/>
    </row>
    <row r="96" spans="1:3" ht="30">
      <c r="A96" s="59" t="s">
        <v>150</v>
      </c>
      <c r="B96" s="31" t="s">
        <v>242</v>
      </c>
      <c r="C96" s="32">
        <f>[8]С4!F16</f>
        <v>1652.5</v>
      </c>
    </row>
    <row r="97" spans="1:3" ht="30">
      <c r="A97" s="59" t="s">
        <v>152</v>
      </c>
      <c r="B97" s="58" t="s">
        <v>243</v>
      </c>
      <c r="C97" s="32">
        <f>[8]С4!F17</f>
        <v>73547</v>
      </c>
    </row>
    <row r="98" spans="1:3" ht="17.25">
      <c r="A98" s="59" t="s">
        <v>154</v>
      </c>
      <c r="B98" s="58" t="s">
        <v>155</v>
      </c>
      <c r="C98" s="40">
        <f>[8]С4!F18</f>
        <v>0.02</v>
      </c>
    </row>
    <row r="99" spans="1:3" ht="30">
      <c r="A99" s="59" t="s">
        <v>156</v>
      </c>
      <c r="B99" s="58" t="s">
        <v>157</v>
      </c>
      <c r="C99" s="32">
        <f>[8]С4!F19</f>
        <v>12104</v>
      </c>
    </row>
    <row r="100" spans="1:3" ht="31.5">
      <c r="A100" s="59" t="s">
        <v>158</v>
      </c>
      <c r="B100" s="58" t="s">
        <v>159</v>
      </c>
      <c r="C100" s="40">
        <f>[8]С4!F20</f>
        <v>1.4999999999999999E-2</v>
      </c>
    </row>
    <row r="101" spans="1:3" ht="30">
      <c r="A101" s="59" t="s">
        <v>160</v>
      </c>
      <c r="B101" s="31" t="s">
        <v>244</v>
      </c>
      <c r="C101" s="32">
        <f>[8]С4!F21</f>
        <v>1933.1949342509995</v>
      </c>
    </row>
    <row r="102" spans="1:3" ht="24" customHeight="1">
      <c r="A102" s="59" t="s">
        <v>162</v>
      </c>
      <c r="B102" s="52" t="s">
        <v>163</v>
      </c>
      <c r="C102" s="33">
        <f>IF([8]С4.2!F8="да",[8]С4.2!D21,[8]С4.2!D15)</f>
        <v>0</v>
      </c>
    </row>
    <row r="103" spans="1:3" ht="68.25">
      <c r="A103" s="59" t="s">
        <v>164</v>
      </c>
      <c r="B103" s="52" t="s">
        <v>165</v>
      </c>
      <c r="C103" s="32">
        <f>[8]С4!F22</f>
        <v>3.6112641666666665</v>
      </c>
    </row>
    <row r="104" spans="1:3" ht="30">
      <c r="A104" s="59" t="s">
        <v>166</v>
      </c>
      <c r="B104" s="58" t="s">
        <v>245</v>
      </c>
      <c r="C104" s="32">
        <f>[8]С4!F23</f>
        <v>180</v>
      </c>
    </row>
    <row r="105" spans="1:3" ht="14.25">
      <c r="A105" s="59" t="s">
        <v>168</v>
      </c>
      <c r="B105" s="52" t="s">
        <v>169</v>
      </c>
      <c r="C105" s="32">
        <f>[8]С4!F24</f>
        <v>8497.1999999999989</v>
      </c>
    </row>
    <row r="106" spans="1:3" ht="14.25">
      <c r="A106" s="59" t="s">
        <v>170</v>
      </c>
      <c r="B106" s="58" t="s">
        <v>171</v>
      </c>
      <c r="C106" s="40">
        <f>[8]С4!F25</f>
        <v>0.35</v>
      </c>
    </row>
    <row r="107" spans="1:3" ht="17.25">
      <c r="A107" s="59" t="s">
        <v>172</v>
      </c>
      <c r="B107" s="31" t="s">
        <v>173</v>
      </c>
      <c r="C107" s="32">
        <f>[8]С4!F26</f>
        <v>85.988129999999998</v>
      </c>
    </row>
    <row r="108" spans="1:3" ht="25.5">
      <c r="A108" s="59" t="s">
        <v>174</v>
      </c>
      <c r="B108" s="52" t="s">
        <v>100</v>
      </c>
      <c r="C108" s="33">
        <f>[8]С4.3!E16</f>
        <v>0</v>
      </c>
    </row>
    <row r="109" spans="1:3" ht="25.5">
      <c r="A109" s="59" t="s">
        <v>175</v>
      </c>
      <c r="B109" s="52" t="s">
        <v>176</v>
      </c>
      <c r="C109" s="32">
        <f>[8]С4.3!E17</f>
        <v>20.350000000000001</v>
      </c>
    </row>
    <row r="110" spans="1:3" ht="38.25">
      <c r="A110" s="59" t="s">
        <v>177</v>
      </c>
      <c r="B110" s="52" t="s">
        <v>112</v>
      </c>
      <c r="C110" s="33">
        <f>[8]С4.3!E18</f>
        <v>0</v>
      </c>
    </row>
    <row r="111" spans="1:3">
      <c r="A111" s="59" t="s">
        <v>178</v>
      </c>
      <c r="B111" s="52" t="s">
        <v>179</v>
      </c>
      <c r="C111" s="32">
        <f>[8]С4.3!E19</f>
        <v>71.67</v>
      </c>
    </row>
    <row r="112" spans="1:3">
      <c r="A112" s="59" t="s">
        <v>180</v>
      </c>
      <c r="B112" s="58" t="s">
        <v>181</v>
      </c>
      <c r="C112" s="32">
        <f>[8]С4.3!E11</f>
        <v>1871</v>
      </c>
    </row>
    <row r="113" spans="1:3">
      <c r="A113" s="59" t="s">
        <v>182</v>
      </c>
      <c r="B113" s="58" t="s">
        <v>183</v>
      </c>
      <c r="C113" s="51">
        <f>[8]С4.3!E12</f>
        <v>1636</v>
      </c>
    </row>
    <row r="114" spans="1:3">
      <c r="A114" s="59" t="s">
        <v>184</v>
      </c>
      <c r="B114" s="58" t="s">
        <v>185</v>
      </c>
      <c r="C114" s="51">
        <f>[8]С4.3!E13</f>
        <v>204</v>
      </c>
    </row>
    <row r="115" spans="1:3" ht="30">
      <c r="A115" s="59" t="s">
        <v>186</v>
      </c>
      <c r="B115" s="31" t="s">
        <v>246</v>
      </c>
      <c r="C115" s="32">
        <f>[8]С4!F27</f>
        <v>1291.2863994686898</v>
      </c>
    </row>
    <row r="116" spans="1:3" ht="25.5">
      <c r="A116" s="59" t="s">
        <v>188</v>
      </c>
      <c r="B116" s="52" t="s">
        <v>247</v>
      </c>
      <c r="C116" s="32">
        <f>[8]С4!F28</f>
        <v>991.77142816335618</v>
      </c>
    </row>
    <row r="117" spans="1:3" ht="42.75">
      <c r="A117" s="59" t="s">
        <v>190</v>
      </c>
      <c r="B117" s="52" t="s">
        <v>191</v>
      </c>
      <c r="C117" s="32">
        <f>[8]С4!F29</f>
        <v>299.51497130533357</v>
      </c>
    </row>
    <row r="118" spans="1:3" ht="30">
      <c r="A118" s="59" t="s">
        <v>192</v>
      </c>
      <c r="B118" s="39" t="s">
        <v>193</v>
      </c>
      <c r="C118" s="32">
        <f>[8]С4!F30</f>
        <v>1723.0700871400568</v>
      </c>
    </row>
    <row r="119" spans="1:3" ht="42.75">
      <c r="A119" s="59" t="s">
        <v>248</v>
      </c>
      <c r="B119" s="89" t="s">
        <v>249</v>
      </c>
      <c r="C119" s="32">
        <f>[8]С4!F33</f>
        <v>1002.9538028716045</v>
      </c>
    </row>
    <row r="120" spans="1:3" ht="30">
      <c r="A120" s="59" t="s">
        <v>250</v>
      </c>
      <c r="B120" s="121" t="s">
        <v>251</v>
      </c>
      <c r="C120" s="32">
        <f>[8]С4!F35</f>
        <v>17.040680999999999</v>
      </c>
    </row>
    <row r="121" spans="1:3" ht="14.25">
      <c r="A121" s="59" t="s">
        <v>252</v>
      </c>
      <c r="B121" s="55" t="s">
        <v>253</v>
      </c>
      <c r="C121" s="32">
        <f>[8]С4!F36</f>
        <v>14319.9</v>
      </c>
    </row>
    <row r="122" spans="1:3" ht="28.5" thickBot="1">
      <c r="A122" s="74" t="s">
        <v>254</v>
      </c>
      <c r="B122" s="122" t="s">
        <v>255</v>
      </c>
      <c r="C122" s="84">
        <f>[8]С4!F37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[8]С5!F17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[8]С2!F37</f>
        <v>20.818139999999996</v>
      </c>
    </row>
    <row r="136" spans="1:4" ht="14.25">
      <c r="A136" s="59" t="s">
        <v>214</v>
      </c>
      <c r="B136" s="128" t="s">
        <v>215</v>
      </c>
      <c r="C136" s="32">
        <f>[8]С2!F38</f>
        <v>7</v>
      </c>
    </row>
    <row r="137" spans="1:4" ht="17.25">
      <c r="A137" s="59" t="s">
        <v>216</v>
      </c>
      <c r="B137" s="128" t="s">
        <v>217</v>
      </c>
      <c r="C137" s="32">
        <f>[8]С2!F40</f>
        <v>0.97</v>
      </c>
    </row>
    <row r="138" spans="1:4" ht="15" thickBot="1">
      <c r="A138" s="74" t="s">
        <v>218</v>
      </c>
      <c r="B138" s="129" t="s">
        <v>219</v>
      </c>
      <c r="C138" s="46">
        <f>[8]С2!F42</f>
        <v>0.35</v>
      </c>
    </row>
    <row r="139" spans="1:4" s="87" customFormat="1" ht="13.5" thickBot="1">
      <c r="A139" s="47"/>
      <c r="B139" s="48"/>
      <c r="C139" s="14"/>
    </row>
    <row r="140" spans="1:4" ht="30">
      <c r="A140" s="85" t="s">
        <v>220</v>
      </c>
      <c r="B140" s="95" t="s">
        <v>258</v>
      </c>
      <c r="C140" s="130">
        <f>[8]С2!F35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[8]С2.5!$E$11</f>
        <v>-2.9000000000000026E-2</v>
      </c>
      <c r="D143" s="87"/>
    </row>
    <row r="144" spans="1:4">
      <c r="A144" s="97"/>
      <c r="B144" s="104">
        <f>B143+1</f>
        <v>2021</v>
      </c>
      <c r="C144" s="135">
        <f>[8]С2.5!$F$11</f>
        <v>0.245</v>
      </c>
      <c r="D144" s="87"/>
    </row>
    <row r="145" spans="1:4">
      <c r="A145" s="97"/>
      <c r="B145" s="104">
        <f t="shared" ref="B145:B208" si="0">B144+1</f>
        <v>2022</v>
      </c>
      <c r="C145" s="135">
        <f>[8]С2.5!$G$11</f>
        <v>0.114</v>
      </c>
      <c r="D145" s="87"/>
    </row>
    <row r="146" spans="1:4" ht="13.5" thickBot="1">
      <c r="A146" s="97"/>
      <c r="B146" s="106">
        <f t="shared" si="0"/>
        <v>2023</v>
      </c>
      <c r="C146" s="136">
        <f>[8]С2.5!$H$11</f>
        <v>2.4E-2</v>
      </c>
      <c r="D146" s="87"/>
    </row>
    <row r="147" spans="1:4">
      <c r="A147" s="97"/>
      <c r="B147" s="137">
        <f t="shared" si="0"/>
        <v>2024</v>
      </c>
      <c r="C147" s="138">
        <f>[8]С2.5!$I$11</f>
        <v>8.5999999999999993E-2</v>
      </c>
      <c r="D147" s="87"/>
    </row>
    <row r="148" spans="1:4" hidden="1">
      <c r="A148" s="97"/>
      <c r="B148" s="104">
        <f t="shared" si="0"/>
        <v>2025</v>
      </c>
      <c r="C148" s="135">
        <f>[8]С2.5!$J$11</f>
        <v>0.21215960863291</v>
      </c>
      <c r="D148" s="87"/>
    </row>
    <row r="149" spans="1:4" hidden="1">
      <c r="A149" s="97"/>
      <c r="B149" s="104">
        <f t="shared" si="0"/>
        <v>2026</v>
      </c>
      <c r="C149" s="135">
        <f>[8]С2.5!$K$11</f>
        <v>3.5813361771260002E-2</v>
      </c>
      <c r="D149" s="87"/>
    </row>
    <row r="150" spans="1:4" hidden="1">
      <c r="A150" s="97"/>
      <c r="B150" s="104">
        <f t="shared" si="0"/>
        <v>2027</v>
      </c>
      <c r="C150" s="135">
        <f>[8]С2.5!$L$11</f>
        <v>3.2682303599220003E-2</v>
      </c>
      <c r="D150" s="87"/>
    </row>
    <row r="151" spans="1:4" hidden="1">
      <c r="A151" s="97"/>
      <c r="B151" s="104">
        <f t="shared" si="0"/>
        <v>2028</v>
      </c>
      <c r="C151" s="135">
        <f>[8]С2.5!$M$11</f>
        <v>0</v>
      </c>
      <c r="D151" s="87"/>
    </row>
    <row r="152" spans="1:4" hidden="1">
      <c r="A152" s="97"/>
      <c r="B152" s="104">
        <f t="shared" si="0"/>
        <v>2029</v>
      </c>
      <c r="C152" s="135">
        <f>[8]С2.5!$N$11</f>
        <v>0</v>
      </c>
      <c r="D152" s="87"/>
    </row>
    <row r="153" spans="1:4" hidden="1">
      <c r="A153" s="97"/>
      <c r="B153" s="104">
        <f t="shared" si="0"/>
        <v>2030</v>
      </c>
      <c r="C153" s="135">
        <f>[8]С2.5!$O$11</f>
        <v>0</v>
      </c>
      <c r="D153" s="87"/>
    </row>
    <row r="154" spans="1:4" hidden="1">
      <c r="A154" s="97"/>
      <c r="B154" s="104">
        <f t="shared" si="0"/>
        <v>2031</v>
      </c>
      <c r="C154" s="135">
        <f>[8]С2.5!$P$11</f>
        <v>0</v>
      </c>
      <c r="D154" s="87"/>
    </row>
    <row r="155" spans="1:4" hidden="1">
      <c r="A155" s="87"/>
      <c r="B155" s="104">
        <f t="shared" si="0"/>
        <v>2032</v>
      </c>
      <c r="C155" s="135">
        <f>[8]С2.5!$Q$11</f>
        <v>0</v>
      </c>
      <c r="D155" s="87"/>
    </row>
    <row r="156" spans="1:4" hidden="1">
      <c r="A156" s="87"/>
      <c r="B156" s="104">
        <f t="shared" si="0"/>
        <v>2033</v>
      </c>
      <c r="C156" s="135">
        <f>[8]С2.5!$R$11</f>
        <v>0</v>
      </c>
      <c r="D156" s="87"/>
    </row>
    <row r="157" spans="1:4" hidden="1">
      <c r="B157" s="104">
        <f t="shared" si="0"/>
        <v>2034</v>
      </c>
      <c r="C157" s="135">
        <f>[8]С2.5!$S$11</f>
        <v>0</v>
      </c>
    </row>
    <row r="158" spans="1:4" hidden="1">
      <c r="B158" s="104">
        <f t="shared" si="0"/>
        <v>2035</v>
      </c>
      <c r="C158" s="135">
        <f>[8]С2.5!$T$11</f>
        <v>0</v>
      </c>
    </row>
    <row r="159" spans="1:4" hidden="1">
      <c r="B159" s="104">
        <f t="shared" si="0"/>
        <v>2036</v>
      </c>
      <c r="C159" s="135">
        <f>[8]С2.5!$U$11</f>
        <v>0</v>
      </c>
    </row>
    <row r="160" spans="1:4" hidden="1">
      <c r="B160" s="104">
        <f t="shared" si="0"/>
        <v>2037</v>
      </c>
      <c r="C160" s="135">
        <f>[8]С2.5!$V$11</f>
        <v>0</v>
      </c>
    </row>
    <row r="161" spans="2:3" hidden="1">
      <c r="B161" s="104">
        <f t="shared" si="0"/>
        <v>2038</v>
      </c>
      <c r="C161" s="135">
        <f>[8]С2.5!$W$11</f>
        <v>0</v>
      </c>
    </row>
    <row r="162" spans="2:3" hidden="1">
      <c r="B162" s="104">
        <f t="shared" si="0"/>
        <v>2039</v>
      </c>
      <c r="C162" s="135">
        <f>[8]С2.5!$X$11</f>
        <v>0</v>
      </c>
    </row>
    <row r="163" spans="2:3" hidden="1">
      <c r="B163" s="104">
        <f t="shared" si="0"/>
        <v>2040</v>
      </c>
      <c r="C163" s="135">
        <f>[8]С2.5!$Y$11</f>
        <v>0</v>
      </c>
    </row>
    <row r="164" spans="2:3" hidden="1">
      <c r="B164" s="104">
        <f t="shared" si="0"/>
        <v>2041</v>
      </c>
      <c r="C164" s="135">
        <f>[8]С2.5!$Z$11</f>
        <v>0</v>
      </c>
    </row>
    <row r="165" spans="2:3" hidden="1">
      <c r="B165" s="104">
        <f t="shared" si="0"/>
        <v>2042</v>
      </c>
      <c r="C165" s="135">
        <f>[8]С2.5!$AA$11</f>
        <v>0</v>
      </c>
    </row>
    <row r="166" spans="2:3" hidden="1">
      <c r="B166" s="104">
        <f t="shared" si="0"/>
        <v>2043</v>
      </c>
      <c r="C166" s="135">
        <f>[8]С2.5!$AB$11</f>
        <v>0</v>
      </c>
    </row>
    <row r="167" spans="2:3" hidden="1">
      <c r="B167" s="104">
        <f t="shared" si="0"/>
        <v>2044</v>
      </c>
      <c r="C167" s="135">
        <f>[8]С2.5!$AC$11</f>
        <v>0</v>
      </c>
    </row>
    <row r="168" spans="2:3" hidden="1">
      <c r="B168" s="104">
        <f t="shared" si="0"/>
        <v>2045</v>
      </c>
      <c r="C168" s="135">
        <f>[8]С2.5!$AD$11</f>
        <v>0</v>
      </c>
    </row>
    <row r="169" spans="2:3" hidden="1">
      <c r="B169" s="104">
        <f t="shared" si="0"/>
        <v>2046</v>
      </c>
      <c r="C169" s="135">
        <f>[8]С2.5!$AE$11</f>
        <v>0</v>
      </c>
    </row>
    <row r="170" spans="2:3" hidden="1">
      <c r="B170" s="104">
        <f t="shared" si="0"/>
        <v>2047</v>
      </c>
      <c r="C170" s="135">
        <f>[8]С2.5!$AF$11</f>
        <v>0</v>
      </c>
    </row>
    <row r="171" spans="2:3" hidden="1">
      <c r="B171" s="104">
        <f t="shared" si="0"/>
        <v>2048</v>
      </c>
      <c r="C171" s="135">
        <f>[8]С2.5!$AG$11</f>
        <v>0</v>
      </c>
    </row>
    <row r="172" spans="2:3" hidden="1">
      <c r="B172" s="104">
        <f t="shared" si="0"/>
        <v>2049</v>
      </c>
      <c r="C172" s="135">
        <f>[8]С2.5!$AH$11</f>
        <v>0</v>
      </c>
    </row>
    <row r="173" spans="2:3" hidden="1">
      <c r="B173" s="104">
        <f t="shared" si="0"/>
        <v>2050</v>
      </c>
      <c r="C173" s="135">
        <f>[8]С2.5!$AI$11</f>
        <v>0</v>
      </c>
    </row>
    <row r="174" spans="2:3" hidden="1">
      <c r="B174" s="104">
        <f t="shared" si="0"/>
        <v>2051</v>
      </c>
      <c r="C174" s="135">
        <f>[8]С2.5!$AJ$11</f>
        <v>0</v>
      </c>
    </row>
    <row r="175" spans="2:3" hidden="1">
      <c r="B175" s="104">
        <f t="shared" si="0"/>
        <v>2052</v>
      </c>
      <c r="C175" s="135">
        <f>[8]С2.5!$AK$11</f>
        <v>0</v>
      </c>
    </row>
    <row r="176" spans="2:3" hidden="1">
      <c r="B176" s="104">
        <f t="shared" si="0"/>
        <v>2053</v>
      </c>
      <c r="C176" s="135">
        <f>[8]С2.5!$AL$11</f>
        <v>0</v>
      </c>
    </row>
    <row r="177" spans="2:3" hidden="1">
      <c r="B177" s="104">
        <f t="shared" si="0"/>
        <v>2054</v>
      </c>
      <c r="C177" s="135">
        <f>[8]С2.5!$AM$11</f>
        <v>0</v>
      </c>
    </row>
    <row r="178" spans="2:3" hidden="1">
      <c r="B178" s="104">
        <f t="shared" si="0"/>
        <v>2055</v>
      </c>
      <c r="C178" s="135">
        <f>[8]С2.5!$AN$11</f>
        <v>0</v>
      </c>
    </row>
    <row r="179" spans="2:3" hidden="1">
      <c r="B179" s="104">
        <f t="shared" si="0"/>
        <v>2056</v>
      </c>
      <c r="C179" s="135">
        <f>[8]С2.5!$AO$11</f>
        <v>0</v>
      </c>
    </row>
    <row r="180" spans="2:3" hidden="1">
      <c r="B180" s="104">
        <f t="shared" si="0"/>
        <v>2057</v>
      </c>
      <c r="C180" s="135">
        <f>[8]С2.5!$AP$11</f>
        <v>0</v>
      </c>
    </row>
    <row r="181" spans="2:3" hidden="1">
      <c r="B181" s="104">
        <f t="shared" si="0"/>
        <v>2058</v>
      </c>
      <c r="C181" s="135">
        <f>[8]С2.5!$AQ$11</f>
        <v>0</v>
      </c>
    </row>
    <row r="182" spans="2:3" hidden="1">
      <c r="B182" s="104">
        <f t="shared" si="0"/>
        <v>2059</v>
      </c>
      <c r="C182" s="135">
        <f>[8]С2.5!$AR$11</f>
        <v>0</v>
      </c>
    </row>
    <row r="183" spans="2:3" hidden="1">
      <c r="B183" s="104">
        <f t="shared" si="0"/>
        <v>2060</v>
      </c>
      <c r="C183" s="135">
        <f>[8]С2.5!$AS$11</f>
        <v>0</v>
      </c>
    </row>
    <row r="184" spans="2:3" hidden="1">
      <c r="B184" s="104">
        <f t="shared" si="0"/>
        <v>2061</v>
      </c>
      <c r="C184" s="135">
        <f>[8]С2.5!$AT$11</f>
        <v>0</v>
      </c>
    </row>
    <row r="185" spans="2:3" hidden="1">
      <c r="B185" s="104">
        <f t="shared" si="0"/>
        <v>2062</v>
      </c>
      <c r="C185" s="135">
        <f>[8]С2.5!$AU$11</f>
        <v>0</v>
      </c>
    </row>
    <row r="186" spans="2:3" hidden="1">
      <c r="B186" s="104">
        <f t="shared" si="0"/>
        <v>2063</v>
      </c>
      <c r="C186" s="135">
        <f>[8]С2.5!$AV$11</f>
        <v>0</v>
      </c>
    </row>
    <row r="187" spans="2:3" hidden="1">
      <c r="B187" s="104">
        <f t="shared" si="0"/>
        <v>2064</v>
      </c>
      <c r="C187" s="135">
        <f>[8]С2.5!$AW$11</f>
        <v>0</v>
      </c>
    </row>
    <row r="188" spans="2:3" hidden="1">
      <c r="B188" s="104">
        <f t="shared" si="0"/>
        <v>2065</v>
      </c>
      <c r="C188" s="135">
        <f>[8]С2.5!$AX$11</f>
        <v>0</v>
      </c>
    </row>
    <row r="189" spans="2:3" hidden="1">
      <c r="B189" s="104">
        <f t="shared" si="0"/>
        <v>2066</v>
      </c>
      <c r="C189" s="135">
        <f>[8]С2.5!$AY$11</f>
        <v>0</v>
      </c>
    </row>
    <row r="190" spans="2:3" hidden="1">
      <c r="B190" s="104">
        <f t="shared" si="0"/>
        <v>2067</v>
      </c>
      <c r="C190" s="135">
        <f>[8]С2.5!$AZ$11</f>
        <v>0</v>
      </c>
    </row>
    <row r="191" spans="2:3" hidden="1">
      <c r="B191" s="104">
        <f t="shared" si="0"/>
        <v>2068</v>
      </c>
      <c r="C191" s="135">
        <f>[8]С2.5!$BA$11</f>
        <v>0</v>
      </c>
    </row>
    <row r="192" spans="2:3" hidden="1">
      <c r="B192" s="104">
        <f t="shared" si="0"/>
        <v>2069</v>
      </c>
      <c r="C192" s="135">
        <f>[8]С2.5!$BB$11</f>
        <v>0</v>
      </c>
    </row>
    <row r="193" spans="2:3" hidden="1">
      <c r="B193" s="104">
        <f t="shared" si="0"/>
        <v>2070</v>
      </c>
      <c r="C193" s="135">
        <f>[8]С2.5!$BC$11</f>
        <v>0</v>
      </c>
    </row>
    <row r="194" spans="2:3" hidden="1">
      <c r="B194" s="104">
        <f t="shared" si="0"/>
        <v>2071</v>
      </c>
      <c r="C194" s="135">
        <f>[8]С2.5!$BD$11</f>
        <v>0</v>
      </c>
    </row>
    <row r="195" spans="2:3" hidden="1">
      <c r="B195" s="104">
        <f t="shared" si="0"/>
        <v>2072</v>
      </c>
      <c r="C195" s="135">
        <f>[8]С2.5!$BE$11</f>
        <v>0</v>
      </c>
    </row>
    <row r="196" spans="2:3" hidden="1">
      <c r="B196" s="104">
        <f t="shared" si="0"/>
        <v>2073</v>
      </c>
      <c r="C196" s="135">
        <f>[8]С2.5!$BF$11</f>
        <v>0</v>
      </c>
    </row>
    <row r="197" spans="2:3" hidden="1">
      <c r="B197" s="104">
        <f t="shared" si="0"/>
        <v>2074</v>
      </c>
      <c r="C197" s="135">
        <f>[8]С2.5!$BG$11</f>
        <v>0</v>
      </c>
    </row>
    <row r="198" spans="2:3" hidden="1">
      <c r="B198" s="104">
        <f t="shared" si="0"/>
        <v>2075</v>
      </c>
      <c r="C198" s="135">
        <f>[8]С2.5!$BH$11</f>
        <v>0</v>
      </c>
    </row>
    <row r="199" spans="2:3" hidden="1">
      <c r="B199" s="104">
        <f t="shared" si="0"/>
        <v>2076</v>
      </c>
      <c r="C199" s="135">
        <f>[8]С2.5!$BI$11</f>
        <v>0</v>
      </c>
    </row>
    <row r="200" spans="2:3" hidden="1">
      <c r="B200" s="104">
        <f t="shared" si="0"/>
        <v>2077</v>
      </c>
      <c r="C200" s="135">
        <f>[8]С2.5!$BJ$11</f>
        <v>0</v>
      </c>
    </row>
    <row r="201" spans="2:3" hidden="1">
      <c r="B201" s="104">
        <f t="shared" si="0"/>
        <v>2078</v>
      </c>
      <c r="C201" s="135">
        <f>[8]С2.5!$BK$11</f>
        <v>0</v>
      </c>
    </row>
    <row r="202" spans="2:3" hidden="1">
      <c r="B202" s="104">
        <f t="shared" si="0"/>
        <v>2079</v>
      </c>
      <c r="C202" s="135">
        <f>[8]С2.5!$BL$11</f>
        <v>0</v>
      </c>
    </row>
    <row r="203" spans="2:3" hidden="1">
      <c r="B203" s="104">
        <f t="shared" si="0"/>
        <v>2080</v>
      </c>
      <c r="C203" s="135">
        <f>[8]С2.5!$BM$11</f>
        <v>0</v>
      </c>
    </row>
    <row r="204" spans="2:3" hidden="1">
      <c r="B204" s="104">
        <f t="shared" si="0"/>
        <v>2081</v>
      </c>
      <c r="C204" s="135">
        <f>[8]С2.5!$BN$11</f>
        <v>0</v>
      </c>
    </row>
    <row r="205" spans="2:3" hidden="1">
      <c r="B205" s="104">
        <f t="shared" si="0"/>
        <v>2082</v>
      </c>
      <c r="C205" s="135">
        <f>[8]С2.5!$BO$11</f>
        <v>0</v>
      </c>
    </row>
    <row r="206" spans="2:3" hidden="1">
      <c r="B206" s="104">
        <f t="shared" si="0"/>
        <v>2083</v>
      </c>
      <c r="C206" s="135">
        <f>[8]С2.5!$BP$11</f>
        <v>0</v>
      </c>
    </row>
    <row r="207" spans="2:3" hidden="1">
      <c r="B207" s="104">
        <f t="shared" si="0"/>
        <v>2084</v>
      </c>
      <c r="C207" s="135">
        <f>[8]С2.5!$BQ$11</f>
        <v>0</v>
      </c>
    </row>
    <row r="208" spans="2:3" hidden="1">
      <c r="B208" s="104">
        <f t="shared" si="0"/>
        <v>2085</v>
      </c>
      <c r="C208" s="135">
        <f>[8]С2.5!$BR$11</f>
        <v>0</v>
      </c>
    </row>
    <row r="209" spans="2:3" hidden="1">
      <c r="B209" s="104">
        <f t="shared" ref="B209:B223" si="1">B208+1</f>
        <v>2086</v>
      </c>
      <c r="C209" s="135">
        <f>[8]С2.5!$BS$11</f>
        <v>0</v>
      </c>
    </row>
    <row r="210" spans="2:3" hidden="1">
      <c r="B210" s="104">
        <f t="shared" si="1"/>
        <v>2087</v>
      </c>
      <c r="C210" s="135">
        <f>[8]С2.5!$BT$11</f>
        <v>0</v>
      </c>
    </row>
    <row r="211" spans="2:3" hidden="1">
      <c r="B211" s="104">
        <f t="shared" si="1"/>
        <v>2088</v>
      </c>
      <c r="C211" s="135">
        <f>[8]С2.5!$BU$11</f>
        <v>0</v>
      </c>
    </row>
    <row r="212" spans="2:3" hidden="1">
      <c r="B212" s="104">
        <f t="shared" si="1"/>
        <v>2089</v>
      </c>
      <c r="C212" s="135">
        <f>[8]С2.5!$BV$11</f>
        <v>0</v>
      </c>
    </row>
    <row r="213" spans="2:3" hidden="1">
      <c r="B213" s="104">
        <f t="shared" si="1"/>
        <v>2090</v>
      </c>
      <c r="C213" s="135">
        <f>[8]С2.5!$BW$11</f>
        <v>0</v>
      </c>
    </row>
    <row r="214" spans="2:3" hidden="1">
      <c r="B214" s="104">
        <f t="shared" si="1"/>
        <v>2091</v>
      </c>
      <c r="C214" s="135">
        <f>[8]С2.5!$BX$11</f>
        <v>0</v>
      </c>
    </row>
    <row r="215" spans="2:3" hidden="1">
      <c r="B215" s="104">
        <f t="shared" si="1"/>
        <v>2092</v>
      </c>
      <c r="C215" s="135">
        <f>[8]С2.5!$BY$11</f>
        <v>0</v>
      </c>
    </row>
    <row r="216" spans="2:3" hidden="1">
      <c r="B216" s="104">
        <f t="shared" si="1"/>
        <v>2093</v>
      </c>
      <c r="C216" s="135">
        <f>[8]С2.5!$BZ$11</f>
        <v>0</v>
      </c>
    </row>
    <row r="217" spans="2:3" hidden="1">
      <c r="B217" s="104">
        <f t="shared" si="1"/>
        <v>2094</v>
      </c>
      <c r="C217" s="135">
        <f>[8]С2.5!$CA$11</f>
        <v>0</v>
      </c>
    </row>
    <row r="218" spans="2:3" hidden="1">
      <c r="B218" s="104">
        <f t="shared" si="1"/>
        <v>2095</v>
      </c>
      <c r="C218" s="135">
        <f>[8]С2.5!$CB$11</f>
        <v>0</v>
      </c>
    </row>
    <row r="219" spans="2:3" hidden="1">
      <c r="B219" s="104">
        <f t="shared" si="1"/>
        <v>2096</v>
      </c>
      <c r="C219" s="135">
        <f>[8]С2.5!$CC$11</f>
        <v>0</v>
      </c>
    </row>
    <row r="220" spans="2:3" hidden="1">
      <c r="B220" s="104">
        <f t="shared" si="1"/>
        <v>2097</v>
      </c>
      <c r="C220" s="135">
        <f>[8]С2.5!$CD$11</f>
        <v>0</v>
      </c>
    </row>
    <row r="221" spans="2:3" hidden="1">
      <c r="B221" s="104">
        <f t="shared" si="1"/>
        <v>2098</v>
      </c>
      <c r="C221" s="135">
        <f>[8]С2.5!$CE$11</f>
        <v>0</v>
      </c>
    </row>
    <row r="222" spans="2:3" hidden="1">
      <c r="B222" s="104">
        <f t="shared" si="1"/>
        <v>2099</v>
      </c>
      <c r="C222" s="135">
        <f>[8]С2.5!$CF$11</f>
        <v>0</v>
      </c>
    </row>
    <row r="223" spans="2:3" ht="13.5" hidden="1" thickBot="1">
      <c r="B223" s="106">
        <f t="shared" si="1"/>
        <v>2100</v>
      </c>
      <c r="C223" s="136">
        <f>[8]С2.5!$CG$11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8433" r:id="rId3" name="Button 1">
              <controlPr defaultSize="0" print="0" autoFill="0" autoPict="0" macro="[9]!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18434" r:id="rId4" name="Button 2">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[10]И1!D13</f>
        <v>Субъект Российской Федерации</v>
      </c>
      <c r="C4" s="9" t="str">
        <f>[10]И1!E13</f>
        <v>Новосибирская область</v>
      </c>
    </row>
    <row r="5" spans="1:3" ht="46.9" customHeight="1">
      <c r="A5" s="7"/>
      <c r="B5" s="8" t="str">
        <f>[10]И1!D14</f>
        <v>Тип муниципального образования (выберите из списка)</v>
      </c>
      <c r="C5" s="9" t="str">
        <f>[10]И1!E14</f>
        <v xml:space="preserve">деревня Байкал, Болотнинский муниципальный район </v>
      </c>
    </row>
    <row r="6" spans="1:3">
      <c r="A6" s="7"/>
      <c r="B6" s="8" t="str">
        <f>IF([10]И1!E15="","",[10]И1!D15)</f>
        <v/>
      </c>
      <c r="C6" s="9" t="str">
        <f>IF([10]И1!E15="","",[10]И1!E15)</f>
        <v/>
      </c>
    </row>
    <row r="7" spans="1:3">
      <c r="A7" s="7"/>
      <c r="B7" s="8" t="str">
        <f>[10]И1!D16</f>
        <v>Код ОКТМО</v>
      </c>
      <c r="C7" s="10" t="str">
        <f>[10]И1!E16</f>
        <v>50606404101</v>
      </c>
    </row>
    <row r="8" spans="1:3">
      <c r="A8" s="7"/>
      <c r="B8" s="11" t="str">
        <f>[10]И1!D17</f>
        <v>Система теплоснабжения</v>
      </c>
      <c r="C8" s="12">
        <f>[10]И1!E17</f>
        <v>0</v>
      </c>
    </row>
    <row r="9" spans="1:3">
      <c r="A9" s="7"/>
      <c r="B9" s="8" t="str">
        <f>[10]И1!D8</f>
        <v>Период регулирования (i)-й</v>
      </c>
      <c r="C9" s="13">
        <f>[10]И1!E8</f>
        <v>2024</v>
      </c>
    </row>
    <row r="10" spans="1:3">
      <c r="A10" s="7"/>
      <c r="B10" s="8" t="str">
        <f>[10]И1!D9</f>
        <v>Период регулирования (i-1)-й</v>
      </c>
      <c r="C10" s="13">
        <f>[10]И1!E9</f>
        <v>2023</v>
      </c>
    </row>
    <row r="11" spans="1:3">
      <c r="A11" s="7"/>
      <c r="B11" s="8" t="str">
        <f>[10]И1!D10</f>
        <v>Период регулирования (i-2)-й</v>
      </c>
      <c r="C11" s="13">
        <f>[10]И1!E10</f>
        <v>2022</v>
      </c>
    </row>
    <row r="12" spans="1:3">
      <c r="A12" s="7"/>
      <c r="B12" s="8" t="str">
        <f>[10]И1!D11</f>
        <v>Базовый год (б)</v>
      </c>
      <c r="C12" s="13">
        <f>[10]И1!E11</f>
        <v>2019</v>
      </c>
    </row>
    <row r="13" spans="1:3" ht="38.25">
      <c r="A13" s="7"/>
      <c r="B13" s="8" t="str">
        <f>[10]И1!D18</f>
        <v>Вид топлива, использование которого преобладает в системе теплоснабжения</v>
      </c>
      <c r="C13" s="14" t="str">
        <f>[10]С1.1!E13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3608.9981503916501</v>
      </c>
    </row>
    <row r="18" spans="1:3" ht="42.75">
      <c r="A18" s="21" t="s">
        <v>8</v>
      </c>
      <c r="B18" s="24" t="s">
        <v>9</v>
      </c>
      <c r="C18" s="25">
        <f>[10]С1!F12</f>
        <v>634.19374018993858</v>
      </c>
    </row>
    <row r="19" spans="1:3" ht="42.75">
      <c r="A19" s="21" t="s">
        <v>10</v>
      </c>
      <c r="B19" s="24" t="s">
        <v>11</v>
      </c>
      <c r="C19" s="25">
        <f>[10]С2!F12</f>
        <v>1993.3494362887216</v>
      </c>
    </row>
    <row r="20" spans="1:3" ht="30">
      <c r="A20" s="21" t="s">
        <v>12</v>
      </c>
      <c r="B20" s="24" t="s">
        <v>13</v>
      </c>
      <c r="C20" s="25">
        <f>[10]С3!F12</f>
        <v>473.85859951490778</v>
      </c>
    </row>
    <row r="21" spans="1:3" ht="42.75">
      <c r="A21" s="21" t="s">
        <v>14</v>
      </c>
      <c r="B21" s="24" t="s">
        <v>226</v>
      </c>
      <c r="C21" s="25">
        <f>[10]С4!F12</f>
        <v>436.83170478255988</v>
      </c>
    </row>
    <row r="22" spans="1:3" ht="30">
      <c r="A22" s="21" t="s">
        <v>16</v>
      </c>
      <c r="B22" s="24" t="s">
        <v>227</v>
      </c>
      <c r="C22" s="25">
        <f>[10]С5!F12</f>
        <v>70.76466961552255</v>
      </c>
    </row>
    <row r="23" spans="1:3" ht="43.5" thickBot="1">
      <c r="A23" s="26" t="s">
        <v>18</v>
      </c>
      <c r="B23" s="140" t="s">
        <v>228</v>
      </c>
      <c r="C23" s="27" t="str">
        <f>[10]С6!F12</f>
        <v>-</v>
      </c>
    </row>
    <row r="24" spans="1:3" ht="13.5" thickBot="1">
      <c r="A24" s="1"/>
    </row>
    <row r="25" spans="1:3">
      <c r="A25" s="15" t="s">
        <v>4</v>
      </c>
      <c r="B25" s="28" t="s">
        <v>5</v>
      </c>
      <c r="C25" s="16" t="s">
        <v>6</v>
      </c>
    </row>
    <row r="26" spans="1:3">
      <c r="A26" s="18">
        <v>1</v>
      </c>
      <c r="B26" s="29">
        <v>2</v>
      </c>
      <c r="C26" s="30">
        <v>3</v>
      </c>
    </row>
    <row r="27" spans="1:3" ht="38.25" customHeight="1">
      <c r="A27" s="21">
        <v>1</v>
      </c>
      <c r="B27" s="144" t="s">
        <v>20</v>
      </c>
      <c r="C27" s="144"/>
    </row>
    <row r="28" spans="1:3">
      <c r="A28" s="21" t="s">
        <v>8</v>
      </c>
      <c r="B28" s="31" t="s">
        <v>229</v>
      </c>
      <c r="C28" s="32">
        <f>[10]С1.1!E16</f>
        <v>5100</v>
      </c>
    </row>
    <row r="29" spans="1:3" ht="42.75">
      <c r="A29" s="21" t="s">
        <v>10</v>
      </c>
      <c r="B29" s="31" t="s">
        <v>230</v>
      </c>
      <c r="C29" s="32">
        <f>[10]С1.1!E27</f>
        <v>2849.46</v>
      </c>
    </row>
    <row r="30" spans="1:3" ht="17.25">
      <c r="A30" s="21" t="s">
        <v>12</v>
      </c>
      <c r="B30" s="31" t="s">
        <v>29</v>
      </c>
      <c r="C30" s="34">
        <f>[10]С1.1!E19</f>
        <v>-0.19900000000000001</v>
      </c>
    </row>
    <row r="31" spans="1:3" ht="17.25">
      <c r="A31" s="21" t="s">
        <v>14</v>
      </c>
      <c r="B31" s="31" t="s">
        <v>30</v>
      </c>
      <c r="C31" s="34">
        <f>[10]С1.1!E20</f>
        <v>5.7000000000000002E-2</v>
      </c>
    </row>
    <row r="32" spans="1:3" ht="30">
      <c r="A32" s="21" t="s">
        <v>16</v>
      </c>
      <c r="B32" s="35" t="s">
        <v>231</v>
      </c>
      <c r="C32" s="117">
        <f>[10]С1!F13</f>
        <v>176.4</v>
      </c>
    </row>
    <row r="33" spans="1:3">
      <c r="A33" s="21" t="s">
        <v>18</v>
      </c>
      <c r="B33" s="35" t="s">
        <v>32</v>
      </c>
      <c r="C33" s="37">
        <f>[10]С1!F16</f>
        <v>7000</v>
      </c>
    </row>
    <row r="34" spans="1:3" ht="14.25">
      <c r="A34" s="21" t="s">
        <v>33</v>
      </c>
      <c r="B34" s="39" t="s">
        <v>232</v>
      </c>
      <c r="C34" s="40">
        <f>[10]С1!F17</f>
        <v>0.72857142857142854</v>
      </c>
    </row>
    <row r="35" spans="1:3" ht="15.75">
      <c r="A35" s="118" t="s">
        <v>35</v>
      </c>
      <c r="B35" s="42" t="s">
        <v>36</v>
      </c>
      <c r="C35" s="40">
        <f>[10]С1!F20</f>
        <v>21.588411179999994</v>
      </c>
    </row>
    <row r="36" spans="1:3" ht="15.75">
      <c r="A36" s="118" t="s">
        <v>37</v>
      </c>
      <c r="B36" s="43" t="s">
        <v>38</v>
      </c>
      <c r="C36" s="40">
        <f>[10]С1!F21</f>
        <v>20.818139999999996</v>
      </c>
    </row>
    <row r="37" spans="1:3" ht="14.25">
      <c r="A37" s="118" t="s">
        <v>39</v>
      </c>
      <c r="B37" s="44" t="s">
        <v>40</v>
      </c>
      <c r="C37" s="40">
        <f>[10]С1!F22</f>
        <v>1.0369999999999999</v>
      </c>
    </row>
    <row r="38" spans="1:3" ht="53.25" thickBot="1">
      <c r="A38" s="26" t="s">
        <v>41</v>
      </c>
      <c r="B38" s="45" t="s">
        <v>42</v>
      </c>
      <c r="C38" s="46">
        <f>[10]С1!F23</f>
        <v>1.0469999999999999</v>
      </c>
    </row>
    <row r="39" spans="1:3" ht="13.5" thickBot="1">
      <c r="A39" s="47"/>
      <c r="B39" s="119"/>
      <c r="C39" s="120"/>
    </row>
    <row r="40" spans="1:3" ht="40.5" customHeight="1">
      <c r="A40" s="49" t="s">
        <v>43</v>
      </c>
      <c r="B40" s="145" t="s">
        <v>44</v>
      </c>
      <c r="C40" s="145"/>
    </row>
    <row r="41" spans="1:3" ht="25.5">
      <c r="A41" s="21" t="s">
        <v>45</v>
      </c>
      <c r="B41" s="35" t="s">
        <v>46</v>
      </c>
      <c r="C41" s="50" t="str">
        <f>[10]С2.1!E12</f>
        <v>V</v>
      </c>
    </row>
    <row r="42" spans="1:3" ht="25.5">
      <c r="A42" s="21" t="s">
        <v>47</v>
      </c>
      <c r="B42" s="31" t="s">
        <v>48</v>
      </c>
      <c r="C42" s="50" t="str">
        <f>[10]С2.1!E13</f>
        <v>6 и менее баллов</v>
      </c>
    </row>
    <row r="43" spans="1:3" ht="25.5">
      <c r="A43" s="21" t="s">
        <v>49</v>
      </c>
      <c r="B43" s="31" t="s">
        <v>233</v>
      </c>
      <c r="C43" s="50" t="str">
        <f>[10]С2.1!E14</f>
        <v>от 200 до 500</v>
      </c>
    </row>
    <row r="44" spans="1:3" ht="25.5">
      <c r="A44" s="21" t="s">
        <v>51</v>
      </c>
      <c r="B44" s="31" t="s">
        <v>234</v>
      </c>
      <c r="C44" s="51" t="str">
        <f>[10]С2.1!E15</f>
        <v>нет</v>
      </c>
    </row>
    <row r="45" spans="1:3" ht="30">
      <c r="A45" s="21" t="s">
        <v>53</v>
      </c>
      <c r="B45" s="31" t="s">
        <v>54</v>
      </c>
      <c r="C45" s="32">
        <f>[10]С2!F18</f>
        <v>35106.652004551666</v>
      </c>
    </row>
    <row r="46" spans="1:3" ht="30">
      <c r="A46" s="21" t="s">
        <v>55</v>
      </c>
      <c r="B46" s="52" t="s">
        <v>56</v>
      </c>
      <c r="C46" s="32">
        <f>IF([10]С2!F19&gt;0,[10]С2!F19,[10]С2!F20)</f>
        <v>23441.524932855718</v>
      </c>
    </row>
    <row r="47" spans="1:3" ht="25.5">
      <c r="A47" s="21" t="s">
        <v>57</v>
      </c>
      <c r="B47" s="53" t="s">
        <v>58</v>
      </c>
      <c r="C47" s="32">
        <f>[10]С2.1!E19</f>
        <v>-38</v>
      </c>
    </row>
    <row r="48" spans="1:3" ht="25.5">
      <c r="A48" s="21" t="s">
        <v>59</v>
      </c>
      <c r="B48" s="53" t="s">
        <v>60</v>
      </c>
      <c r="C48" s="32" t="str">
        <f>[10]С2.1!E22</f>
        <v>нет</v>
      </c>
    </row>
    <row r="49" spans="1:3" ht="38.25">
      <c r="A49" s="21" t="s">
        <v>61</v>
      </c>
      <c r="B49" s="54" t="s">
        <v>62</v>
      </c>
      <c r="C49" s="32">
        <f>[10]С2.2!E10</f>
        <v>1287</v>
      </c>
    </row>
    <row r="50" spans="1:3" ht="25.5">
      <c r="A50" s="21" t="s">
        <v>63</v>
      </c>
      <c r="B50" s="55" t="s">
        <v>64</v>
      </c>
      <c r="C50" s="32">
        <f>[10]С2.2!E12</f>
        <v>5.97</v>
      </c>
    </row>
    <row r="51" spans="1:3" ht="52.5">
      <c r="A51" s="21" t="s">
        <v>65</v>
      </c>
      <c r="B51" s="56" t="s">
        <v>66</v>
      </c>
      <c r="C51" s="32">
        <f>[10]С2.2!E13</f>
        <v>1</v>
      </c>
    </row>
    <row r="52" spans="1:3" ht="27.75">
      <c r="A52" s="21" t="s">
        <v>67</v>
      </c>
      <c r="B52" s="55" t="s">
        <v>68</v>
      </c>
      <c r="C52" s="32">
        <f>[10]С2.2!E14</f>
        <v>12104</v>
      </c>
    </row>
    <row r="53" spans="1:3" ht="25.5">
      <c r="A53" s="21" t="s">
        <v>69</v>
      </c>
      <c r="B53" s="56" t="s">
        <v>70</v>
      </c>
      <c r="C53" s="34">
        <f>[10]С2.2!E15</f>
        <v>4.8000000000000001E-2</v>
      </c>
    </row>
    <row r="54" spans="1:3">
      <c r="A54" s="21" t="s">
        <v>71</v>
      </c>
      <c r="B54" s="56" t="s">
        <v>72</v>
      </c>
      <c r="C54" s="32">
        <f>[10]С2.2!E16</f>
        <v>1</v>
      </c>
    </row>
    <row r="55" spans="1:3" ht="15.75">
      <c r="A55" s="21" t="s">
        <v>73</v>
      </c>
      <c r="B55" s="58" t="s">
        <v>74</v>
      </c>
      <c r="C55" s="32">
        <f>[10]С2!F21</f>
        <v>1</v>
      </c>
    </row>
    <row r="56" spans="1:3" ht="30">
      <c r="A56" s="59" t="s">
        <v>75</v>
      </c>
      <c r="B56" s="31" t="s">
        <v>235</v>
      </c>
      <c r="C56" s="32">
        <f>[10]С2!F13</f>
        <v>183796.83936385796</v>
      </c>
    </row>
    <row r="57" spans="1:3" ht="30">
      <c r="A57" s="59" t="s">
        <v>77</v>
      </c>
      <c r="B57" s="58" t="s">
        <v>236</v>
      </c>
      <c r="C57" s="32">
        <f>[10]С2!F14</f>
        <v>113455</v>
      </c>
    </row>
    <row r="58" spans="1:3" ht="15.75">
      <c r="A58" s="59" t="s">
        <v>79</v>
      </c>
      <c r="B58" s="60" t="s">
        <v>80</v>
      </c>
      <c r="C58" s="40">
        <f>[10]С2!F15</f>
        <v>1.071</v>
      </c>
    </row>
    <row r="59" spans="1:3" ht="15.75">
      <c r="A59" s="59" t="s">
        <v>81</v>
      </c>
      <c r="B59" s="60" t="s">
        <v>82</v>
      </c>
      <c r="C59" s="40">
        <f>[10]С2!F16</f>
        <v>1</v>
      </c>
    </row>
    <row r="60" spans="1:3" ht="17.25">
      <c r="A60" s="59" t="s">
        <v>83</v>
      </c>
      <c r="B60" s="58" t="s">
        <v>84</v>
      </c>
      <c r="C60" s="32">
        <f>[10]С2!F17</f>
        <v>1.01</v>
      </c>
    </row>
    <row r="61" spans="1:3" s="65" customFormat="1" ht="14.25">
      <c r="A61" s="59" t="s">
        <v>85</v>
      </c>
      <c r="B61" s="63" t="s">
        <v>86</v>
      </c>
      <c r="C61" s="64">
        <f>[10]С2!F33</f>
        <v>10</v>
      </c>
    </row>
    <row r="62" spans="1:3" ht="30">
      <c r="A62" s="59" t="s">
        <v>87</v>
      </c>
      <c r="B62" s="66" t="s">
        <v>88</v>
      </c>
      <c r="C62" s="32">
        <f>[10]С2!F26</f>
        <v>1867.194948000021</v>
      </c>
    </row>
    <row r="63" spans="1:3" ht="17.25">
      <c r="A63" s="59" t="s">
        <v>89</v>
      </c>
      <c r="B63" s="52" t="s">
        <v>237</v>
      </c>
      <c r="C63" s="32">
        <f>[10]С2!F27</f>
        <v>0.29684983999999998</v>
      </c>
    </row>
    <row r="64" spans="1:3" ht="17.25">
      <c r="A64" s="59" t="s">
        <v>91</v>
      </c>
      <c r="B64" s="58" t="s">
        <v>238</v>
      </c>
      <c r="C64" s="64">
        <f>[10]С2!F28</f>
        <v>4200</v>
      </c>
    </row>
    <row r="65" spans="1:3" ht="42.75">
      <c r="A65" s="59" t="s">
        <v>93</v>
      </c>
      <c r="B65" s="31" t="s">
        <v>239</v>
      </c>
      <c r="C65" s="32">
        <f>[10]С2!F22</f>
        <v>38698.422798410109</v>
      </c>
    </row>
    <row r="66" spans="1:3" ht="30">
      <c r="A66" s="59" t="s">
        <v>95</v>
      </c>
      <c r="B66" s="60" t="s">
        <v>240</v>
      </c>
      <c r="C66" s="32">
        <f>[10]С2!F23</f>
        <v>1990</v>
      </c>
    </row>
    <row r="67" spans="1:3" ht="30">
      <c r="A67" s="59" t="s">
        <v>97</v>
      </c>
      <c r="B67" s="52" t="s">
        <v>98</v>
      </c>
      <c r="C67" s="32">
        <f>[10]С2.1!E27</f>
        <v>14307.876789999998</v>
      </c>
    </row>
    <row r="68" spans="1:3" ht="38.25">
      <c r="A68" s="59" t="s">
        <v>99</v>
      </c>
      <c r="B68" s="67" t="s">
        <v>100</v>
      </c>
      <c r="C68" s="51">
        <f>[10]С2.3!E21</f>
        <v>0</v>
      </c>
    </row>
    <row r="69" spans="1:3" ht="25.5">
      <c r="A69" s="59" t="s">
        <v>101</v>
      </c>
      <c r="B69" s="68" t="s">
        <v>102</v>
      </c>
      <c r="C69" s="69">
        <f>[10]С2.3!E11</f>
        <v>9.89</v>
      </c>
    </row>
    <row r="70" spans="1:3" ht="25.5">
      <c r="A70" s="59" t="s">
        <v>103</v>
      </c>
      <c r="B70" s="68" t="s">
        <v>104</v>
      </c>
      <c r="C70" s="64">
        <f>[10]С2.3!E13</f>
        <v>300</v>
      </c>
    </row>
    <row r="71" spans="1:3" ht="25.5">
      <c r="A71" s="59" t="s">
        <v>105</v>
      </c>
      <c r="B71" s="67" t="s">
        <v>106</v>
      </c>
      <c r="C71" s="70">
        <f>IF([10]С2.3!E22&gt;0,[10]С2.3!E22,[10]С2.3!E14)</f>
        <v>61211</v>
      </c>
    </row>
    <row r="72" spans="1:3" ht="38.25">
      <c r="A72" s="59" t="s">
        <v>107</v>
      </c>
      <c r="B72" s="67" t="s">
        <v>108</v>
      </c>
      <c r="C72" s="70">
        <f>IF([10]С2.3!E23&gt;0,[10]С2.3!E23,[10]С2.3!E15)</f>
        <v>45675</v>
      </c>
    </row>
    <row r="73" spans="1:3" ht="30">
      <c r="A73" s="59" t="s">
        <v>109</v>
      </c>
      <c r="B73" s="52" t="s">
        <v>110</v>
      </c>
      <c r="C73" s="32">
        <f>[10]С2.1!E28</f>
        <v>9541.9567200000001</v>
      </c>
    </row>
    <row r="74" spans="1:3" ht="38.25">
      <c r="A74" s="59" t="s">
        <v>111</v>
      </c>
      <c r="B74" s="67" t="s">
        <v>112</v>
      </c>
      <c r="C74" s="51">
        <f>[10]С2.3!E25</f>
        <v>0</v>
      </c>
    </row>
    <row r="75" spans="1:3" ht="25.5">
      <c r="A75" s="59" t="s">
        <v>113</v>
      </c>
      <c r="B75" s="68" t="s">
        <v>114</v>
      </c>
      <c r="C75" s="69">
        <f>[10]С2.3!E12</f>
        <v>0.56000000000000005</v>
      </c>
    </row>
    <row r="76" spans="1:3" ht="25.5">
      <c r="A76" s="59" t="s">
        <v>115</v>
      </c>
      <c r="B76" s="68" t="s">
        <v>104</v>
      </c>
      <c r="C76" s="64">
        <f>[10]С2.3!E13</f>
        <v>300</v>
      </c>
    </row>
    <row r="77" spans="1:3" ht="25.5">
      <c r="A77" s="59" t="s">
        <v>116</v>
      </c>
      <c r="B77" s="71" t="s">
        <v>117</v>
      </c>
      <c r="C77" s="70">
        <f>IF([10]С2.3!E26&gt;0,[10]С2.3!E26,[10]С2.3!E16)</f>
        <v>65637</v>
      </c>
    </row>
    <row r="78" spans="1:3" ht="38.25">
      <c r="A78" s="59" t="s">
        <v>118</v>
      </c>
      <c r="B78" s="71" t="s">
        <v>119</v>
      </c>
      <c r="C78" s="70">
        <f>IF([10]С2.3!E27&gt;0,[10]С2.3!E27,[10]С2.3!E17)</f>
        <v>31684</v>
      </c>
    </row>
    <row r="79" spans="1:3" ht="17.25">
      <c r="A79" s="59" t="s">
        <v>122</v>
      </c>
      <c r="B79" s="31" t="s">
        <v>123</v>
      </c>
      <c r="C79" s="34">
        <f>[10]С2!F29</f>
        <v>9.5962865259740182E-2</v>
      </c>
    </row>
    <row r="80" spans="1:3" ht="30">
      <c r="A80" s="59" t="s">
        <v>124</v>
      </c>
      <c r="B80" s="52" t="s">
        <v>125</v>
      </c>
      <c r="C80" s="72">
        <f>[10]С2!F30</f>
        <v>8.4029304029304031E-2</v>
      </c>
    </row>
    <row r="81" spans="1:3" ht="17.25">
      <c r="A81" s="59" t="s">
        <v>126</v>
      </c>
      <c r="B81" s="73" t="s">
        <v>127</v>
      </c>
      <c r="C81" s="34">
        <f>[10]С2!F31</f>
        <v>0.13880000000000001</v>
      </c>
    </row>
    <row r="82" spans="1:3" s="65" customFormat="1" ht="18" thickBot="1">
      <c r="A82" s="74" t="s">
        <v>128</v>
      </c>
      <c r="B82" s="75" t="s">
        <v>129</v>
      </c>
      <c r="C82" s="76">
        <f>[10]С2!F32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[10]С3!F14</f>
        <v>6081.0916722812572</v>
      </c>
    </row>
    <row r="86" spans="1:3" s="65" customFormat="1" ht="42.75">
      <c r="A86" s="78" t="s">
        <v>134</v>
      </c>
      <c r="B86" s="52" t="s">
        <v>135</v>
      </c>
      <c r="C86" s="79">
        <f>[10]С3!F15</f>
        <v>0.2</v>
      </c>
    </row>
    <row r="87" spans="1:3" s="65" customFormat="1" ht="14.25">
      <c r="A87" s="78" t="s">
        <v>136</v>
      </c>
      <c r="B87" s="80" t="s">
        <v>137</v>
      </c>
      <c r="C87" s="64">
        <f>[10]С3!F18</f>
        <v>15</v>
      </c>
    </row>
    <row r="88" spans="1:3" s="65" customFormat="1" ht="17.25">
      <c r="A88" s="78" t="s">
        <v>138</v>
      </c>
      <c r="B88" s="31" t="s">
        <v>139</v>
      </c>
      <c r="C88" s="32">
        <f>[10]С3!F19</f>
        <v>3778.1614077800232</v>
      </c>
    </row>
    <row r="89" spans="1:3" s="65" customFormat="1" ht="55.5">
      <c r="A89" s="78" t="s">
        <v>140</v>
      </c>
      <c r="B89" s="52" t="s">
        <v>141</v>
      </c>
      <c r="C89" s="81">
        <f>[10]С3!F20</f>
        <v>2.1999999999999999E-2</v>
      </c>
    </row>
    <row r="90" spans="1:3" s="65" customFormat="1" ht="14.25">
      <c r="A90" s="78" t="s">
        <v>142</v>
      </c>
      <c r="B90" s="58" t="s">
        <v>86</v>
      </c>
      <c r="C90" s="64">
        <f>[10]С3!F21</f>
        <v>10</v>
      </c>
    </row>
    <row r="91" spans="1:3" s="65" customFormat="1" ht="17.25">
      <c r="A91" s="78" t="s">
        <v>143</v>
      </c>
      <c r="B91" s="31" t="s">
        <v>144</v>
      </c>
      <c r="C91" s="32">
        <f>[10]С3!F22</f>
        <v>5.6015848440000635</v>
      </c>
    </row>
    <row r="92" spans="1:3" s="65" customFormat="1" ht="55.5">
      <c r="A92" s="78" t="s">
        <v>145</v>
      </c>
      <c r="B92" s="52" t="s">
        <v>146</v>
      </c>
      <c r="C92" s="81">
        <f>[10]С3!F23</f>
        <v>3.0000000000000001E-3</v>
      </c>
    </row>
    <row r="93" spans="1:3" s="65" customFormat="1" ht="27.75" thickBot="1">
      <c r="A93" s="82" t="s">
        <v>147</v>
      </c>
      <c r="B93" s="83" t="s">
        <v>241</v>
      </c>
      <c r="C93" s="84">
        <f>[10]С3!F24</f>
        <v>1867.194948000021</v>
      </c>
    </row>
    <row r="94" spans="1:3" ht="13.5" thickBot="1">
      <c r="A94" s="47"/>
      <c r="B94" s="48"/>
      <c r="C94" s="14"/>
    </row>
    <row r="95" spans="1:3" ht="36" customHeight="1">
      <c r="A95" s="85" t="s">
        <v>148</v>
      </c>
      <c r="B95" s="145" t="s">
        <v>149</v>
      </c>
      <c r="C95" s="145"/>
    </row>
    <row r="96" spans="1:3" ht="30">
      <c r="A96" s="59" t="s">
        <v>150</v>
      </c>
      <c r="B96" s="31" t="s">
        <v>242</v>
      </c>
      <c r="C96" s="32">
        <f>[10]С4!F16</f>
        <v>1652.5</v>
      </c>
    </row>
    <row r="97" spans="1:3" ht="30">
      <c r="A97" s="59" t="s">
        <v>152</v>
      </c>
      <c r="B97" s="58" t="s">
        <v>243</v>
      </c>
      <c r="C97" s="32">
        <f>[10]С4!F17</f>
        <v>73547</v>
      </c>
    </row>
    <row r="98" spans="1:3" ht="17.25">
      <c r="A98" s="59" t="s">
        <v>154</v>
      </c>
      <c r="B98" s="58" t="s">
        <v>155</v>
      </c>
      <c r="C98" s="40">
        <f>[10]С4!F18</f>
        <v>0.02</v>
      </c>
    </row>
    <row r="99" spans="1:3" ht="30">
      <c r="A99" s="59" t="s">
        <v>156</v>
      </c>
      <c r="B99" s="58" t="s">
        <v>157</v>
      </c>
      <c r="C99" s="32">
        <f>[10]С4!F19</f>
        <v>12104</v>
      </c>
    </row>
    <row r="100" spans="1:3" ht="31.5">
      <c r="A100" s="59" t="s">
        <v>158</v>
      </c>
      <c r="B100" s="58" t="s">
        <v>159</v>
      </c>
      <c r="C100" s="40">
        <f>[10]С4!F20</f>
        <v>1.4999999999999999E-2</v>
      </c>
    </row>
    <row r="101" spans="1:3" ht="30">
      <c r="A101" s="59" t="s">
        <v>160</v>
      </c>
      <c r="B101" s="31" t="s">
        <v>244</v>
      </c>
      <c r="C101" s="32">
        <f>[10]С4!F21</f>
        <v>1933.1949342509995</v>
      </c>
    </row>
    <row r="102" spans="1:3" ht="24" customHeight="1">
      <c r="A102" s="59" t="s">
        <v>162</v>
      </c>
      <c r="B102" s="52" t="s">
        <v>163</v>
      </c>
      <c r="C102" s="33">
        <f>IF([10]С4.2!F8="да",[10]С4.2!D21,[10]С4.2!D15)</f>
        <v>0</v>
      </c>
    </row>
    <row r="103" spans="1:3" ht="68.25">
      <c r="A103" s="59" t="s">
        <v>164</v>
      </c>
      <c r="B103" s="52" t="s">
        <v>165</v>
      </c>
      <c r="C103" s="32">
        <f>[10]С4!F22</f>
        <v>3.6112641666666665</v>
      </c>
    </row>
    <row r="104" spans="1:3" ht="30">
      <c r="A104" s="59" t="s">
        <v>166</v>
      </c>
      <c r="B104" s="58" t="s">
        <v>245</v>
      </c>
      <c r="C104" s="32">
        <f>[10]С4!F23</f>
        <v>180</v>
      </c>
    </row>
    <row r="105" spans="1:3" ht="14.25">
      <c r="A105" s="59" t="s">
        <v>168</v>
      </c>
      <c r="B105" s="52" t="s">
        <v>169</v>
      </c>
      <c r="C105" s="32">
        <f>[10]С4!F24</f>
        <v>8497.1999999999989</v>
      </c>
    </row>
    <row r="106" spans="1:3" ht="14.25">
      <c r="A106" s="59" t="s">
        <v>170</v>
      </c>
      <c r="B106" s="58" t="s">
        <v>171</v>
      </c>
      <c r="C106" s="40">
        <f>[10]С4!F25</f>
        <v>0.35</v>
      </c>
    </row>
    <row r="107" spans="1:3" ht="17.25">
      <c r="A107" s="59" t="s">
        <v>172</v>
      </c>
      <c r="B107" s="31" t="s">
        <v>173</v>
      </c>
      <c r="C107" s="32">
        <f>[10]С4!F26</f>
        <v>85.988129999999998</v>
      </c>
    </row>
    <row r="108" spans="1:3" ht="25.5">
      <c r="A108" s="59" t="s">
        <v>174</v>
      </c>
      <c r="B108" s="52" t="s">
        <v>100</v>
      </c>
      <c r="C108" s="33">
        <f>[10]С4.3!E16</f>
        <v>0</v>
      </c>
    </row>
    <row r="109" spans="1:3" ht="25.5">
      <c r="A109" s="59" t="s">
        <v>175</v>
      </c>
      <c r="B109" s="52" t="s">
        <v>176</v>
      </c>
      <c r="C109" s="32">
        <f>[10]С4.3!E17</f>
        <v>20.350000000000001</v>
      </c>
    </row>
    <row r="110" spans="1:3" ht="38.25">
      <c r="A110" s="59" t="s">
        <v>177</v>
      </c>
      <c r="B110" s="52" t="s">
        <v>112</v>
      </c>
      <c r="C110" s="33">
        <f>[10]С4.3!E18</f>
        <v>0</v>
      </c>
    </row>
    <row r="111" spans="1:3">
      <c r="A111" s="59" t="s">
        <v>178</v>
      </c>
      <c r="B111" s="52" t="s">
        <v>179</v>
      </c>
      <c r="C111" s="32">
        <f>[10]С4.3!E19</f>
        <v>71.67</v>
      </c>
    </row>
    <row r="112" spans="1:3">
      <c r="A112" s="59" t="s">
        <v>180</v>
      </c>
      <c r="B112" s="58" t="s">
        <v>181</v>
      </c>
      <c r="C112" s="32">
        <f>[10]С4.3!E11</f>
        <v>1871</v>
      </c>
    </row>
    <row r="113" spans="1:3">
      <c r="A113" s="59" t="s">
        <v>182</v>
      </c>
      <c r="B113" s="58" t="s">
        <v>183</v>
      </c>
      <c r="C113" s="51">
        <f>[10]С4.3!E12</f>
        <v>1636</v>
      </c>
    </row>
    <row r="114" spans="1:3">
      <c r="A114" s="59" t="s">
        <v>184</v>
      </c>
      <c r="B114" s="58" t="s">
        <v>185</v>
      </c>
      <c r="C114" s="51">
        <f>[10]С4.3!E13</f>
        <v>204</v>
      </c>
    </row>
    <row r="115" spans="1:3" ht="30">
      <c r="A115" s="59" t="s">
        <v>186</v>
      </c>
      <c r="B115" s="31" t="s">
        <v>246</v>
      </c>
      <c r="C115" s="32">
        <f>[10]С4!F27</f>
        <v>1291.2863994686898</v>
      </c>
    </row>
    <row r="116" spans="1:3" ht="25.5">
      <c r="A116" s="59" t="s">
        <v>188</v>
      </c>
      <c r="B116" s="52" t="s">
        <v>247</v>
      </c>
      <c r="C116" s="32">
        <f>[10]С4!F28</f>
        <v>991.77142816335618</v>
      </c>
    </row>
    <row r="117" spans="1:3" ht="42.75">
      <c r="A117" s="59" t="s">
        <v>190</v>
      </c>
      <c r="B117" s="52" t="s">
        <v>191</v>
      </c>
      <c r="C117" s="32">
        <f>[10]С4!F29</f>
        <v>299.51497130533357</v>
      </c>
    </row>
    <row r="118" spans="1:3" ht="30">
      <c r="A118" s="59" t="s">
        <v>192</v>
      </c>
      <c r="B118" s="39" t="s">
        <v>193</v>
      </c>
      <c r="C118" s="32">
        <f>[10]С4!F30</f>
        <v>1661.3483501962958</v>
      </c>
    </row>
    <row r="119" spans="1:3" ht="42.75">
      <c r="A119" s="59" t="s">
        <v>248</v>
      </c>
      <c r="B119" s="89" t="s">
        <v>249</v>
      </c>
      <c r="C119" s="32">
        <f>[10]С4!F33</f>
        <v>941.23206592784356</v>
      </c>
    </row>
    <row r="120" spans="1:3" ht="30">
      <c r="A120" s="59" t="s">
        <v>250</v>
      </c>
      <c r="B120" s="121" t="s">
        <v>251</v>
      </c>
      <c r="C120" s="32">
        <f>[10]С4!F35</f>
        <v>17.040680999999999</v>
      </c>
    </row>
    <row r="121" spans="1:3" ht="14.25">
      <c r="A121" s="59" t="s">
        <v>252</v>
      </c>
      <c r="B121" s="55" t="s">
        <v>253</v>
      </c>
      <c r="C121" s="32">
        <f>[10]С4!F36</f>
        <v>14319.9</v>
      </c>
    </row>
    <row r="122" spans="1:3" ht="28.5" thickBot="1">
      <c r="A122" s="74" t="s">
        <v>254</v>
      </c>
      <c r="B122" s="122" t="s">
        <v>255</v>
      </c>
      <c r="C122" s="84">
        <f>[10]С4!F37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[10]С5!F17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[10]С2!F37</f>
        <v>20.818139999999996</v>
      </c>
    </row>
    <row r="136" spans="1:4" ht="14.25">
      <c r="A136" s="59" t="s">
        <v>214</v>
      </c>
      <c r="B136" s="128" t="s">
        <v>215</v>
      </c>
      <c r="C136" s="32">
        <f>[10]С2!F38</f>
        <v>7</v>
      </c>
    </row>
    <row r="137" spans="1:4" ht="17.25">
      <c r="A137" s="59" t="s">
        <v>216</v>
      </c>
      <c r="B137" s="128" t="s">
        <v>217</v>
      </c>
      <c r="C137" s="32">
        <f>[10]С2!F40</f>
        <v>0.97</v>
      </c>
    </row>
    <row r="138" spans="1:4" ht="15" thickBot="1">
      <c r="A138" s="74" t="s">
        <v>218</v>
      </c>
      <c r="B138" s="129" t="s">
        <v>219</v>
      </c>
      <c r="C138" s="46">
        <f>[10]С2!F42</f>
        <v>0.35</v>
      </c>
    </row>
    <row r="139" spans="1:4" s="87" customFormat="1" ht="13.5" thickBot="1">
      <c r="A139" s="47"/>
      <c r="B139" s="48"/>
      <c r="C139" s="14"/>
    </row>
    <row r="140" spans="1:4" ht="30">
      <c r="A140" s="85" t="s">
        <v>220</v>
      </c>
      <c r="B140" s="95" t="s">
        <v>258</v>
      </c>
      <c r="C140" s="130">
        <f>[10]С2!F35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[10]С2.5!$E$11</f>
        <v>-2.9000000000000026E-2</v>
      </c>
      <c r="D143" s="87"/>
    </row>
    <row r="144" spans="1:4">
      <c r="A144" s="97"/>
      <c r="B144" s="104">
        <f>B143+1</f>
        <v>2021</v>
      </c>
      <c r="C144" s="135">
        <f>[10]С2.5!$F$11</f>
        <v>0.245</v>
      </c>
      <c r="D144" s="87"/>
    </row>
    <row r="145" spans="1:4">
      <c r="A145" s="97"/>
      <c r="B145" s="104">
        <f t="shared" ref="B145:B208" si="0">B144+1</f>
        <v>2022</v>
      </c>
      <c r="C145" s="135">
        <f>[10]С2.5!$G$11</f>
        <v>0.114</v>
      </c>
      <c r="D145" s="87"/>
    </row>
    <row r="146" spans="1:4" ht="13.5" thickBot="1">
      <c r="A146" s="97"/>
      <c r="B146" s="106">
        <f t="shared" si="0"/>
        <v>2023</v>
      </c>
      <c r="C146" s="136">
        <f>[10]С2.5!$H$11</f>
        <v>2.4E-2</v>
      </c>
      <c r="D146" s="87"/>
    </row>
    <row r="147" spans="1:4">
      <c r="A147" s="97"/>
      <c r="B147" s="137">
        <f t="shared" si="0"/>
        <v>2024</v>
      </c>
      <c r="C147" s="138">
        <f>[10]С2.5!$I$11</f>
        <v>8.5999999999999993E-2</v>
      </c>
      <c r="D147" s="87"/>
    </row>
    <row r="148" spans="1:4" hidden="1">
      <c r="A148" s="97"/>
      <c r="B148" s="104">
        <f t="shared" si="0"/>
        <v>2025</v>
      </c>
      <c r="C148" s="135">
        <f>[10]С2.5!$J$11</f>
        <v>0.21215960863291</v>
      </c>
      <c r="D148" s="87"/>
    </row>
    <row r="149" spans="1:4" hidden="1">
      <c r="A149" s="97"/>
      <c r="B149" s="104">
        <f t="shared" si="0"/>
        <v>2026</v>
      </c>
      <c r="C149" s="135">
        <f>[10]С2.5!$K$11</f>
        <v>3.5813361771260002E-2</v>
      </c>
      <c r="D149" s="87"/>
    </row>
    <row r="150" spans="1:4" hidden="1">
      <c r="A150" s="97"/>
      <c r="B150" s="104">
        <f t="shared" si="0"/>
        <v>2027</v>
      </c>
      <c r="C150" s="135">
        <f>[10]С2.5!$L$11</f>
        <v>3.2682303599220003E-2</v>
      </c>
      <c r="D150" s="87"/>
    </row>
    <row r="151" spans="1:4" hidden="1">
      <c r="A151" s="97"/>
      <c r="B151" s="104">
        <f t="shared" si="0"/>
        <v>2028</v>
      </c>
      <c r="C151" s="135">
        <f>[10]С2.5!$M$11</f>
        <v>0</v>
      </c>
      <c r="D151" s="87"/>
    </row>
    <row r="152" spans="1:4" hidden="1">
      <c r="A152" s="97"/>
      <c r="B152" s="104">
        <f t="shared" si="0"/>
        <v>2029</v>
      </c>
      <c r="C152" s="135">
        <f>[10]С2.5!$N$11</f>
        <v>0</v>
      </c>
      <c r="D152" s="87"/>
    </row>
    <row r="153" spans="1:4" hidden="1">
      <c r="A153" s="97"/>
      <c r="B153" s="104">
        <f t="shared" si="0"/>
        <v>2030</v>
      </c>
      <c r="C153" s="135">
        <f>[10]С2.5!$O$11</f>
        <v>0</v>
      </c>
      <c r="D153" s="87"/>
    </row>
    <row r="154" spans="1:4" hidden="1">
      <c r="A154" s="97"/>
      <c r="B154" s="104">
        <f t="shared" si="0"/>
        <v>2031</v>
      </c>
      <c r="C154" s="135">
        <f>[10]С2.5!$P$11</f>
        <v>0</v>
      </c>
      <c r="D154" s="87"/>
    </row>
    <row r="155" spans="1:4" hidden="1">
      <c r="A155" s="87"/>
      <c r="B155" s="104">
        <f t="shared" si="0"/>
        <v>2032</v>
      </c>
      <c r="C155" s="135">
        <f>[10]С2.5!$Q$11</f>
        <v>0</v>
      </c>
      <c r="D155" s="87"/>
    </row>
    <row r="156" spans="1:4" hidden="1">
      <c r="A156" s="87"/>
      <c r="B156" s="104">
        <f t="shared" si="0"/>
        <v>2033</v>
      </c>
      <c r="C156" s="135">
        <f>[10]С2.5!$R$11</f>
        <v>0</v>
      </c>
      <c r="D156" s="87"/>
    </row>
    <row r="157" spans="1:4" hidden="1">
      <c r="B157" s="104">
        <f t="shared" si="0"/>
        <v>2034</v>
      </c>
      <c r="C157" s="135">
        <f>[10]С2.5!$S$11</f>
        <v>0</v>
      </c>
    </row>
    <row r="158" spans="1:4" hidden="1">
      <c r="B158" s="104">
        <f t="shared" si="0"/>
        <v>2035</v>
      </c>
      <c r="C158" s="135">
        <f>[10]С2.5!$T$11</f>
        <v>0</v>
      </c>
    </row>
    <row r="159" spans="1:4" hidden="1">
      <c r="B159" s="104">
        <f t="shared" si="0"/>
        <v>2036</v>
      </c>
      <c r="C159" s="135">
        <f>[10]С2.5!$U$11</f>
        <v>0</v>
      </c>
    </row>
    <row r="160" spans="1:4" hidden="1">
      <c r="B160" s="104">
        <f t="shared" si="0"/>
        <v>2037</v>
      </c>
      <c r="C160" s="135">
        <f>[10]С2.5!$V$11</f>
        <v>0</v>
      </c>
    </row>
    <row r="161" spans="2:3" hidden="1">
      <c r="B161" s="104">
        <f t="shared" si="0"/>
        <v>2038</v>
      </c>
      <c r="C161" s="135">
        <f>[10]С2.5!$W$11</f>
        <v>0</v>
      </c>
    </row>
    <row r="162" spans="2:3" hidden="1">
      <c r="B162" s="104">
        <f t="shared" si="0"/>
        <v>2039</v>
      </c>
      <c r="C162" s="135">
        <f>[10]С2.5!$X$11</f>
        <v>0</v>
      </c>
    </row>
    <row r="163" spans="2:3" hidden="1">
      <c r="B163" s="104">
        <f t="shared" si="0"/>
        <v>2040</v>
      </c>
      <c r="C163" s="135">
        <f>[10]С2.5!$Y$11</f>
        <v>0</v>
      </c>
    </row>
    <row r="164" spans="2:3" hidden="1">
      <c r="B164" s="104">
        <f t="shared" si="0"/>
        <v>2041</v>
      </c>
      <c r="C164" s="135">
        <f>[10]С2.5!$Z$11</f>
        <v>0</v>
      </c>
    </row>
    <row r="165" spans="2:3" hidden="1">
      <c r="B165" s="104">
        <f t="shared" si="0"/>
        <v>2042</v>
      </c>
      <c r="C165" s="135">
        <f>[10]С2.5!$AA$11</f>
        <v>0</v>
      </c>
    </row>
    <row r="166" spans="2:3" hidden="1">
      <c r="B166" s="104">
        <f t="shared" si="0"/>
        <v>2043</v>
      </c>
      <c r="C166" s="135">
        <f>[10]С2.5!$AB$11</f>
        <v>0</v>
      </c>
    </row>
    <row r="167" spans="2:3" hidden="1">
      <c r="B167" s="104">
        <f t="shared" si="0"/>
        <v>2044</v>
      </c>
      <c r="C167" s="135">
        <f>[10]С2.5!$AC$11</f>
        <v>0</v>
      </c>
    </row>
    <row r="168" spans="2:3" hidden="1">
      <c r="B168" s="104">
        <f t="shared" si="0"/>
        <v>2045</v>
      </c>
      <c r="C168" s="135">
        <f>[10]С2.5!$AD$11</f>
        <v>0</v>
      </c>
    </row>
    <row r="169" spans="2:3" hidden="1">
      <c r="B169" s="104">
        <f t="shared" si="0"/>
        <v>2046</v>
      </c>
      <c r="C169" s="135">
        <f>[10]С2.5!$AE$11</f>
        <v>0</v>
      </c>
    </row>
    <row r="170" spans="2:3" hidden="1">
      <c r="B170" s="104">
        <f t="shared" si="0"/>
        <v>2047</v>
      </c>
      <c r="C170" s="135">
        <f>[10]С2.5!$AF$11</f>
        <v>0</v>
      </c>
    </row>
    <row r="171" spans="2:3" hidden="1">
      <c r="B171" s="104">
        <f t="shared" si="0"/>
        <v>2048</v>
      </c>
      <c r="C171" s="135">
        <f>[10]С2.5!$AG$11</f>
        <v>0</v>
      </c>
    </row>
    <row r="172" spans="2:3" hidden="1">
      <c r="B172" s="104">
        <f t="shared" si="0"/>
        <v>2049</v>
      </c>
      <c r="C172" s="135">
        <f>[10]С2.5!$AH$11</f>
        <v>0</v>
      </c>
    </row>
    <row r="173" spans="2:3" hidden="1">
      <c r="B173" s="104">
        <f t="shared" si="0"/>
        <v>2050</v>
      </c>
      <c r="C173" s="135">
        <f>[10]С2.5!$AI$11</f>
        <v>0</v>
      </c>
    </row>
    <row r="174" spans="2:3" hidden="1">
      <c r="B174" s="104">
        <f t="shared" si="0"/>
        <v>2051</v>
      </c>
      <c r="C174" s="135">
        <f>[10]С2.5!$AJ$11</f>
        <v>0</v>
      </c>
    </row>
    <row r="175" spans="2:3" hidden="1">
      <c r="B175" s="104">
        <f t="shared" si="0"/>
        <v>2052</v>
      </c>
      <c r="C175" s="135">
        <f>[10]С2.5!$AK$11</f>
        <v>0</v>
      </c>
    </row>
    <row r="176" spans="2:3" hidden="1">
      <c r="B176" s="104">
        <f t="shared" si="0"/>
        <v>2053</v>
      </c>
      <c r="C176" s="135">
        <f>[10]С2.5!$AL$11</f>
        <v>0</v>
      </c>
    </row>
    <row r="177" spans="2:3" hidden="1">
      <c r="B177" s="104">
        <f t="shared" si="0"/>
        <v>2054</v>
      </c>
      <c r="C177" s="135">
        <f>[10]С2.5!$AM$11</f>
        <v>0</v>
      </c>
    </row>
    <row r="178" spans="2:3" hidden="1">
      <c r="B178" s="104">
        <f t="shared" si="0"/>
        <v>2055</v>
      </c>
      <c r="C178" s="135">
        <f>[10]С2.5!$AN$11</f>
        <v>0</v>
      </c>
    </row>
    <row r="179" spans="2:3" hidden="1">
      <c r="B179" s="104">
        <f t="shared" si="0"/>
        <v>2056</v>
      </c>
      <c r="C179" s="135">
        <f>[10]С2.5!$AO$11</f>
        <v>0</v>
      </c>
    </row>
    <row r="180" spans="2:3" hidden="1">
      <c r="B180" s="104">
        <f t="shared" si="0"/>
        <v>2057</v>
      </c>
      <c r="C180" s="135">
        <f>[10]С2.5!$AP$11</f>
        <v>0</v>
      </c>
    </row>
    <row r="181" spans="2:3" hidden="1">
      <c r="B181" s="104">
        <f t="shared" si="0"/>
        <v>2058</v>
      </c>
      <c r="C181" s="135">
        <f>[10]С2.5!$AQ$11</f>
        <v>0</v>
      </c>
    </row>
    <row r="182" spans="2:3" hidden="1">
      <c r="B182" s="104">
        <f t="shared" si="0"/>
        <v>2059</v>
      </c>
      <c r="C182" s="135">
        <f>[10]С2.5!$AR$11</f>
        <v>0</v>
      </c>
    </row>
    <row r="183" spans="2:3" hidden="1">
      <c r="B183" s="104">
        <f t="shared" si="0"/>
        <v>2060</v>
      </c>
      <c r="C183" s="135">
        <f>[10]С2.5!$AS$11</f>
        <v>0</v>
      </c>
    </row>
    <row r="184" spans="2:3" hidden="1">
      <c r="B184" s="104">
        <f t="shared" si="0"/>
        <v>2061</v>
      </c>
      <c r="C184" s="135">
        <f>[10]С2.5!$AT$11</f>
        <v>0</v>
      </c>
    </row>
    <row r="185" spans="2:3" hidden="1">
      <c r="B185" s="104">
        <f t="shared" si="0"/>
        <v>2062</v>
      </c>
      <c r="C185" s="135">
        <f>[10]С2.5!$AU$11</f>
        <v>0</v>
      </c>
    </row>
    <row r="186" spans="2:3" hidden="1">
      <c r="B186" s="104">
        <f t="shared" si="0"/>
        <v>2063</v>
      </c>
      <c r="C186" s="135">
        <f>[10]С2.5!$AV$11</f>
        <v>0</v>
      </c>
    </row>
    <row r="187" spans="2:3" hidden="1">
      <c r="B187" s="104">
        <f t="shared" si="0"/>
        <v>2064</v>
      </c>
      <c r="C187" s="135">
        <f>[10]С2.5!$AW$11</f>
        <v>0</v>
      </c>
    </row>
    <row r="188" spans="2:3" hidden="1">
      <c r="B188" s="104">
        <f t="shared" si="0"/>
        <v>2065</v>
      </c>
      <c r="C188" s="135">
        <f>[10]С2.5!$AX$11</f>
        <v>0</v>
      </c>
    </row>
    <row r="189" spans="2:3" hidden="1">
      <c r="B189" s="104">
        <f t="shared" si="0"/>
        <v>2066</v>
      </c>
      <c r="C189" s="135">
        <f>[10]С2.5!$AY$11</f>
        <v>0</v>
      </c>
    </row>
    <row r="190" spans="2:3" hidden="1">
      <c r="B190" s="104">
        <f t="shared" si="0"/>
        <v>2067</v>
      </c>
      <c r="C190" s="135">
        <f>[10]С2.5!$AZ$11</f>
        <v>0</v>
      </c>
    </row>
    <row r="191" spans="2:3" hidden="1">
      <c r="B191" s="104">
        <f t="shared" si="0"/>
        <v>2068</v>
      </c>
      <c r="C191" s="135">
        <f>[10]С2.5!$BA$11</f>
        <v>0</v>
      </c>
    </row>
    <row r="192" spans="2:3" hidden="1">
      <c r="B192" s="104">
        <f t="shared" si="0"/>
        <v>2069</v>
      </c>
      <c r="C192" s="135">
        <f>[10]С2.5!$BB$11</f>
        <v>0</v>
      </c>
    </row>
    <row r="193" spans="2:3" hidden="1">
      <c r="B193" s="104">
        <f t="shared" si="0"/>
        <v>2070</v>
      </c>
      <c r="C193" s="135">
        <f>[10]С2.5!$BC$11</f>
        <v>0</v>
      </c>
    </row>
    <row r="194" spans="2:3" hidden="1">
      <c r="B194" s="104">
        <f t="shared" si="0"/>
        <v>2071</v>
      </c>
      <c r="C194" s="135">
        <f>[10]С2.5!$BD$11</f>
        <v>0</v>
      </c>
    </row>
    <row r="195" spans="2:3" hidden="1">
      <c r="B195" s="104">
        <f t="shared" si="0"/>
        <v>2072</v>
      </c>
      <c r="C195" s="135">
        <f>[10]С2.5!$BE$11</f>
        <v>0</v>
      </c>
    </row>
    <row r="196" spans="2:3" hidden="1">
      <c r="B196" s="104">
        <f t="shared" si="0"/>
        <v>2073</v>
      </c>
      <c r="C196" s="135">
        <f>[10]С2.5!$BF$11</f>
        <v>0</v>
      </c>
    </row>
    <row r="197" spans="2:3" hidden="1">
      <c r="B197" s="104">
        <f t="shared" si="0"/>
        <v>2074</v>
      </c>
      <c r="C197" s="135">
        <f>[10]С2.5!$BG$11</f>
        <v>0</v>
      </c>
    </row>
    <row r="198" spans="2:3" hidden="1">
      <c r="B198" s="104">
        <f t="shared" si="0"/>
        <v>2075</v>
      </c>
      <c r="C198" s="135">
        <f>[10]С2.5!$BH$11</f>
        <v>0</v>
      </c>
    </row>
    <row r="199" spans="2:3" hidden="1">
      <c r="B199" s="104">
        <f t="shared" si="0"/>
        <v>2076</v>
      </c>
      <c r="C199" s="135">
        <f>[10]С2.5!$BI$11</f>
        <v>0</v>
      </c>
    </row>
    <row r="200" spans="2:3" hidden="1">
      <c r="B200" s="104">
        <f t="shared" si="0"/>
        <v>2077</v>
      </c>
      <c r="C200" s="135">
        <f>[10]С2.5!$BJ$11</f>
        <v>0</v>
      </c>
    </row>
    <row r="201" spans="2:3" hidden="1">
      <c r="B201" s="104">
        <f t="shared" si="0"/>
        <v>2078</v>
      </c>
      <c r="C201" s="135">
        <f>[10]С2.5!$BK$11</f>
        <v>0</v>
      </c>
    </row>
    <row r="202" spans="2:3" hidden="1">
      <c r="B202" s="104">
        <f t="shared" si="0"/>
        <v>2079</v>
      </c>
      <c r="C202" s="135">
        <f>[10]С2.5!$BL$11</f>
        <v>0</v>
      </c>
    </row>
    <row r="203" spans="2:3" hidden="1">
      <c r="B203" s="104">
        <f t="shared" si="0"/>
        <v>2080</v>
      </c>
      <c r="C203" s="135">
        <f>[10]С2.5!$BM$11</f>
        <v>0</v>
      </c>
    </row>
    <row r="204" spans="2:3" hidden="1">
      <c r="B204" s="104">
        <f t="shared" si="0"/>
        <v>2081</v>
      </c>
      <c r="C204" s="135">
        <f>[10]С2.5!$BN$11</f>
        <v>0</v>
      </c>
    </row>
    <row r="205" spans="2:3" hidden="1">
      <c r="B205" s="104">
        <f t="shared" si="0"/>
        <v>2082</v>
      </c>
      <c r="C205" s="135">
        <f>[10]С2.5!$BO$11</f>
        <v>0</v>
      </c>
    </row>
    <row r="206" spans="2:3" hidden="1">
      <c r="B206" s="104">
        <f t="shared" si="0"/>
        <v>2083</v>
      </c>
      <c r="C206" s="135">
        <f>[10]С2.5!$BP$11</f>
        <v>0</v>
      </c>
    </row>
    <row r="207" spans="2:3" hidden="1">
      <c r="B207" s="104">
        <f t="shared" si="0"/>
        <v>2084</v>
      </c>
      <c r="C207" s="135">
        <f>[10]С2.5!$BQ$11</f>
        <v>0</v>
      </c>
    </row>
    <row r="208" spans="2:3" hidden="1">
      <c r="B208" s="104">
        <f t="shared" si="0"/>
        <v>2085</v>
      </c>
      <c r="C208" s="135">
        <f>[10]С2.5!$BR$11</f>
        <v>0</v>
      </c>
    </row>
    <row r="209" spans="2:3" hidden="1">
      <c r="B209" s="104">
        <f t="shared" ref="B209:B223" si="1">B208+1</f>
        <v>2086</v>
      </c>
      <c r="C209" s="135">
        <f>[10]С2.5!$BS$11</f>
        <v>0</v>
      </c>
    </row>
    <row r="210" spans="2:3" hidden="1">
      <c r="B210" s="104">
        <f t="shared" si="1"/>
        <v>2087</v>
      </c>
      <c r="C210" s="135">
        <f>[10]С2.5!$BT$11</f>
        <v>0</v>
      </c>
    </row>
    <row r="211" spans="2:3" hidden="1">
      <c r="B211" s="104">
        <f t="shared" si="1"/>
        <v>2088</v>
      </c>
      <c r="C211" s="135">
        <f>[10]С2.5!$BU$11</f>
        <v>0</v>
      </c>
    </row>
    <row r="212" spans="2:3" hidden="1">
      <c r="B212" s="104">
        <f t="shared" si="1"/>
        <v>2089</v>
      </c>
      <c r="C212" s="135">
        <f>[10]С2.5!$BV$11</f>
        <v>0</v>
      </c>
    </row>
    <row r="213" spans="2:3" hidden="1">
      <c r="B213" s="104">
        <f t="shared" si="1"/>
        <v>2090</v>
      </c>
      <c r="C213" s="135">
        <f>[10]С2.5!$BW$11</f>
        <v>0</v>
      </c>
    </row>
    <row r="214" spans="2:3" hidden="1">
      <c r="B214" s="104">
        <f t="shared" si="1"/>
        <v>2091</v>
      </c>
      <c r="C214" s="135">
        <f>[10]С2.5!$BX$11</f>
        <v>0</v>
      </c>
    </row>
    <row r="215" spans="2:3" hidden="1">
      <c r="B215" s="104">
        <f t="shared" si="1"/>
        <v>2092</v>
      </c>
      <c r="C215" s="135">
        <f>[10]С2.5!$BY$11</f>
        <v>0</v>
      </c>
    </row>
    <row r="216" spans="2:3" hidden="1">
      <c r="B216" s="104">
        <f t="shared" si="1"/>
        <v>2093</v>
      </c>
      <c r="C216" s="135">
        <f>[10]С2.5!$BZ$11</f>
        <v>0</v>
      </c>
    </row>
    <row r="217" spans="2:3" hidden="1">
      <c r="B217" s="104">
        <f t="shared" si="1"/>
        <v>2094</v>
      </c>
      <c r="C217" s="135">
        <f>[10]С2.5!$CA$11</f>
        <v>0</v>
      </c>
    </row>
    <row r="218" spans="2:3" hidden="1">
      <c r="B218" s="104">
        <f t="shared" si="1"/>
        <v>2095</v>
      </c>
      <c r="C218" s="135">
        <f>[10]С2.5!$CB$11</f>
        <v>0</v>
      </c>
    </row>
    <row r="219" spans="2:3" hidden="1">
      <c r="B219" s="104">
        <f t="shared" si="1"/>
        <v>2096</v>
      </c>
      <c r="C219" s="135">
        <f>[10]С2.5!$CC$11</f>
        <v>0</v>
      </c>
    </row>
    <row r="220" spans="2:3" hidden="1">
      <c r="B220" s="104">
        <f t="shared" si="1"/>
        <v>2097</v>
      </c>
      <c r="C220" s="135">
        <f>[10]С2.5!$CD$11</f>
        <v>0</v>
      </c>
    </row>
    <row r="221" spans="2:3" hidden="1">
      <c r="B221" s="104">
        <f t="shared" si="1"/>
        <v>2098</v>
      </c>
      <c r="C221" s="135">
        <f>[10]С2.5!$CE$11</f>
        <v>0</v>
      </c>
    </row>
    <row r="222" spans="2:3" hidden="1">
      <c r="B222" s="104">
        <f t="shared" si="1"/>
        <v>2099</v>
      </c>
      <c r="C222" s="135">
        <f>[10]С2.5!$CF$11</f>
        <v>0</v>
      </c>
    </row>
    <row r="223" spans="2:3" ht="13.5" hidden="1" thickBot="1">
      <c r="B223" s="106">
        <f t="shared" si="1"/>
        <v>2100</v>
      </c>
      <c r="C223" s="136">
        <f>[10]С2.5!$CG$11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9457" r:id="rId3" name="Button 1">
              <controlPr defaultSize="0" print="0" autoFill="0" autoPict="0" macro="[11]!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19458" r:id="rId4" name="Button 2">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3" t="s">
        <v>0</v>
      </c>
      <c r="C1" s="143"/>
    </row>
    <row r="2" spans="1:3">
      <c r="A2" s="1"/>
      <c r="B2" s="3" t="s">
        <v>1</v>
      </c>
      <c r="C2" s="4">
        <v>45317</v>
      </c>
    </row>
    <row r="3" spans="1:3">
      <c r="A3" s="1"/>
      <c r="B3" s="5" t="s">
        <v>2</v>
      </c>
      <c r="C3" s="6"/>
    </row>
    <row r="4" spans="1:3" ht="25.5">
      <c r="A4" s="7"/>
      <c r="B4" s="8" t="str">
        <f>[12]И1!D13</f>
        <v>Субъект Российской Федерации</v>
      </c>
      <c r="C4" s="9" t="str">
        <f>[12]И1!E13</f>
        <v>Новосибирская область</v>
      </c>
    </row>
    <row r="5" spans="1:3" ht="48.6" customHeight="1">
      <c r="A5" s="7"/>
      <c r="B5" s="8" t="str">
        <f>[12]И1!D14</f>
        <v>Тип муниципального образования (выберите из списка)</v>
      </c>
      <c r="C5" s="9" t="str">
        <f>[12]И1!E14</f>
        <v>деревня Баратаевка, Болотнинский муниципальный район</v>
      </c>
    </row>
    <row r="6" spans="1:3">
      <c r="A6" s="7"/>
      <c r="B6" s="8" t="str">
        <f>IF([12]И1!E15="","",[12]И1!D15)</f>
        <v/>
      </c>
      <c r="C6" s="6" t="str">
        <f>IF([12]И1!E15="","",[12]И1!E15)</f>
        <v/>
      </c>
    </row>
    <row r="7" spans="1:3">
      <c r="A7" s="7"/>
      <c r="B7" s="8" t="str">
        <f>[12]И1!D16</f>
        <v>Код ОКТМО</v>
      </c>
      <c r="C7" s="10" t="str">
        <f>[12]И1!E16</f>
        <v>50606405101</v>
      </c>
    </row>
    <row r="8" spans="1:3">
      <c r="A8" s="7"/>
      <c r="B8" s="11" t="str">
        <f>[12]И1!D17</f>
        <v>Система теплоснабжения</v>
      </c>
      <c r="C8" s="12">
        <f>[12]И1!E17</f>
        <v>0</v>
      </c>
    </row>
    <row r="9" spans="1:3">
      <c r="A9" s="7"/>
      <c r="B9" s="8" t="str">
        <f>[12]И1!D8</f>
        <v>Период регулирования (i)-й</v>
      </c>
      <c r="C9" s="13">
        <f>[12]И1!E8</f>
        <v>2024</v>
      </c>
    </row>
    <row r="10" spans="1:3">
      <c r="A10" s="7"/>
      <c r="B10" s="8" t="str">
        <f>[12]И1!D9</f>
        <v>Период регулирования (i-1)-й</v>
      </c>
      <c r="C10" s="13">
        <f>[12]И1!E9</f>
        <v>2023</v>
      </c>
    </row>
    <row r="11" spans="1:3">
      <c r="A11" s="7"/>
      <c r="B11" s="8" t="str">
        <f>[12]И1!D10</f>
        <v>Период регулирования (i-2)-й</v>
      </c>
      <c r="C11" s="13">
        <f>[12]И1!E10</f>
        <v>2022</v>
      </c>
    </row>
    <row r="12" spans="1:3">
      <c r="A12" s="7"/>
      <c r="B12" s="8" t="str">
        <f>[12]И1!D11</f>
        <v>Базовый год (б)</v>
      </c>
      <c r="C12" s="13">
        <f>[12]И1!E11</f>
        <v>2019</v>
      </c>
    </row>
    <row r="13" spans="1:3">
      <c r="A13" s="7"/>
      <c r="B13" s="8" t="str">
        <f>[12]И1!D18</f>
        <v>Вид топлива, использование которого преобладает в системе теплоснабжения</v>
      </c>
      <c r="C13" s="14" t="str">
        <f>[12]И1!E18</f>
        <v>Газ</v>
      </c>
    </row>
    <row r="14" spans="1:3" ht="26.25" customHeight="1" thickBot="1">
      <c r="A14" s="142" t="s">
        <v>3</v>
      </c>
      <c r="B14" s="142"/>
      <c r="C14" s="142"/>
    </row>
    <row r="15" spans="1:3">
      <c r="A15" s="15" t="s">
        <v>4</v>
      </c>
      <c r="B15" s="16" t="s">
        <v>5</v>
      </c>
      <c r="C15" s="17" t="s">
        <v>6</v>
      </c>
    </row>
    <row r="16" spans="1:3">
      <c r="A16" s="18">
        <v>1</v>
      </c>
      <c r="B16" s="19">
        <v>2</v>
      </c>
      <c r="C16" s="20">
        <v>3</v>
      </c>
    </row>
    <row r="17" spans="1:3">
      <c r="A17" s="21">
        <v>1</v>
      </c>
      <c r="B17" s="22" t="s">
        <v>7</v>
      </c>
      <c r="C17" s="23">
        <f>SUM(C18:C23)</f>
        <v>2938.1475319626447</v>
      </c>
    </row>
    <row r="18" spans="1:3" ht="42.75">
      <c r="A18" s="21" t="s">
        <v>8</v>
      </c>
      <c r="B18" s="24" t="s">
        <v>9</v>
      </c>
      <c r="C18" s="25">
        <f>[12]С1!F12</f>
        <v>994.35037159416254</v>
      </c>
    </row>
    <row r="19" spans="1:3" ht="42.75">
      <c r="A19" s="21" t="s">
        <v>10</v>
      </c>
      <c r="B19" s="24" t="s">
        <v>11</v>
      </c>
      <c r="C19" s="25">
        <f>[12]С2!F12</f>
        <v>1337.7636293971889</v>
      </c>
    </row>
    <row r="20" spans="1:3" ht="30">
      <c r="A20" s="21" t="s">
        <v>12</v>
      </c>
      <c r="B20" s="24" t="s">
        <v>13</v>
      </c>
      <c r="C20" s="25">
        <f>[12]С3!F12</f>
        <v>317.76353663274273</v>
      </c>
    </row>
    <row r="21" spans="1:3" ht="42.75">
      <c r="A21" s="21" t="s">
        <v>14</v>
      </c>
      <c r="B21" s="24" t="s">
        <v>15</v>
      </c>
      <c r="C21" s="25">
        <f>[12]С4!F12</f>
        <v>230.65925841771428</v>
      </c>
    </row>
    <row r="22" spans="1:3" ht="33" customHeight="1">
      <c r="A22" s="21" t="s">
        <v>16</v>
      </c>
      <c r="B22" s="24" t="s">
        <v>17</v>
      </c>
      <c r="C22" s="25">
        <f>[12]С5!F12</f>
        <v>57.61073592083617</v>
      </c>
    </row>
    <row r="23" spans="1:3" ht="45.75" customHeight="1" thickBot="1">
      <c r="A23" s="26" t="s">
        <v>18</v>
      </c>
      <c r="B23" s="140" t="s">
        <v>19</v>
      </c>
      <c r="C23" s="27">
        <f>[12]С6!F12</f>
        <v>0</v>
      </c>
    </row>
    <row r="24" spans="1:3" ht="13.5" thickBot="1">
      <c r="A24" s="1"/>
      <c r="C24" s="6"/>
    </row>
    <row r="25" spans="1:3">
      <c r="A25" s="15" t="s">
        <v>4</v>
      </c>
      <c r="B25" s="28" t="s">
        <v>5</v>
      </c>
      <c r="C25" s="16" t="s">
        <v>6</v>
      </c>
    </row>
    <row r="26" spans="1:3">
      <c r="A26" s="18">
        <v>1</v>
      </c>
      <c r="B26" s="29">
        <v>2</v>
      </c>
      <c r="C26" s="30">
        <v>3</v>
      </c>
    </row>
    <row r="27" spans="1:3" ht="39" customHeight="1">
      <c r="A27" s="21">
        <v>1</v>
      </c>
      <c r="B27" s="144" t="s">
        <v>20</v>
      </c>
      <c r="C27" s="144"/>
    </row>
    <row r="28" spans="1:3">
      <c r="A28" s="21" t="s">
        <v>8</v>
      </c>
      <c r="B28" s="31" t="s">
        <v>21</v>
      </c>
      <c r="C28" s="32">
        <f>[12]С1.1!E16</f>
        <v>7900</v>
      </c>
    </row>
    <row r="29" spans="1:3" ht="42.75">
      <c r="A29" s="21" t="s">
        <v>10</v>
      </c>
      <c r="B29" s="31" t="s">
        <v>22</v>
      </c>
      <c r="C29" s="32">
        <f>[12]С1.1!E32</f>
        <v>5751.37</v>
      </c>
    </row>
    <row r="30" spans="1:3" ht="38.25">
      <c r="A30" s="21" t="s">
        <v>23</v>
      </c>
      <c r="B30" s="31" t="s">
        <v>24</v>
      </c>
      <c r="C30" s="33" t="str">
        <f>[12]С1.1!E25</f>
        <v>ООО "Газпром газораспределение Томск"</v>
      </c>
    </row>
    <row r="31" spans="1:3" ht="38.25">
      <c r="A31" s="21" t="s">
        <v>25</v>
      </c>
      <c r="B31" s="31" t="str">
        <f>[12]С1.1!D26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[12]С1.1!E26</f>
        <v>4699.5</v>
      </c>
    </row>
    <row r="32" spans="1:3" ht="25.5">
      <c r="A32" s="21" t="s">
        <v>26</v>
      </c>
      <c r="B32" s="31" t="str">
        <f>[12]С1.1!D27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[12]С1.1!E27</f>
        <v>795.43</v>
      </c>
    </row>
    <row r="33" spans="1:3" ht="25.5">
      <c r="A33" s="21" t="s">
        <v>27</v>
      </c>
      <c r="B33" s="31" t="str">
        <f>[12]С1.1!D28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[12]С1.1!E28</f>
        <v>136.54</v>
      </c>
    </row>
    <row r="34" spans="1:3" ht="38.25">
      <c r="A34" s="21" t="s">
        <v>28</v>
      </c>
      <c r="B34" s="31" t="str">
        <f>[12]С1.1!D29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[12]С1.1!E29</f>
        <v>119.9</v>
      </c>
    </row>
    <row r="35" spans="1:3" ht="17.25">
      <c r="A35" s="21" t="s">
        <v>12</v>
      </c>
      <c r="B35" s="31" t="s">
        <v>29</v>
      </c>
      <c r="C35" s="34">
        <f>[12]С1.1!E20</f>
        <v>8.5000000000000006E-2</v>
      </c>
    </row>
    <row r="36" spans="1:3" ht="17.25">
      <c r="A36" s="21" t="s">
        <v>14</v>
      </c>
      <c r="B36" s="31" t="s">
        <v>30</v>
      </c>
      <c r="C36" s="34">
        <f>[12]С1.1!E21</f>
        <v>0.112</v>
      </c>
    </row>
    <row r="37" spans="1:3" ht="30">
      <c r="A37" s="21" t="s">
        <v>16</v>
      </c>
      <c r="B37" s="35" t="s">
        <v>31</v>
      </c>
      <c r="C37" s="36">
        <f>[12]С1!F13</f>
        <v>156.1</v>
      </c>
    </row>
    <row r="38" spans="1:3">
      <c r="A38" s="21" t="s">
        <v>18</v>
      </c>
      <c r="B38" s="35" t="s">
        <v>32</v>
      </c>
      <c r="C38" s="37">
        <f>[12]С1!F16</f>
        <v>7000</v>
      </c>
    </row>
    <row r="39" spans="1:3" ht="14.25">
      <c r="A39" s="38" t="s">
        <v>33</v>
      </c>
      <c r="B39" s="39" t="s">
        <v>34</v>
      </c>
      <c r="C39" s="40">
        <f>[12]С1!F17</f>
        <v>1.1285714285714286</v>
      </c>
    </row>
    <row r="40" spans="1:3" ht="15.75">
      <c r="A40" s="41" t="s">
        <v>35</v>
      </c>
      <c r="B40" s="42" t="s">
        <v>36</v>
      </c>
      <c r="C40" s="40">
        <f>[12]С1!F20</f>
        <v>22.307053372799995</v>
      </c>
    </row>
    <row r="41" spans="1:3" ht="15.75">
      <c r="A41" s="41" t="s">
        <v>37</v>
      </c>
      <c r="B41" s="43" t="s">
        <v>38</v>
      </c>
      <c r="C41" s="40">
        <f>[12]С1!F21</f>
        <v>21.531904799999996</v>
      </c>
    </row>
    <row r="42" spans="1:3" ht="14.25">
      <c r="A42" s="41" t="s">
        <v>39</v>
      </c>
      <c r="B42" s="44" t="s">
        <v>40</v>
      </c>
      <c r="C42" s="40">
        <f>[12]С1!F22</f>
        <v>1.036</v>
      </c>
    </row>
    <row r="43" spans="1:3" ht="53.25" thickBot="1">
      <c r="A43" s="26" t="s">
        <v>41</v>
      </c>
      <c r="B43" s="45" t="s">
        <v>42</v>
      </c>
      <c r="C43" s="46" t="str">
        <f>[12]С1!F23</f>
        <v>-</v>
      </c>
    </row>
    <row r="44" spans="1:3" ht="13.5" thickBot="1">
      <c r="A44" s="47"/>
      <c r="B44" s="48"/>
      <c r="C44" s="14"/>
    </row>
    <row r="45" spans="1:3" ht="41.25" customHeight="1">
      <c r="A45" s="49" t="s">
        <v>43</v>
      </c>
      <c r="B45" s="145" t="s">
        <v>44</v>
      </c>
      <c r="C45" s="145"/>
    </row>
    <row r="46" spans="1:3" ht="25.5">
      <c r="A46" s="21" t="s">
        <v>45</v>
      </c>
      <c r="B46" s="35" t="s">
        <v>46</v>
      </c>
      <c r="C46" s="50" t="str">
        <f>[12]С2.1!E12</f>
        <v>V</v>
      </c>
    </row>
    <row r="47" spans="1:3" ht="25.5">
      <c r="A47" s="21" t="s">
        <v>47</v>
      </c>
      <c r="B47" s="31" t="s">
        <v>48</v>
      </c>
      <c r="C47" s="50" t="str">
        <f>[12]С2.1!E13</f>
        <v>6 и менее баллов</v>
      </c>
    </row>
    <row r="48" spans="1:3" ht="25.5">
      <c r="A48" s="21" t="s">
        <v>49</v>
      </c>
      <c r="B48" s="31" t="s">
        <v>50</v>
      </c>
      <c r="C48" s="50" t="str">
        <f>[12]С2.1!E14</f>
        <v>от 200 до 500</v>
      </c>
    </row>
    <row r="49" spans="1:3" ht="25.5">
      <c r="A49" s="21" t="s">
        <v>51</v>
      </c>
      <c r="B49" s="31" t="s">
        <v>52</v>
      </c>
      <c r="C49" s="51" t="str">
        <f>[12]С2.1!E15</f>
        <v>нет</v>
      </c>
    </row>
    <row r="50" spans="1:3" ht="30">
      <c r="A50" s="21" t="s">
        <v>53</v>
      </c>
      <c r="B50" s="31" t="s">
        <v>54</v>
      </c>
      <c r="C50" s="32">
        <f>[12]С2!F18</f>
        <v>35106.652004551666</v>
      </c>
    </row>
    <row r="51" spans="1:3" ht="30">
      <c r="A51" s="21" t="s">
        <v>55</v>
      </c>
      <c r="B51" s="52" t="s">
        <v>56</v>
      </c>
      <c r="C51" s="32">
        <f>IF([12]С2!F19&gt;0,[12]С2!F19,[12]С2!F20)</f>
        <v>23441.524932855718</v>
      </c>
    </row>
    <row r="52" spans="1:3" ht="25.5">
      <c r="A52" s="21" t="s">
        <v>57</v>
      </c>
      <c r="B52" s="53" t="s">
        <v>58</v>
      </c>
      <c r="C52" s="32">
        <f>[12]С2.1!E20</f>
        <v>-38</v>
      </c>
    </row>
    <row r="53" spans="1:3" ht="25.5">
      <c r="A53" s="21" t="s">
        <v>59</v>
      </c>
      <c r="B53" s="53" t="s">
        <v>60</v>
      </c>
      <c r="C53" s="32" t="str">
        <f>[12]С2.1!E23</f>
        <v>нет</v>
      </c>
    </row>
    <row r="54" spans="1:3" ht="38.25">
      <c r="A54" s="21" t="s">
        <v>61</v>
      </c>
      <c r="B54" s="54" t="s">
        <v>62</v>
      </c>
      <c r="C54" s="32">
        <f>[12]С2.2!E10</f>
        <v>1287</v>
      </c>
    </row>
    <row r="55" spans="1:3" ht="25.5">
      <c r="A55" s="21" t="s">
        <v>63</v>
      </c>
      <c r="B55" s="55" t="s">
        <v>64</v>
      </c>
      <c r="C55" s="32">
        <f>[12]С2.2!E12</f>
        <v>5.97</v>
      </c>
    </row>
    <row r="56" spans="1:3" ht="52.5">
      <c r="A56" s="21" t="s">
        <v>65</v>
      </c>
      <c r="B56" s="56" t="s">
        <v>66</v>
      </c>
      <c r="C56" s="32">
        <f>[12]С2.2!E13</f>
        <v>1</v>
      </c>
    </row>
    <row r="57" spans="1:3" ht="27.75">
      <c r="A57" s="21" t="s">
        <v>67</v>
      </c>
      <c r="B57" s="55" t="s">
        <v>68</v>
      </c>
      <c r="C57" s="32">
        <f>[12]С2.2!E14</f>
        <v>12104</v>
      </c>
    </row>
    <row r="58" spans="1:3" ht="25.5">
      <c r="A58" s="21" t="s">
        <v>69</v>
      </c>
      <c r="B58" s="56" t="s">
        <v>70</v>
      </c>
      <c r="C58" s="34">
        <f>[12]С2.2!E15</f>
        <v>4.8000000000000001E-2</v>
      </c>
    </row>
    <row r="59" spans="1:3">
      <c r="A59" s="21" t="s">
        <v>71</v>
      </c>
      <c r="B59" s="56" t="s">
        <v>72</v>
      </c>
      <c r="C59" s="57">
        <f>[12]С2.2!E16</f>
        <v>1</v>
      </c>
    </row>
    <row r="60" spans="1:3" ht="15.75">
      <c r="A60" s="21" t="s">
        <v>73</v>
      </c>
      <c r="B60" s="58" t="s">
        <v>74</v>
      </c>
      <c r="C60" s="32">
        <f>[12]С2!F21</f>
        <v>1</v>
      </c>
    </row>
    <row r="61" spans="1:3" ht="30">
      <c r="A61" s="59" t="s">
        <v>75</v>
      </c>
      <c r="B61" s="31" t="s">
        <v>76</v>
      </c>
      <c r="C61" s="32">
        <f>[12]С2!F13</f>
        <v>105136.23090983224</v>
      </c>
    </row>
    <row r="62" spans="1:3" ht="30">
      <c r="A62" s="59" t="s">
        <v>77</v>
      </c>
      <c r="B62" s="60" t="s">
        <v>78</v>
      </c>
      <c r="C62" s="32">
        <f>[12]С2!F14</f>
        <v>64899</v>
      </c>
    </row>
    <row r="63" spans="1:3" ht="15.75">
      <c r="A63" s="59" t="s">
        <v>79</v>
      </c>
      <c r="B63" s="60" t="s">
        <v>80</v>
      </c>
      <c r="C63" s="40">
        <f>[12]С2!F15</f>
        <v>1.071</v>
      </c>
    </row>
    <row r="64" spans="1:3" ht="15.75">
      <c r="A64" s="59" t="s">
        <v>81</v>
      </c>
      <c r="B64" s="60" t="s">
        <v>82</v>
      </c>
      <c r="C64" s="61">
        <f>[12]С2!F16</f>
        <v>1</v>
      </c>
    </row>
    <row r="65" spans="1:3" ht="17.25">
      <c r="A65" s="59" t="s">
        <v>83</v>
      </c>
      <c r="B65" s="60" t="s">
        <v>84</v>
      </c>
      <c r="C65" s="62">
        <f>[12]С2!F17</f>
        <v>1.01</v>
      </c>
    </row>
    <row r="66" spans="1:3" s="65" customFormat="1" ht="14.25">
      <c r="A66" s="59" t="s">
        <v>85</v>
      </c>
      <c r="B66" s="63" t="s">
        <v>86</v>
      </c>
      <c r="C66" s="64">
        <f>[12]С2!F35</f>
        <v>10</v>
      </c>
    </row>
    <row r="67" spans="1:3" ht="30">
      <c r="A67" s="59" t="s">
        <v>87</v>
      </c>
      <c r="B67" s="66" t="s">
        <v>88</v>
      </c>
      <c r="C67" s="32">
        <f>[12]С2!F28</f>
        <v>222.28511285714538</v>
      </c>
    </row>
    <row r="68" spans="1:3" ht="17.25">
      <c r="A68" s="59" t="s">
        <v>89</v>
      </c>
      <c r="B68" s="52" t="s">
        <v>90</v>
      </c>
      <c r="C68" s="40">
        <f>[12]С2!F29</f>
        <v>0.29684983999999998</v>
      </c>
    </row>
    <row r="69" spans="1:3" ht="17.25">
      <c r="A69" s="59" t="s">
        <v>91</v>
      </c>
      <c r="B69" s="58" t="s">
        <v>92</v>
      </c>
      <c r="C69" s="64">
        <f>[12]С2!F30</f>
        <v>500</v>
      </c>
    </row>
    <row r="70" spans="1:3" ht="42.75">
      <c r="A70" s="59" t="s">
        <v>93</v>
      </c>
      <c r="B70" s="31" t="s">
        <v>94</v>
      </c>
      <c r="C70" s="32">
        <f>[12]С2!F22</f>
        <v>39638.324046481182</v>
      </c>
    </row>
    <row r="71" spans="1:3" ht="30">
      <c r="A71" s="59" t="s">
        <v>95</v>
      </c>
      <c r="B71" s="60" t="s">
        <v>96</v>
      </c>
      <c r="C71" s="32">
        <f>[12]С2!F23</f>
        <v>21</v>
      </c>
    </row>
    <row r="72" spans="1:3" ht="30">
      <c r="A72" s="59" t="s">
        <v>97</v>
      </c>
      <c r="B72" s="52" t="s">
        <v>98</v>
      </c>
      <c r="C72" s="32">
        <f>[12]С2.1!E28</f>
        <v>14036.09995</v>
      </c>
    </row>
    <row r="73" spans="1:3" ht="38.25">
      <c r="A73" s="59" t="s">
        <v>99</v>
      </c>
      <c r="B73" s="67" t="s">
        <v>100</v>
      </c>
      <c r="C73" s="51">
        <f>[12]С2.3!E21</f>
        <v>0</v>
      </c>
    </row>
    <row r="74" spans="1:3" ht="25.5">
      <c r="A74" s="59" t="s">
        <v>101</v>
      </c>
      <c r="B74" s="68" t="s">
        <v>102</v>
      </c>
      <c r="C74" s="69">
        <f>[12]С2.3!E11</f>
        <v>5.45</v>
      </c>
    </row>
    <row r="75" spans="1:3" ht="25.5">
      <c r="A75" s="59" t="s">
        <v>103</v>
      </c>
      <c r="B75" s="68" t="s">
        <v>104</v>
      </c>
      <c r="C75" s="64">
        <f>[12]С2.3!E13</f>
        <v>300</v>
      </c>
    </row>
    <row r="76" spans="1:3" ht="25.5">
      <c r="A76" s="59" t="s">
        <v>105</v>
      </c>
      <c r="B76" s="67" t="s">
        <v>106</v>
      </c>
      <c r="C76" s="70">
        <f>IF([12]С2.3!E22&gt;0,[12]С2.3!E22,[12]С2.3!E14)</f>
        <v>61211</v>
      </c>
    </row>
    <row r="77" spans="1:3" ht="38.25">
      <c r="A77" s="59" t="s">
        <v>107</v>
      </c>
      <c r="B77" s="67" t="s">
        <v>108</v>
      </c>
      <c r="C77" s="70">
        <f>IF([12]С2.3!E23&gt;0,[12]С2.3!E23,[12]С2.3!E15)</f>
        <v>45675</v>
      </c>
    </row>
    <row r="78" spans="1:3" ht="30">
      <c r="A78" s="59" t="s">
        <v>109</v>
      </c>
      <c r="B78" s="52" t="s">
        <v>110</v>
      </c>
      <c r="C78" s="32">
        <f>[12]С2.1!E29</f>
        <v>9518.3274000000001</v>
      </c>
    </row>
    <row r="79" spans="1:3" ht="38.25">
      <c r="A79" s="59" t="s">
        <v>111</v>
      </c>
      <c r="B79" s="67" t="s">
        <v>112</v>
      </c>
      <c r="C79" s="51">
        <f>[12]С2.3!E25</f>
        <v>0</v>
      </c>
    </row>
    <row r="80" spans="1:3" ht="25.5">
      <c r="A80" s="59" t="s">
        <v>113</v>
      </c>
      <c r="B80" s="68" t="s">
        <v>114</v>
      </c>
      <c r="C80" s="69">
        <f>[12]С2.3!E12</f>
        <v>0.2</v>
      </c>
    </row>
    <row r="81" spans="1:3" ht="25.5">
      <c r="A81" s="59" t="s">
        <v>115</v>
      </c>
      <c r="B81" s="68" t="s">
        <v>104</v>
      </c>
      <c r="C81" s="64">
        <f>[12]С2.3!E13</f>
        <v>300</v>
      </c>
    </row>
    <row r="82" spans="1:3" ht="25.5">
      <c r="A82" s="59" t="s">
        <v>116</v>
      </c>
      <c r="B82" s="71" t="s">
        <v>117</v>
      </c>
      <c r="C82" s="70">
        <f>IF([12]С2.3!E26&gt;0,[12]С2.3!E26,[12]С2.3!E16)</f>
        <v>65637</v>
      </c>
    </row>
    <row r="83" spans="1:3" ht="38.25">
      <c r="A83" s="59" t="s">
        <v>118</v>
      </c>
      <c r="B83" s="71" t="s">
        <v>119</v>
      </c>
      <c r="C83" s="70">
        <f>IF([12]С2.3!E27&gt;0,[12]С2.3!E27,[12]С2.3!E17)</f>
        <v>31684</v>
      </c>
    </row>
    <row r="84" spans="1:3" ht="30">
      <c r="A84" s="59" t="s">
        <v>120</v>
      </c>
      <c r="B84" s="60" t="s">
        <v>121</v>
      </c>
      <c r="C84" s="70">
        <f>IF([12]С2.1!E19&gt;0,[12]С2.1!E19,[12]С2!F26)</f>
        <v>2892</v>
      </c>
    </row>
    <row r="85" spans="1:3" ht="17.25">
      <c r="A85" s="59" t="s">
        <v>122</v>
      </c>
      <c r="B85" s="31" t="s">
        <v>123</v>
      </c>
      <c r="C85" s="34">
        <f>[12]С2!F31</f>
        <v>9.5962865259740182E-2</v>
      </c>
    </row>
    <row r="86" spans="1:3" ht="30">
      <c r="A86" s="59" t="s">
        <v>124</v>
      </c>
      <c r="B86" s="52" t="s">
        <v>125</v>
      </c>
      <c r="C86" s="72">
        <f>[12]С2!F32</f>
        <v>8.4029304029304031E-2</v>
      </c>
    </row>
    <row r="87" spans="1:3" ht="17.25">
      <c r="A87" s="59" t="s">
        <v>126</v>
      </c>
      <c r="B87" s="73" t="s">
        <v>127</v>
      </c>
      <c r="C87" s="34">
        <f>[12]С2!F33</f>
        <v>0.13880000000000001</v>
      </c>
    </row>
    <row r="88" spans="1:3" s="65" customFormat="1" ht="18" thickBot="1">
      <c r="A88" s="74" t="s">
        <v>128</v>
      </c>
      <c r="B88" s="75" t="s">
        <v>129</v>
      </c>
      <c r="C88" s="76">
        <f>[12]С2!F34</f>
        <v>0.12640000000000001</v>
      </c>
    </row>
    <row r="89" spans="1:3" ht="13.5" thickBot="1">
      <c r="A89" s="47"/>
      <c r="B89" s="48"/>
      <c r="C89" s="14"/>
    </row>
    <row r="90" spans="1:3" s="65" customFormat="1" ht="30" customHeight="1">
      <c r="A90" s="77" t="s">
        <v>130</v>
      </c>
      <c r="B90" s="145" t="s">
        <v>131</v>
      </c>
      <c r="C90" s="145"/>
    </row>
    <row r="91" spans="1:3" s="65" customFormat="1" ht="30">
      <c r="A91" s="78" t="s">
        <v>132</v>
      </c>
      <c r="B91" s="31" t="s">
        <v>133</v>
      </c>
      <c r="C91" s="32">
        <f>[12]С3!F14</f>
        <v>4203.1296622562686</v>
      </c>
    </row>
    <row r="92" spans="1:3" s="65" customFormat="1" ht="42.75">
      <c r="A92" s="78" t="s">
        <v>134</v>
      </c>
      <c r="B92" s="52" t="s">
        <v>135</v>
      </c>
      <c r="C92" s="79">
        <f>[12]С3!F15</f>
        <v>0.2</v>
      </c>
    </row>
    <row r="93" spans="1:3" s="65" customFormat="1" ht="14.25">
      <c r="A93" s="78" t="s">
        <v>136</v>
      </c>
      <c r="B93" s="80" t="s">
        <v>137</v>
      </c>
      <c r="C93" s="64">
        <f>[12]С3!F18</f>
        <v>15</v>
      </c>
    </row>
    <row r="94" spans="1:3" s="65" customFormat="1" ht="17.25">
      <c r="A94" s="78" t="s">
        <v>138</v>
      </c>
      <c r="B94" s="31" t="s">
        <v>139</v>
      </c>
      <c r="C94" s="32">
        <f>[12]С3!F19</f>
        <v>2638.2577020926874</v>
      </c>
    </row>
    <row r="95" spans="1:3" s="65" customFormat="1" ht="55.5">
      <c r="A95" s="78" t="s">
        <v>140</v>
      </c>
      <c r="B95" s="52" t="s">
        <v>141</v>
      </c>
      <c r="C95" s="81">
        <f>[12]С3!F20</f>
        <v>2.1999999999999999E-2</v>
      </c>
    </row>
    <row r="96" spans="1:3" s="65" customFormat="1" ht="14.25">
      <c r="A96" s="78" t="s">
        <v>142</v>
      </c>
      <c r="B96" s="58" t="s">
        <v>86</v>
      </c>
      <c r="C96" s="64">
        <f>[12]С3!F21</f>
        <v>10</v>
      </c>
    </row>
    <row r="97" spans="1:3" s="65" customFormat="1" ht="17.25">
      <c r="A97" s="78" t="s">
        <v>143</v>
      </c>
      <c r="B97" s="31" t="s">
        <v>144</v>
      </c>
      <c r="C97" s="32">
        <f>[12]С3!F22</f>
        <v>0.6668553385714362</v>
      </c>
    </row>
    <row r="98" spans="1:3" s="65" customFormat="1" ht="55.5">
      <c r="A98" s="78" t="s">
        <v>145</v>
      </c>
      <c r="B98" s="52" t="s">
        <v>146</v>
      </c>
      <c r="C98" s="81">
        <f>[12]С3!F23</f>
        <v>3.0000000000000001E-3</v>
      </c>
    </row>
    <row r="99" spans="1:3" s="65" customFormat="1" ht="30.75" thickBot="1">
      <c r="A99" s="82" t="s">
        <v>147</v>
      </c>
      <c r="B99" s="83" t="s">
        <v>88</v>
      </c>
      <c r="C99" s="84">
        <f>[12]С3!F24</f>
        <v>222.28511285714538</v>
      </c>
    </row>
    <row r="100" spans="1:3" ht="13.5" thickBot="1">
      <c r="A100" s="47"/>
      <c r="B100" s="48"/>
      <c r="C100" s="14"/>
    </row>
    <row r="101" spans="1:3" ht="39" customHeight="1">
      <c r="A101" s="85" t="s">
        <v>148</v>
      </c>
      <c r="B101" s="145" t="s">
        <v>149</v>
      </c>
      <c r="C101" s="145"/>
    </row>
    <row r="102" spans="1:3" ht="30">
      <c r="A102" s="59" t="s">
        <v>150</v>
      </c>
      <c r="B102" s="31" t="s">
        <v>151</v>
      </c>
      <c r="C102" s="32">
        <f>[12]С4!F16</f>
        <v>832.33500000000004</v>
      </c>
    </row>
    <row r="103" spans="1:3" ht="30">
      <c r="A103" s="59" t="s">
        <v>152</v>
      </c>
      <c r="B103" s="58" t="s">
        <v>153</v>
      </c>
      <c r="C103" s="32">
        <f>[12]С4!F17</f>
        <v>43385</v>
      </c>
    </row>
    <row r="104" spans="1:3" ht="17.25">
      <c r="A104" s="59" t="s">
        <v>154</v>
      </c>
      <c r="B104" s="58" t="s">
        <v>155</v>
      </c>
      <c r="C104" s="40">
        <f>[12]С4!F18</f>
        <v>1.4999999999999999E-2</v>
      </c>
    </row>
    <row r="105" spans="1:3" ht="30">
      <c r="A105" s="59" t="s">
        <v>156</v>
      </c>
      <c r="B105" s="58" t="s">
        <v>157</v>
      </c>
      <c r="C105" s="32">
        <f>[12]С4!F19</f>
        <v>12104</v>
      </c>
    </row>
    <row r="106" spans="1:3" ht="31.5">
      <c r="A106" s="59" t="s">
        <v>158</v>
      </c>
      <c r="B106" s="58" t="s">
        <v>159</v>
      </c>
      <c r="C106" s="40">
        <f>[12]С4!F20</f>
        <v>1.4999999999999999E-2</v>
      </c>
    </row>
    <row r="107" spans="1:3" ht="30">
      <c r="A107" s="59" t="s">
        <v>160</v>
      </c>
      <c r="B107" s="31" t="s">
        <v>161</v>
      </c>
      <c r="C107" s="32">
        <f>[12]С4!F21</f>
        <v>1221.9019409821399</v>
      </c>
    </row>
    <row r="108" spans="1:3" ht="45.6" customHeight="1">
      <c r="A108" s="59" t="s">
        <v>162</v>
      </c>
      <c r="B108" s="52" t="s">
        <v>163</v>
      </c>
      <c r="C108" s="33" t="str">
        <f>IF([12]С4.2!F8="да",[12]С4.2!D21,[12]С4.2!D15)</f>
        <v>АО "Новосибирскэнергосбыт"</v>
      </c>
    </row>
    <row r="109" spans="1:3" ht="68.25" customHeight="1">
      <c r="A109" s="59" t="s">
        <v>164</v>
      </c>
      <c r="B109" s="52" t="s">
        <v>165</v>
      </c>
      <c r="C109" s="32">
        <f>[12]С4!F22</f>
        <v>3.6112641666666665</v>
      </c>
    </row>
    <row r="110" spans="1:3" ht="30">
      <c r="A110" s="59" t="s">
        <v>166</v>
      </c>
      <c r="B110" s="58" t="s">
        <v>167</v>
      </c>
      <c r="C110" s="64">
        <f>[12]С4!F23</f>
        <v>110</v>
      </c>
    </row>
    <row r="111" spans="1:3" ht="14.25">
      <c r="A111" s="59" t="s">
        <v>168</v>
      </c>
      <c r="B111" s="52" t="s">
        <v>169</v>
      </c>
      <c r="C111" s="32">
        <f>[12]С4!F24</f>
        <v>8497.1999999999989</v>
      </c>
    </row>
    <row r="112" spans="1:3" ht="14.25">
      <c r="A112" s="59" t="s">
        <v>170</v>
      </c>
      <c r="B112" s="58" t="s">
        <v>171</v>
      </c>
      <c r="C112" s="40">
        <f>[12]С4!F25</f>
        <v>0.36199999999999999</v>
      </c>
    </row>
    <row r="113" spans="1:3" ht="17.25">
      <c r="A113" s="59" t="s">
        <v>172</v>
      </c>
      <c r="B113" s="31" t="s">
        <v>173</v>
      </c>
      <c r="C113" s="32">
        <f>[12]С4!F26</f>
        <v>40.123830000000005</v>
      </c>
    </row>
    <row r="114" spans="1:3" ht="25.5">
      <c r="A114" s="59" t="s">
        <v>174</v>
      </c>
      <c r="B114" s="52" t="s">
        <v>100</v>
      </c>
      <c r="C114" s="33">
        <f>[12]С4.3!E16</f>
        <v>0</v>
      </c>
    </row>
    <row r="115" spans="1:3" ht="25.5">
      <c r="A115" s="59" t="s">
        <v>175</v>
      </c>
      <c r="B115" s="52" t="s">
        <v>176</v>
      </c>
      <c r="C115" s="32">
        <f>[12]С4.3!E17</f>
        <v>18.059999999999999</v>
      </c>
    </row>
    <row r="116" spans="1:3" ht="38.25">
      <c r="A116" s="59" t="s">
        <v>177</v>
      </c>
      <c r="B116" s="52" t="s">
        <v>112</v>
      </c>
      <c r="C116" s="33">
        <f>[12]С4.3!E18</f>
        <v>0</v>
      </c>
    </row>
    <row r="117" spans="1:3">
      <c r="A117" s="59" t="s">
        <v>178</v>
      </c>
      <c r="B117" s="52" t="s">
        <v>179</v>
      </c>
      <c r="C117" s="32">
        <f>[12]С4.3!E19</f>
        <v>71.67</v>
      </c>
    </row>
    <row r="118" spans="1:3">
      <c r="A118" s="59" t="s">
        <v>180</v>
      </c>
      <c r="B118" s="58" t="s">
        <v>181</v>
      </c>
      <c r="C118" s="64">
        <f>[12]С4.3!E11</f>
        <v>1871</v>
      </c>
    </row>
    <row r="119" spans="1:3">
      <c r="A119" s="59" t="s">
        <v>182</v>
      </c>
      <c r="B119" s="58" t="s">
        <v>183</v>
      </c>
      <c r="C119" s="51">
        <f>[12]С4.3!E12</f>
        <v>61</v>
      </c>
    </row>
    <row r="120" spans="1:3">
      <c r="A120" s="59" t="s">
        <v>184</v>
      </c>
      <c r="B120" s="58" t="s">
        <v>185</v>
      </c>
      <c r="C120" s="51">
        <f>[12]С4.3!E13</f>
        <v>73</v>
      </c>
    </row>
    <row r="121" spans="1:3" ht="30">
      <c r="A121" s="59" t="s">
        <v>186</v>
      </c>
      <c r="B121" s="31" t="s">
        <v>187</v>
      </c>
      <c r="C121" s="32">
        <f>[12]С4!F27</f>
        <v>904.62444244124072</v>
      </c>
    </row>
    <row r="122" spans="1:3" ht="25.5">
      <c r="A122" s="59" t="s">
        <v>188</v>
      </c>
      <c r="B122" s="52" t="s">
        <v>189</v>
      </c>
      <c r="C122" s="32">
        <f>[12]С4!F28</f>
        <v>694.79603874135228</v>
      </c>
    </row>
    <row r="123" spans="1:3" ht="42.75">
      <c r="A123" s="59" t="s">
        <v>190</v>
      </c>
      <c r="B123" s="52" t="s">
        <v>191</v>
      </c>
      <c r="C123" s="32">
        <f>[12]С4!F29</f>
        <v>209.82840369988838</v>
      </c>
    </row>
    <row r="124" spans="1:3" ht="30.75" thickBot="1">
      <c r="A124" s="74" t="s">
        <v>192</v>
      </c>
      <c r="B124" s="86" t="s">
        <v>193</v>
      </c>
      <c r="C124" s="84">
        <f>[12]С4!F30</f>
        <v>475.17307267672106</v>
      </c>
    </row>
    <row r="125" spans="1:3" s="87" customFormat="1" ht="13.5" thickBot="1">
      <c r="A125" s="47"/>
      <c r="B125" s="48"/>
      <c r="C125" s="14"/>
    </row>
    <row r="126" spans="1:3" s="65" customFormat="1" ht="30" customHeight="1">
      <c r="A126" s="77" t="s">
        <v>194</v>
      </c>
      <c r="B126" s="145" t="s">
        <v>195</v>
      </c>
      <c r="C126" s="145"/>
    </row>
    <row r="127" spans="1:3" ht="30.6" customHeight="1" thickBot="1">
      <c r="A127" s="26" t="s">
        <v>196</v>
      </c>
      <c r="B127" s="86" t="s">
        <v>197</v>
      </c>
      <c r="C127" s="84">
        <f>[12]С5!F17</f>
        <v>0.02</v>
      </c>
    </row>
    <row r="128" spans="1:3" s="87" customFormat="1" ht="13.5" thickBot="1">
      <c r="A128" s="47"/>
      <c r="B128" s="48"/>
      <c r="C128" s="14"/>
    </row>
    <row r="129" spans="1:4" ht="42.75" customHeight="1">
      <c r="A129" s="85" t="s">
        <v>198</v>
      </c>
      <c r="B129" s="145" t="s">
        <v>199</v>
      </c>
      <c r="C129" s="145"/>
    </row>
    <row r="130" spans="1:4" ht="68.25">
      <c r="A130" s="59" t="s">
        <v>200</v>
      </c>
      <c r="B130" s="88" t="s">
        <v>201</v>
      </c>
      <c r="C130" s="32" t="str">
        <f>IF([12]С6.1!E11="нет",[12]С6!F13,"")</f>
        <v/>
      </c>
    </row>
    <row r="131" spans="1:4" ht="42.75">
      <c r="A131" s="59" t="s">
        <v>202</v>
      </c>
      <c r="B131" s="89" t="s">
        <v>203</v>
      </c>
      <c r="C131" s="90" t="str">
        <f>IF([12]С6.1!E12="нет",[12]С6.1!E17,"")</f>
        <v/>
      </c>
    </row>
    <row r="132" spans="1:4" ht="68.25">
      <c r="A132" s="59" t="s">
        <v>204</v>
      </c>
      <c r="B132" s="88" t="s">
        <v>205</v>
      </c>
      <c r="C132" s="91" t="str">
        <f>IF([12]С6.1!E18="нет",[12]С6!F19,"")</f>
        <v/>
      </c>
    </row>
    <row r="133" spans="1:4" ht="55.5">
      <c r="A133" s="59" t="s">
        <v>206</v>
      </c>
      <c r="B133" s="89" t="s">
        <v>207</v>
      </c>
      <c r="C133" s="34" t="str">
        <f>IF([12]С6.1!E18="нет",[12]С6.1!E19,"")</f>
        <v/>
      </c>
    </row>
    <row r="134" spans="1:4" ht="61.5" customHeight="1">
      <c r="A134" s="59" t="s">
        <v>208</v>
      </c>
      <c r="B134" s="89" t="s">
        <v>209</v>
      </c>
      <c r="C134" s="34" t="str">
        <f>IF([12]С6.1!E18="нет",[12]С6.1!E22,"")</f>
        <v/>
      </c>
    </row>
    <row r="135" spans="1:4" ht="69" thickBot="1">
      <c r="A135" s="74" t="s">
        <v>210</v>
      </c>
      <c r="B135" s="92" t="s">
        <v>211</v>
      </c>
      <c r="C135" s="76" t="str">
        <f>IF([12]С6.1!E18="нет",[12]С6.1!E23,"")</f>
        <v/>
      </c>
    </row>
    <row r="136" spans="1:4" s="87" customFormat="1" ht="13.5" thickBot="1">
      <c r="A136" s="47"/>
      <c r="B136" s="48"/>
      <c r="C136" s="14"/>
    </row>
    <row r="137" spans="1:4" ht="15.75">
      <c r="A137" s="85" t="s">
        <v>212</v>
      </c>
      <c r="B137" s="93" t="s">
        <v>213</v>
      </c>
      <c r="C137" s="94">
        <f>[12]С2!F39</f>
        <v>21.531904799999996</v>
      </c>
    </row>
    <row r="138" spans="1:4" ht="14.25">
      <c r="A138" s="59" t="s">
        <v>214</v>
      </c>
      <c r="B138" s="58" t="s">
        <v>215</v>
      </c>
      <c r="C138" s="32">
        <f>[12]С2!F40</f>
        <v>7</v>
      </c>
    </row>
    <row r="139" spans="1:4" ht="17.25">
      <c r="A139" s="59" t="s">
        <v>216</v>
      </c>
      <c r="B139" s="58" t="s">
        <v>217</v>
      </c>
      <c r="C139" s="32">
        <f>[12]С2!F42</f>
        <v>0.97</v>
      </c>
    </row>
    <row r="140" spans="1:4" ht="15" thickBot="1">
      <c r="A140" s="74" t="s">
        <v>218</v>
      </c>
      <c r="B140" s="75" t="s">
        <v>219</v>
      </c>
      <c r="C140" s="46">
        <f>[12]С2!F44</f>
        <v>0.36199999999999999</v>
      </c>
    </row>
    <row r="141" spans="1:4" s="87" customFormat="1" ht="13.5" thickBot="1">
      <c r="A141" s="47"/>
      <c r="B141" s="48"/>
      <c r="C141" s="14"/>
    </row>
    <row r="142" spans="1:4" ht="17.25">
      <c r="A142" s="85" t="s">
        <v>220</v>
      </c>
      <c r="B142" s="95" t="s">
        <v>221</v>
      </c>
      <c r="C142" s="96">
        <f>[12]С2!F37</f>
        <v>1.4976266307379205</v>
      </c>
      <c r="D142" s="87"/>
    </row>
    <row r="143" spans="1:4" ht="17.25" customHeight="1" thickBot="1">
      <c r="A143" s="74" t="s">
        <v>222</v>
      </c>
      <c r="B143" s="141" t="s">
        <v>223</v>
      </c>
      <c r="C143" s="141"/>
      <c r="D143" s="87"/>
    </row>
    <row r="144" spans="1:4">
      <c r="A144" s="97"/>
      <c r="B144" s="98" t="s">
        <v>224</v>
      </c>
      <c r="C144" s="99"/>
    </row>
    <row r="145" spans="1:3">
      <c r="A145" s="97"/>
      <c r="B145" s="100">
        <v>2020</v>
      </c>
      <c r="C145" s="101">
        <f>[12]С2.5!$E$11</f>
        <v>-2.9000000000000026E-2</v>
      </c>
    </row>
    <row r="146" spans="1:3">
      <c r="B146" s="100">
        <f>B145+1</f>
        <v>2021</v>
      </c>
      <c r="C146" s="102">
        <f>[12]С2.5!$F$11</f>
        <v>0.245</v>
      </c>
    </row>
    <row r="147" spans="1:3">
      <c r="B147" s="100">
        <f t="shared" ref="B147:B210" si="0">B146+1</f>
        <v>2022</v>
      </c>
      <c r="C147" s="103">
        <f>[12]С2.5!$G$11</f>
        <v>0.114</v>
      </c>
    </row>
    <row r="148" spans="1:3">
      <c r="B148" s="104">
        <f t="shared" si="0"/>
        <v>2023</v>
      </c>
      <c r="C148" s="105">
        <f>[12]С2.5!$H$11</f>
        <v>2.4E-2</v>
      </c>
    </row>
    <row r="149" spans="1:3" ht="13.5" thickBot="1">
      <c r="B149" s="104">
        <f t="shared" si="0"/>
        <v>2024</v>
      </c>
      <c r="C149" s="105">
        <f>[12]С2.5!$I$11</f>
        <v>8.5999999999999993E-2</v>
      </c>
    </row>
    <row r="150" spans="1:3" ht="13.5" hidden="1" thickBot="1">
      <c r="B150" s="104">
        <f t="shared" si="0"/>
        <v>2025</v>
      </c>
      <c r="C150" s="105">
        <f>[12]С2.5!$J$11</f>
        <v>0</v>
      </c>
    </row>
    <row r="151" spans="1:3" ht="13.5" hidden="1" thickBot="1">
      <c r="B151" s="104">
        <f t="shared" si="0"/>
        <v>2026</v>
      </c>
      <c r="C151" s="105">
        <f>[12]С2.5!$K$11</f>
        <v>0</v>
      </c>
    </row>
    <row r="152" spans="1:3" ht="13.5" hidden="1" thickBot="1">
      <c r="B152" s="104">
        <f t="shared" si="0"/>
        <v>2027</v>
      </c>
      <c r="C152" s="105">
        <f>[12]С2.5!$L$11</f>
        <v>0</v>
      </c>
    </row>
    <row r="153" spans="1:3" ht="13.5" hidden="1" thickBot="1">
      <c r="B153" s="104">
        <f t="shared" si="0"/>
        <v>2028</v>
      </c>
      <c r="C153" s="105">
        <f>[12]С2.5!$M$11</f>
        <v>0</v>
      </c>
    </row>
    <row r="154" spans="1:3" ht="13.5" hidden="1" thickBot="1">
      <c r="B154" s="104">
        <f t="shared" si="0"/>
        <v>2029</v>
      </c>
      <c r="C154" s="105">
        <f>[12]С2.5!$N$11</f>
        <v>0</v>
      </c>
    </row>
    <row r="155" spans="1:3" ht="13.5" hidden="1" thickBot="1">
      <c r="B155" s="104">
        <f t="shared" si="0"/>
        <v>2030</v>
      </c>
      <c r="C155" s="105">
        <f>[12]С2.5!$O$11</f>
        <v>0</v>
      </c>
    </row>
    <row r="156" spans="1:3" ht="13.5" hidden="1" thickBot="1">
      <c r="B156" s="104">
        <f t="shared" si="0"/>
        <v>2031</v>
      </c>
      <c r="C156" s="105">
        <f>[12]С2.5!$P$11</f>
        <v>0</v>
      </c>
    </row>
    <row r="157" spans="1:3" ht="13.5" hidden="1" thickBot="1">
      <c r="B157" s="104">
        <f t="shared" si="0"/>
        <v>2032</v>
      </c>
      <c r="C157" s="105">
        <f>[12]С2.5!$Q$11</f>
        <v>0</v>
      </c>
    </row>
    <row r="158" spans="1:3" ht="13.5" hidden="1" thickBot="1">
      <c r="B158" s="104">
        <f t="shared" si="0"/>
        <v>2033</v>
      </c>
      <c r="C158" s="105">
        <f>[12]С2.5!$R$11</f>
        <v>0</v>
      </c>
    </row>
    <row r="159" spans="1:3" ht="13.5" hidden="1" thickBot="1">
      <c r="B159" s="104">
        <f t="shared" si="0"/>
        <v>2034</v>
      </c>
      <c r="C159" s="105">
        <f>[12]С2.5!$S$11</f>
        <v>0</v>
      </c>
    </row>
    <row r="160" spans="1:3" ht="13.5" hidden="1" thickBot="1">
      <c r="B160" s="104">
        <f t="shared" si="0"/>
        <v>2035</v>
      </c>
      <c r="C160" s="105">
        <f>[12]С2.5!$T$11</f>
        <v>0</v>
      </c>
    </row>
    <row r="161" spans="2:3" ht="13.5" hidden="1" thickBot="1">
      <c r="B161" s="104">
        <f t="shared" si="0"/>
        <v>2036</v>
      </c>
      <c r="C161" s="105">
        <f>[12]С2.5!$U$11</f>
        <v>0</v>
      </c>
    </row>
    <row r="162" spans="2:3" ht="13.5" hidden="1" thickBot="1">
      <c r="B162" s="104">
        <f t="shared" si="0"/>
        <v>2037</v>
      </c>
      <c r="C162" s="105">
        <f>[12]С2.5!$V$11</f>
        <v>0</v>
      </c>
    </row>
    <row r="163" spans="2:3" ht="13.5" hidden="1" thickBot="1">
      <c r="B163" s="104">
        <f t="shared" si="0"/>
        <v>2038</v>
      </c>
      <c r="C163" s="105">
        <f>[12]С2.5!$W$11</f>
        <v>0</v>
      </c>
    </row>
    <row r="164" spans="2:3" ht="13.5" hidden="1" thickBot="1">
      <c r="B164" s="104">
        <f t="shared" si="0"/>
        <v>2039</v>
      </c>
      <c r="C164" s="105">
        <f>[12]С2.5!$X$11</f>
        <v>0</v>
      </c>
    </row>
    <row r="165" spans="2:3" ht="13.5" hidden="1" thickBot="1">
      <c r="B165" s="104">
        <f t="shared" si="0"/>
        <v>2040</v>
      </c>
      <c r="C165" s="105">
        <f>[12]С2.5!$Y$11</f>
        <v>0</v>
      </c>
    </row>
    <row r="166" spans="2:3" ht="13.5" hidden="1" thickBot="1">
      <c r="B166" s="104">
        <f t="shared" si="0"/>
        <v>2041</v>
      </c>
      <c r="C166" s="105">
        <f>[12]С2.5!$Z$11</f>
        <v>0</v>
      </c>
    </row>
    <row r="167" spans="2:3" ht="13.5" hidden="1" thickBot="1">
      <c r="B167" s="104">
        <f t="shared" si="0"/>
        <v>2042</v>
      </c>
      <c r="C167" s="105">
        <f>[12]С2.5!$AA$11</f>
        <v>0</v>
      </c>
    </row>
    <row r="168" spans="2:3" ht="13.5" hidden="1" thickBot="1">
      <c r="B168" s="104">
        <f t="shared" si="0"/>
        <v>2043</v>
      </c>
      <c r="C168" s="105">
        <f>[12]С2.5!$AB$11</f>
        <v>0</v>
      </c>
    </row>
    <row r="169" spans="2:3" ht="13.5" hidden="1" thickBot="1">
      <c r="B169" s="104">
        <f t="shared" si="0"/>
        <v>2044</v>
      </c>
      <c r="C169" s="105">
        <f>[12]С2.5!$AC$11</f>
        <v>0</v>
      </c>
    </row>
    <row r="170" spans="2:3" ht="13.5" hidden="1" thickBot="1">
      <c r="B170" s="104">
        <f t="shared" si="0"/>
        <v>2045</v>
      </c>
      <c r="C170" s="105">
        <f>[12]С2.5!$AD$11</f>
        <v>0</v>
      </c>
    </row>
    <row r="171" spans="2:3" ht="13.5" hidden="1" thickBot="1">
      <c r="B171" s="104">
        <f t="shared" si="0"/>
        <v>2046</v>
      </c>
      <c r="C171" s="105">
        <f>[12]С2.5!$AE$11</f>
        <v>0</v>
      </c>
    </row>
    <row r="172" spans="2:3" ht="13.5" hidden="1" thickBot="1">
      <c r="B172" s="104">
        <f t="shared" si="0"/>
        <v>2047</v>
      </c>
      <c r="C172" s="105">
        <f>[12]С2.5!$AF$11</f>
        <v>0</v>
      </c>
    </row>
    <row r="173" spans="2:3" ht="13.5" hidden="1" thickBot="1">
      <c r="B173" s="104">
        <f t="shared" si="0"/>
        <v>2048</v>
      </c>
      <c r="C173" s="105">
        <f>[12]С2.5!$AG$11</f>
        <v>0</v>
      </c>
    </row>
    <row r="174" spans="2:3" ht="13.5" hidden="1" thickBot="1">
      <c r="B174" s="104">
        <f t="shared" si="0"/>
        <v>2049</v>
      </c>
      <c r="C174" s="105">
        <f>[12]С2.5!$AH$11</f>
        <v>0</v>
      </c>
    </row>
    <row r="175" spans="2:3" ht="13.5" hidden="1" thickBot="1">
      <c r="B175" s="104">
        <f t="shared" si="0"/>
        <v>2050</v>
      </c>
      <c r="C175" s="105">
        <f>[12]С2.5!$AI$11</f>
        <v>0</v>
      </c>
    </row>
    <row r="176" spans="2:3" ht="13.5" hidden="1" thickBot="1">
      <c r="B176" s="104">
        <f t="shared" si="0"/>
        <v>2051</v>
      </c>
      <c r="C176" s="105">
        <f>[12]С2.5!$AJ$11</f>
        <v>0</v>
      </c>
    </row>
    <row r="177" spans="2:3" ht="13.5" hidden="1" thickBot="1">
      <c r="B177" s="104">
        <f t="shared" si="0"/>
        <v>2052</v>
      </c>
      <c r="C177" s="105">
        <f>[12]С2.5!$AK$11</f>
        <v>0</v>
      </c>
    </row>
    <row r="178" spans="2:3" ht="13.5" hidden="1" thickBot="1">
      <c r="B178" s="104">
        <f t="shared" si="0"/>
        <v>2053</v>
      </c>
      <c r="C178" s="105">
        <f>[12]С2.5!$AL$11</f>
        <v>0</v>
      </c>
    </row>
    <row r="179" spans="2:3" ht="13.5" hidden="1" thickBot="1">
      <c r="B179" s="104">
        <f t="shared" si="0"/>
        <v>2054</v>
      </c>
      <c r="C179" s="105">
        <f>[12]С2.5!$AM$11</f>
        <v>0</v>
      </c>
    </row>
    <row r="180" spans="2:3" ht="13.5" hidden="1" thickBot="1">
      <c r="B180" s="104">
        <f t="shared" si="0"/>
        <v>2055</v>
      </c>
      <c r="C180" s="105">
        <f>[12]С2.5!$AN$11</f>
        <v>0</v>
      </c>
    </row>
    <row r="181" spans="2:3" ht="13.5" hidden="1" thickBot="1">
      <c r="B181" s="104">
        <f t="shared" si="0"/>
        <v>2056</v>
      </c>
      <c r="C181" s="105">
        <f>[12]С2.5!$AO$11</f>
        <v>0</v>
      </c>
    </row>
    <row r="182" spans="2:3" ht="13.5" hidden="1" thickBot="1">
      <c r="B182" s="104">
        <f t="shared" si="0"/>
        <v>2057</v>
      </c>
      <c r="C182" s="105">
        <f>[12]С2.5!$AP$11</f>
        <v>0</v>
      </c>
    </row>
    <row r="183" spans="2:3" ht="13.5" hidden="1" thickBot="1">
      <c r="B183" s="104">
        <f t="shared" si="0"/>
        <v>2058</v>
      </c>
      <c r="C183" s="105">
        <f>[12]С2.5!$AQ$11</f>
        <v>0</v>
      </c>
    </row>
    <row r="184" spans="2:3" ht="13.5" hidden="1" thickBot="1">
      <c r="B184" s="104">
        <f t="shared" si="0"/>
        <v>2059</v>
      </c>
      <c r="C184" s="105">
        <f>[12]С2.5!$AR$11</f>
        <v>0</v>
      </c>
    </row>
    <row r="185" spans="2:3" ht="13.5" hidden="1" thickBot="1">
      <c r="B185" s="104">
        <f t="shared" si="0"/>
        <v>2060</v>
      </c>
      <c r="C185" s="105">
        <f>[12]С2.5!$AS$11</f>
        <v>0</v>
      </c>
    </row>
    <row r="186" spans="2:3" ht="13.5" hidden="1" thickBot="1">
      <c r="B186" s="104">
        <f t="shared" si="0"/>
        <v>2061</v>
      </c>
      <c r="C186" s="105">
        <f>[12]С2.5!$AT$11</f>
        <v>0</v>
      </c>
    </row>
    <row r="187" spans="2:3" ht="13.5" hidden="1" thickBot="1">
      <c r="B187" s="104">
        <f t="shared" si="0"/>
        <v>2062</v>
      </c>
      <c r="C187" s="105">
        <f>[12]С2.5!$AU$11</f>
        <v>0</v>
      </c>
    </row>
    <row r="188" spans="2:3" ht="13.5" hidden="1" thickBot="1">
      <c r="B188" s="104">
        <f t="shared" si="0"/>
        <v>2063</v>
      </c>
      <c r="C188" s="105">
        <f>[12]С2.5!$AV$11</f>
        <v>0</v>
      </c>
    </row>
    <row r="189" spans="2:3" ht="13.5" hidden="1" thickBot="1">
      <c r="B189" s="104">
        <f t="shared" si="0"/>
        <v>2064</v>
      </c>
      <c r="C189" s="105">
        <f>[12]С2.5!$AW$11</f>
        <v>0</v>
      </c>
    </row>
    <row r="190" spans="2:3" ht="13.5" hidden="1" thickBot="1">
      <c r="B190" s="104">
        <f t="shared" si="0"/>
        <v>2065</v>
      </c>
      <c r="C190" s="105">
        <f>[12]С2.5!$AX$11</f>
        <v>0</v>
      </c>
    </row>
    <row r="191" spans="2:3" ht="13.5" hidden="1" thickBot="1">
      <c r="B191" s="104">
        <f t="shared" si="0"/>
        <v>2066</v>
      </c>
      <c r="C191" s="105">
        <f>[12]С2.5!$AY$11</f>
        <v>0</v>
      </c>
    </row>
    <row r="192" spans="2:3" ht="13.5" hidden="1" thickBot="1">
      <c r="B192" s="104">
        <f t="shared" si="0"/>
        <v>2067</v>
      </c>
      <c r="C192" s="105">
        <f>[12]С2.5!$AZ$11</f>
        <v>0</v>
      </c>
    </row>
    <row r="193" spans="2:3" ht="13.5" hidden="1" thickBot="1">
      <c r="B193" s="104">
        <f t="shared" si="0"/>
        <v>2068</v>
      </c>
      <c r="C193" s="105">
        <f>[12]С2.5!$BA$11</f>
        <v>0</v>
      </c>
    </row>
    <row r="194" spans="2:3" ht="13.5" hidden="1" thickBot="1">
      <c r="B194" s="104">
        <f t="shared" si="0"/>
        <v>2069</v>
      </c>
      <c r="C194" s="105">
        <f>[12]С2.5!$BB$11</f>
        <v>0</v>
      </c>
    </row>
    <row r="195" spans="2:3" ht="13.5" hidden="1" thickBot="1">
      <c r="B195" s="104">
        <f t="shared" si="0"/>
        <v>2070</v>
      </c>
      <c r="C195" s="105">
        <f>[12]С2.5!$BC$11</f>
        <v>0</v>
      </c>
    </row>
    <row r="196" spans="2:3" ht="13.5" hidden="1" thickBot="1">
      <c r="B196" s="104">
        <f t="shared" si="0"/>
        <v>2071</v>
      </c>
      <c r="C196" s="105">
        <f>[12]С2.5!$BD$11</f>
        <v>0</v>
      </c>
    </row>
    <row r="197" spans="2:3" ht="13.5" hidden="1" thickBot="1">
      <c r="B197" s="104">
        <f t="shared" si="0"/>
        <v>2072</v>
      </c>
      <c r="C197" s="105">
        <f>[12]С2.5!$BE$11</f>
        <v>0</v>
      </c>
    </row>
    <row r="198" spans="2:3" ht="13.5" hidden="1" thickBot="1">
      <c r="B198" s="104">
        <f t="shared" si="0"/>
        <v>2073</v>
      </c>
      <c r="C198" s="105">
        <f>[12]С2.5!$BF$11</f>
        <v>0</v>
      </c>
    </row>
    <row r="199" spans="2:3" ht="13.5" hidden="1" thickBot="1">
      <c r="B199" s="104">
        <f t="shared" si="0"/>
        <v>2074</v>
      </c>
      <c r="C199" s="105">
        <f>[12]С2.5!$BG$11</f>
        <v>0</v>
      </c>
    </row>
    <row r="200" spans="2:3" ht="13.5" hidden="1" thickBot="1">
      <c r="B200" s="104">
        <f t="shared" si="0"/>
        <v>2075</v>
      </c>
      <c r="C200" s="105">
        <f>[12]С2.5!$BH$11</f>
        <v>0</v>
      </c>
    </row>
    <row r="201" spans="2:3" ht="13.5" hidden="1" thickBot="1">
      <c r="B201" s="104">
        <f t="shared" si="0"/>
        <v>2076</v>
      </c>
      <c r="C201" s="105">
        <f>[12]С2.5!$BI$11</f>
        <v>0</v>
      </c>
    </row>
    <row r="202" spans="2:3" ht="13.5" hidden="1" thickBot="1">
      <c r="B202" s="104">
        <f t="shared" si="0"/>
        <v>2077</v>
      </c>
      <c r="C202" s="105">
        <f>[12]С2.5!$BJ$11</f>
        <v>0</v>
      </c>
    </row>
    <row r="203" spans="2:3" ht="13.5" hidden="1" thickBot="1">
      <c r="B203" s="104">
        <f t="shared" si="0"/>
        <v>2078</v>
      </c>
      <c r="C203" s="105">
        <f>[12]С2.5!$BK$11</f>
        <v>0</v>
      </c>
    </row>
    <row r="204" spans="2:3" ht="13.5" hidden="1" thickBot="1">
      <c r="B204" s="104">
        <f t="shared" si="0"/>
        <v>2079</v>
      </c>
      <c r="C204" s="105">
        <f>[12]С2.5!$BL$11</f>
        <v>0</v>
      </c>
    </row>
    <row r="205" spans="2:3" ht="13.5" hidden="1" thickBot="1">
      <c r="B205" s="104">
        <f t="shared" si="0"/>
        <v>2080</v>
      </c>
      <c r="C205" s="105">
        <f>[12]С2.5!$BM$11</f>
        <v>0</v>
      </c>
    </row>
    <row r="206" spans="2:3" ht="13.5" hidden="1" thickBot="1">
      <c r="B206" s="104">
        <f t="shared" si="0"/>
        <v>2081</v>
      </c>
      <c r="C206" s="105">
        <f>[12]С2.5!$BN$11</f>
        <v>0</v>
      </c>
    </row>
    <row r="207" spans="2:3" ht="13.5" hidden="1" thickBot="1">
      <c r="B207" s="104">
        <f t="shared" si="0"/>
        <v>2082</v>
      </c>
      <c r="C207" s="105">
        <f>[12]С2.5!$BO$11</f>
        <v>0</v>
      </c>
    </row>
    <row r="208" spans="2:3" ht="13.5" hidden="1" thickBot="1">
      <c r="B208" s="104">
        <f t="shared" si="0"/>
        <v>2083</v>
      </c>
      <c r="C208" s="105">
        <f>[12]С2.5!$BP$11</f>
        <v>0</v>
      </c>
    </row>
    <row r="209" spans="2:3" ht="13.5" hidden="1" thickBot="1">
      <c r="B209" s="104">
        <f t="shared" si="0"/>
        <v>2084</v>
      </c>
      <c r="C209" s="105">
        <f>[12]С2.5!$BQ$11</f>
        <v>0</v>
      </c>
    </row>
    <row r="210" spans="2:3" ht="13.5" hidden="1" thickBot="1">
      <c r="B210" s="104">
        <f t="shared" si="0"/>
        <v>2085</v>
      </c>
      <c r="C210" s="105">
        <f>[12]С2.5!$BR$11</f>
        <v>0</v>
      </c>
    </row>
    <row r="211" spans="2:3" ht="13.5" hidden="1" thickBot="1">
      <c r="B211" s="104">
        <f t="shared" ref="B211:B224" si="1">B210+1</f>
        <v>2086</v>
      </c>
      <c r="C211" s="105">
        <f>[12]С2.5!$BS$11</f>
        <v>0</v>
      </c>
    </row>
    <row r="212" spans="2:3" ht="13.5" hidden="1" thickBot="1">
      <c r="B212" s="104">
        <f t="shared" si="1"/>
        <v>2087</v>
      </c>
      <c r="C212" s="105">
        <f>[12]С2.5!$BT$11</f>
        <v>0</v>
      </c>
    </row>
    <row r="213" spans="2:3" ht="13.5" hidden="1" thickBot="1">
      <c r="B213" s="104">
        <f t="shared" si="1"/>
        <v>2088</v>
      </c>
      <c r="C213" s="105">
        <f>[12]С2.5!$BU$11</f>
        <v>0</v>
      </c>
    </row>
    <row r="214" spans="2:3" ht="13.5" hidden="1" thickBot="1">
      <c r="B214" s="104">
        <f t="shared" si="1"/>
        <v>2089</v>
      </c>
      <c r="C214" s="105">
        <f>[12]С2.5!$BV$11</f>
        <v>0</v>
      </c>
    </row>
    <row r="215" spans="2:3" ht="13.5" hidden="1" thickBot="1">
      <c r="B215" s="104">
        <f t="shared" si="1"/>
        <v>2090</v>
      </c>
      <c r="C215" s="105">
        <f>[12]С2.5!$BW$11</f>
        <v>0</v>
      </c>
    </row>
    <row r="216" spans="2:3" ht="13.5" hidden="1" thickBot="1">
      <c r="B216" s="104">
        <f t="shared" si="1"/>
        <v>2091</v>
      </c>
      <c r="C216" s="105">
        <f>[12]С2.5!$BX$11</f>
        <v>0</v>
      </c>
    </row>
    <row r="217" spans="2:3" ht="13.5" hidden="1" thickBot="1">
      <c r="B217" s="104">
        <f t="shared" si="1"/>
        <v>2092</v>
      </c>
      <c r="C217" s="105">
        <f>[12]С2.5!$BY$11</f>
        <v>0</v>
      </c>
    </row>
    <row r="218" spans="2:3" ht="13.5" hidden="1" thickBot="1">
      <c r="B218" s="104">
        <f t="shared" si="1"/>
        <v>2093</v>
      </c>
      <c r="C218" s="105">
        <f>[12]С2.5!$BZ$11</f>
        <v>0</v>
      </c>
    </row>
    <row r="219" spans="2:3" ht="13.5" hidden="1" thickBot="1">
      <c r="B219" s="104">
        <f t="shared" si="1"/>
        <v>2094</v>
      </c>
      <c r="C219" s="105">
        <f>[12]С2.5!$CA$11</f>
        <v>0</v>
      </c>
    </row>
    <row r="220" spans="2:3" ht="13.5" hidden="1" thickBot="1">
      <c r="B220" s="104">
        <f t="shared" si="1"/>
        <v>2095</v>
      </c>
      <c r="C220" s="105">
        <f>[12]С2.5!$CB$11</f>
        <v>0</v>
      </c>
    </row>
    <row r="221" spans="2:3" ht="13.5" hidden="1" thickBot="1">
      <c r="B221" s="104">
        <f t="shared" si="1"/>
        <v>2096</v>
      </c>
      <c r="C221" s="105">
        <f>[12]С2.5!$CC$11</f>
        <v>0</v>
      </c>
    </row>
    <row r="222" spans="2:3" ht="13.5" hidden="1" thickBot="1">
      <c r="B222" s="104">
        <f t="shared" si="1"/>
        <v>2097</v>
      </c>
      <c r="C222" s="105">
        <f>[12]С2.5!$CD$11</f>
        <v>0</v>
      </c>
    </row>
    <row r="223" spans="2:3" ht="13.5" hidden="1" thickBot="1">
      <c r="B223" s="104">
        <f t="shared" si="1"/>
        <v>2098</v>
      </c>
      <c r="C223" s="105">
        <f>[12]С2.5!$CE$11</f>
        <v>0</v>
      </c>
    </row>
    <row r="224" spans="2:3" ht="13.5" hidden="1" thickBot="1">
      <c r="B224" s="104">
        <f t="shared" si="1"/>
        <v>2099</v>
      </c>
      <c r="C224" s="105">
        <f>[12]С2.5!$CF$11</f>
        <v>0</v>
      </c>
    </row>
    <row r="225" spans="2:3" ht="13.5" hidden="1" thickBot="1">
      <c r="B225" s="106">
        <f>B162+1</f>
        <v>2038</v>
      </c>
      <c r="C225" s="107" t="e">
        <f>[12]С2.5!#REF!</f>
        <v>#REF!</v>
      </c>
    </row>
    <row r="226" spans="2:3">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481" r:id="rId3" name="Button 1">
              <controlPr defaultSize="0" print="0" autoFill="0" autoPict="0" macro="[13]!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20482" r:id="rId4" name="Button 2">
              <controlPr defaultSize="0" print="0" autoFill="0" autoPict="0" macro="[12]!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[14]И1!D13</f>
        <v>Субъект Российской Федерации</v>
      </c>
      <c r="C4" s="9" t="str">
        <f>[14]И1!E13</f>
        <v>Новосибирская область</v>
      </c>
    </row>
    <row r="5" spans="1:3" ht="46.9" customHeight="1">
      <c r="A5" s="7"/>
      <c r="B5" s="8" t="str">
        <f>[14]И1!D14</f>
        <v>Тип муниципального образования (выберите из списка)</v>
      </c>
      <c r="C5" s="9" t="str">
        <f>[14]И1!E14</f>
        <v>поселок Бор, Болотнинский муниципальный район</v>
      </c>
    </row>
    <row r="6" spans="1:3">
      <c r="A6" s="7"/>
      <c r="B6" s="8" t="str">
        <f>IF([14]И1!E15="","",[14]И1!D15)</f>
        <v/>
      </c>
      <c r="C6" s="9" t="str">
        <f>IF([14]И1!E15="","",[14]И1!E15)</f>
        <v/>
      </c>
    </row>
    <row r="7" spans="1:3">
      <c r="A7" s="7"/>
      <c r="B7" s="8" t="str">
        <f>[14]И1!D16</f>
        <v>Код ОКТМО</v>
      </c>
      <c r="C7" s="10" t="str">
        <f>[14]И1!E16</f>
        <v>50606407101</v>
      </c>
    </row>
    <row r="8" spans="1:3">
      <c r="A8" s="7"/>
      <c r="B8" s="11" t="str">
        <f>[14]И1!D17</f>
        <v>Система теплоснабжения</v>
      </c>
      <c r="C8" s="12">
        <f>[14]И1!E17</f>
        <v>0</v>
      </c>
    </row>
    <row r="9" spans="1:3">
      <c r="A9" s="7"/>
      <c r="B9" s="8" t="str">
        <f>[14]И1!D8</f>
        <v>Период регулирования (i)-й</v>
      </c>
      <c r="C9" s="13">
        <f>[14]И1!E8</f>
        <v>2024</v>
      </c>
    </row>
    <row r="10" spans="1:3">
      <c r="A10" s="7"/>
      <c r="B10" s="8" t="str">
        <f>[14]И1!D9</f>
        <v>Период регулирования (i-1)-й</v>
      </c>
      <c r="C10" s="13">
        <f>[14]И1!E9</f>
        <v>2023</v>
      </c>
    </row>
    <row r="11" spans="1:3">
      <c r="A11" s="7"/>
      <c r="B11" s="8" t="str">
        <f>[14]И1!D10</f>
        <v>Период регулирования (i-2)-й</v>
      </c>
      <c r="C11" s="13">
        <f>[14]И1!E10</f>
        <v>2022</v>
      </c>
    </row>
    <row r="12" spans="1:3">
      <c r="A12" s="7"/>
      <c r="B12" s="8" t="str">
        <f>[14]И1!D11</f>
        <v>Базовый год (б)</v>
      </c>
      <c r="C12" s="13">
        <f>[14]И1!E11</f>
        <v>2019</v>
      </c>
    </row>
    <row r="13" spans="1:3" ht="38.25">
      <c r="A13" s="7"/>
      <c r="B13" s="8" t="str">
        <f>[14]И1!D18</f>
        <v>Вид топлива, использование которого преобладает в системе теплоснабжения</v>
      </c>
      <c r="C13" s="14" t="str">
        <f>[14]С1.1!E13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3608.9981503916501</v>
      </c>
    </row>
    <row r="18" spans="1:3" ht="42.75">
      <c r="A18" s="21" t="s">
        <v>8</v>
      </c>
      <c r="B18" s="24" t="s">
        <v>9</v>
      </c>
      <c r="C18" s="25">
        <f>[14]С1!F12</f>
        <v>634.19374018993858</v>
      </c>
    </row>
    <row r="19" spans="1:3" ht="42.75">
      <c r="A19" s="21" t="s">
        <v>10</v>
      </c>
      <c r="B19" s="24" t="s">
        <v>11</v>
      </c>
      <c r="C19" s="25">
        <f>[14]С2!F12</f>
        <v>1993.3494362887216</v>
      </c>
    </row>
    <row r="20" spans="1:3" ht="30">
      <c r="A20" s="21" t="s">
        <v>12</v>
      </c>
      <c r="B20" s="24" t="s">
        <v>13</v>
      </c>
      <c r="C20" s="25">
        <f>[14]С3!F12</f>
        <v>473.85859951490778</v>
      </c>
    </row>
    <row r="21" spans="1:3" ht="42.75">
      <c r="A21" s="21" t="s">
        <v>14</v>
      </c>
      <c r="B21" s="24" t="s">
        <v>226</v>
      </c>
      <c r="C21" s="25">
        <f>[14]С4!F12</f>
        <v>436.83170478255988</v>
      </c>
    </row>
    <row r="22" spans="1:3" ht="30">
      <c r="A22" s="21" t="s">
        <v>16</v>
      </c>
      <c r="B22" s="24" t="s">
        <v>227</v>
      </c>
      <c r="C22" s="25">
        <f>[14]С5!F12</f>
        <v>70.76466961552255</v>
      </c>
    </row>
    <row r="23" spans="1:3" ht="43.5" thickBot="1">
      <c r="A23" s="26" t="s">
        <v>18</v>
      </c>
      <c r="B23" s="140" t="s">
        <v>228</v>
      </c>
      <c r="C23" s="27" t="str">
        <f>[14]С6!F12</f>
        <v>-</v>
      </c>
    </row>
    <row r="24" spans="1:3" ht="13.5" thickBot="1">
      <c r="A24" s="1"/>
    </row>
    <row r="25" spans="1:3">
      <c r="A25" s="15" t="s">
        <v>4</v>
      </c>
      <c r="B25" s="28" t="s">
        <v>5</v>
      </c>
      <c r="C25" s="16" t="s">
        <v>6</v>
      </c>
    </row>
    <row r="26" spans="1:3">
      <c r="A26" s="18">
        <v>1</v>
      </c>
      <c r="B26" s="29">
        <v>2</v>
      </c>
      <c r="C26" s="30">
        <v>3</v>
      </c>
    </row>
    <row r="27" spans="1:3" ht="30" customHeight="1">
      <c r="A27" s="21">
        <v>1</v>
      </c>
      <c r="B27" s="144" t="s">
        <v>20</v>
      </c>
      <c r="C27" s="144"/>
    </row>
    <row r="28" spans="1:3">
      <c r="A28" s="21" t="s">
        <v>8</v>
      </c>
      <c r="B28" s="31" t="s">
        <v>229</v>
      </c>
      <c r="C28" s="32">
        <f>[14]С1.1!E16</f>
        <v>5100</v>
      </c>
    </row>
    <row r="29" spans="1:3" ht="42.75">
      <c r="A29" s="21" t="s">
        <v>10</v>
      </c>
      <c r="B29" s="31" t="s">
        <v>230</v>
      </c>
      <c r="C29" s="32">
        <f>[14]С1.1!E27</f>
        <v>2849.46</v>
      </c>
    </row>
    <row r="30" spans="1:3" ht="17.25">
      <c r="A30" s="21" t="s">
        <v>12</v>
      </c>
      <c r="B30" s="31" t="s">
        <v>29</v>
      </c>
      <c r="C30" s="34">
        <f>[14]С1.1!E19</f>
        <v>-0.19900000000000001</v>
      </c>
    </row>
    <row r="31" spans="1:3" ht="17.25">
      <c r="A31" s="21" t="s">
        <v>14</v>
      </c>
      <c r="B31" s="31" t="s">
        <v>30</v>
      </c>
      <c r="C31" s="34">
        <f>[14]С1.1!E20</f>
        <v>5.7000000000000002E-2</v>
      </c>
    </row>
    <row r="32" spans="1:3" ht="30">
      <c r="A32" s="21" t="s">
        <v>16</v>
      </c>
      <c r="B32" s="35" t="s">
        <v>231</v>
      </c>
      <c r="C32" s="117">
        <f>[14]С1!F13</f>
        <v>176.4</v>
      </c>
    </row>
    <row r="33" spans="1:3">
      <c r="A33" s="21" t="s">
        <v>18</v>
      </c>
      <c r="B33" s="35" t="s">
        <v>32</v>
      </c>
      <c r="C33" s="37">
        <f>[14]С1!F16</f>
        <v>7000</v>
      </c>
    </row>
    <row r="34" spans="1:3" ht="14.25">
      <c r="A34" s="21" t="s">
        <v>33</v>
      </c>
      <c r="B34" s="39" t="s">
        <v>232</v>
      </c>
      <c r="C34" s="40">
        <f>[14]С1!F17</f>
        <v>0.72857142857142854</v>
      </c>
    </row>
    <row r="35" spans="1:3" ht="15.75">
      <c r="A35" s="118" t="s">
        <v>35</v>
      </c>
      <c r="B35" s="42" t="s">
        <v>36</v>
      </c>
      <c r="C35" s="40">
        <f>[14]С1!F20</f>
        <v>21.588411179999994</v>
      </c>
    </row>
    <row r="36" spans="1:3" ht="15.75">
      <c r="A36" s="118" t="s">
        <v>37</v>
      </c>
      <c r="B36" s="43" t="s">
        <v>38</v>
      </c>
      <c r="C36" s="40">
        <f>[14]С1!F21</f>
        <v>20.818139999999996</v>
      </c>
    </row>
    <row r="37" spans="1:3" ht="14.25">
      <c r="A37" s="118" t="s">
        <v>39</v>
      </c>
      <c r="B37" s="44" t="s">
        <v>40</v>
      </c>
      <c r="C37" s="40">
        <f>[14]С1!F22</f>
        <v>1.0369999999999999</v>
      </c>
    </row>
    <row r="38" spans="1:3" ht="53.25" thickBot="1">
      <c r="A38" s="26" t="s">
        <v>41</v>
      </c>
      <c r="B38" s="45" t="s">
        <v>42</v>
      </c>
      <c r="C38" s="46">
        <f>[14]С1!F23</f>
        <v>1.0469999999999999</v>
      </c>
    </row>
    <row r="39" spans="1:3" ht="13.5" thickBot="1">
      <c r="A39" s="47"/>
      <c r="B39" s="119"/>
      <c r="C39" s="120"/>
    </row>
    <row r="40" spans="1:3" ht="39.75" customHeight="1">
      <c r="A40" s="49" t="s">
        <v>43</v>
      </c>
      <c r="B40" s="145" t="s">
        <v>44</v>
      </c>
      <c r="C40" s="145"/>
    </row>
    <row r="41" spans="1:3" ht="25.5">
      <c r="A41" s="21" t="s">
        <v>45</v>
      </c>
      <c r="B41" s="35" t="s">
        <v>46</v>
      </c>
      <c r="C41" s="50" t="str">
        <f>[14]С2.1!E12</f>
        <v>V</v>
      </c>
    </row>
    <row r="42" spans="1:3" ht="25.5">
      <c r="A42" s="21" t="s">
        <v>47</v>
      </c>
      <c r="B42" s="31" t="s">
        <v>48</v>
      </c>
      <c r="C42" s="50" t="str">
        <f>[14]С2.1!E13</f>
        <v>6 и менее баллов</v>
      </c>
    </row>
    <row r="43" spans="1:3" ht="25.5">
      <c r="A43" s="21" t="s">
        <v>49</v>
      </c>
      <c r="B43" s="31" t="s">
        <v>233</v>
      </c>
      <c r="C43" s="50" t="str">
        <f>[14]С2.1!E14</f>
        <v>от 200 до 500</v>
      </c>
    </row>
    <row r="44" spans="1:3" ht="25.5">
      <c r="A44" s="21" t="s">
        <v>51</v>
      </c>
      <c r="B44" s="31" t="s">
        <v>234</v>
      </c>
      <c r="C44" s="51" t="str">
        <f>[14]С2.1!E15</f>
        <v>нет</v>
      </c>
    </row>
    <row r="45" spans="1:3" ht="30">
      <c r="A45" s="21" t="s">
        <v>53</v>
      </c>
      <c r="B45" s="31" t="s">
        <v>54</v>
      </c>
      <c r="C45" s="32">
        <f>[14]С2!F18</f>
        <v>35106.652004551666</v>
      </c>
    </row>
    <row r="46" spans="1:3" ht="30">
      <c r="A46" s="21" t="s">
        <v>55</v>
      </c>
      <c r="B46" s="52" t="s">
        <v>56</v>
      </c>
      <c r="C46" s="32">
        <f>IF([14]С2!F19&gt;0,[14]С2!F19,[14]С2!F20)</f>
        <v>23441.524932855718</v>
      </c>
    </row>
    <row r="47" spans="1:3" ht="25.5">
      <c r="A47" s="21" t="s">
        <v>57</v>
      </c>
      <c r="B47" s="53" t="s">
        <v>58</v>
      </c>
      <c r="C47" s="32">
        <f>[14]С2.1!E19</f>
        <v>-38</v>
      </c>
    </row>
    <row r="48" spans="1:3" ht="25.5">
      <c r="A48" s="21" t="s">
        <v>59</v>
      </c>
      <c r="B48" s="53" t="s">
        <v>60</v>
      </c>
      <c r="C48" s="32" t="str">
        <f>[14]С2.1!E22</f>
        <v>нет</v>
      </c>
    </row>
    <row r="49" spans="1:3" ht="38.25">
      <c r="A49" s="21" t="s">
        <v>61</v>
      </c>
      <c r="B49" s="54" t="s">
        <v>62</v>
      </c>
      <c r="C49" s="32">
        <f>[14]С2.2!E10</f>
        <v>1287</v>
      </c>
    </row>
    <row r="50" spans="1:3" ht="25.5">
      <c r="A50" s="21" t="s">
        <v>63</v>
      </c>
      <c r="B50" s="55" t="s">
        <v>64</v>
      </c>
      <c r="C50" s="32">
        <f>[14]С2.2!E12</f>
        <v>5.97</v>
      </c>
    </row>
    <row r="51" spans="1:3" ht="52.5">
      <c r="A51" s="21" t="s">
        <v>65</v>
      </c>
      <c r="B51" s="56" t="s">
        <v>66</v>
      </c>
      <c r="C51" s="32">
        <f>[14]С2.2!E13</f>
        <v>1</v>
      </c>
    </row>
    <row r="52" spans="1:3" ht="27.75">
      <c r="A52" s="21" t="s">
        <v>67</v>
      </c>
      <c r="B52" s="55" t="s">
        <v>68</v>
      </c>
      <c r="C52" s="32">
        <f>[14]С2.2!E14</f>
        <v>12104</v>
      </c>
    </row>
    <row r="53" spans="1:3" ht="25.5">
      <c r="A53" s="21" t="s">
        <v>69</v>
      </c>
      <c r="B53" s="56" t="s">
        <v>70</v>
      </c>
      <c r="C53" s="34">
        <f>[14]С2.2!E15</f>
        <v>4.8000000000000001E-2</v>
      </c>
    </row>
    <row r="54" spans="1:3">
      <c r="A54" s="21" t="s">
        <v>71</v>
      </c>
      <c r="B54" s="56" t="s">
        <v>72</v>
      </c>
      <c r="C54" s="32">
        <f>[14]С2.2!E16</f>
        <v>1</v>
      </c>
    </row>
    <row r="55" spans="1:3" ht="15.75">
      <c r="A55" s="21" t="s">
        <v>73</v>
      </c>
      <c r="B55" s="58" t="s">
        <v>74</v>
      </c>
      <c r="C55" s="32">
        <f>[14]С2!F21</f>
        <v>1</v>
      </c>
    </row>
    <row r="56" spans="1:3" ht="30">
      <c r="A56" s="59" t="s">
        <v>75</v>
      </c>
      <c r="B56" s="31" t="s">
        <v>235</v>
      </c>
      <c r="C56" s="32">
        <f>[14]С2!F13</f>
        <v>183796.83936385796</v>
      </c>
    </row>
    <row r="57" spans="1:3" ht="30">
      <c r="A57" s="59" t="s">
        <v>77</v>
      </c>
      <c r="B57" s="58" t="s">
        <v>236</v>
      </c>
      <c r="C57" s="32">
        <f>[14]С2!F14</f>
        <v>113455</v>
      </c>
    </row>
    <row r="58" spans="1:3" ht="15.75">
      <c r="A58" s="59" t="s">
        <v>79</v>
      </c>
      <c r="B58" s="60" t="s">
        <v>80</v>
      </c>
      <c r="C58" s="40">
        <f>[14]С2!F15</f>
        <v>1.071</v>
      </c>
    </row>
    <row r="59" spans="1:3" ht="15.75">
      <c r="A59" s="59" t="s">
        <v>81</v>
      </c>
      <c r="B59" s="60" t="s">
        <v>82</v>
      </c>
      <c r="C59" s="40">
        <f>[14]С2!F16</f>
        <v>1</v>
      </c>
    </row>
    <row r="60" spans="1:3" ht="17.25">
      <c r="A60" s="59" t="s">
        <v>83</v>
      </c>
      <c r="B60" s="58" t="s">
        <v>84</v>
      </c>
      <c r="C60" s="32">
        <f>[14]С2!F17</f>
        <v>1.01</v>
      </c>
    </row>
    <row r="61" spans="1:3" s="65" customFormat="1" ht="14.25">
      <c r="A61" s="59" t="s">
        <v>85</v>
      </c>
      <c r="B61" s="63" t="s">
        <v>86</v>
      </c>
      <c r="C61" s="64">
        <f>[14]С2!F33</f>
        <v>10</v>
      </c>
    </row>
    <row r="62" spans="1:3" ht="30">
      <c r="A62" s="59" t="s">
        <v>87</v>
      </c>
      <c r="B62" s="66" t="s">
        <v>88</v>
      </c>
      <c r="C62" s="32">
        <f>[14]С2!F26</f>
        <v>1867.194948000021</v>
      </c>
    </row>
    <row r="63" spans="1:3" ht="17.25">
      <c r="A63" s="59" t="s">
        <v>89</v>
      </c>
      <c r="B63" s="52" t="s">
        <v>237</v>
      </c>
      <c r="C63" s="32">
        <f>[14]С2!F27</f>
        <v>0.29684983999999998</v>
      </c>
    </row>
    <row r="64" spans="1:3" ht="17.25">
      <c r="A64" s="59" t="s">
        <v>91</v>
      </c>
      <c r="B64" s="58" t="s">
        <v>238</v>
      </c>
      <c r="C64" s="64">
        <f>[14]С2!F28</f>
        <v>4200</v>
      </c>
    </row>
    <row r="65" spans="1:3" ht="42.75">
      <c r="A65" s="59" t="s">
        <v>93</v>
      </c>
      <c r="B65" s="31" t="s">
        <v>239</v>
      </c>
      <c r="C65" s="32">
        <f>[14]С2!F22</f>
        <v>38698.422798410109</v>
      </c>
    </row>
    <row r="66" spans="1:3" ht="30">
      <c r="A66" s="59" t="s">
        <v>95</v>
      </c>
      <c r="B66" s="60" t="s">
        <v>240</v>
      </c>
      <c r="C66" s="32">
        <f>[14]С2!F23</f>
        <v>1990</v>
      </c>
    </row>
    <row r="67" spans="1:3" ht="30">
      <c r="A67" s="59" t="s">
        <v>97</v>
      </c>
      <c r="B67" s="52" t="s">
        <v>98</v>
      </c>
      <c r="C67" s="32">
        <f>[14]С2.1!E27</f>
        <v>14307.876789999998</v>
      </c>
    </row>
    <row r="68" spans="1:3" ht="38.25">
      <c r="A68" s="59" t="s">
        <v>99</v>
      </c>
      <c r="B68" s="67" t="s">
        <v>100</v>
      </c>
      <c r="C68" s="51">
        <f>[14]С2.3!E21</f>
        <v>0</v>
      </c>
    </row>
    <row r="69" spans="1:3" ht="25.5">
      <c r="A69" s="59" t="s">
        <v>101</v>
      </c>
      <c r="B69" s="68" t="s">
        <v>102</v>
      </c>
      <c r="C69" s="69">
        <f>[14]С2.3!E11</f>
        <v>9.89</v>
      </c>
    </row>
    <row r="70" spans="1:3" ht="25.5">
      <c r="A70" s="59" t="s">
        <v>103</v>
      </c>
      <c r="B70" s="68" t="s">
        <v>104</v>
      </c>
      <c r="C70" s="64">
        <f>[14]С2.3!E13</f>
        <v>300</v>
      </c>
    </row>
    <row r="71" spans="1:3" ht="25.5">
      <c r="A71" s="59" t="s">
        <v>105</v>
      </c>
      <c r="B71" s="67" t="s">
        <v>106</v>
      </c>
      <c r="C71" s="70">
        <f>IF([14]С2.3!E22&gt;0,[14]С2.3!E22,[14]С2.3!E14)</f>
        <v>61211</v>
      </c>
    </row>
    <row r="72" spans="1:3" ht="38.25">
      <c r="A72" s="59" t="s">
        <v>107</v>
      </c>
      <c r="B72" s="67" t="s">
        <v>108</v>
      </c>
      <c r="C72" s="70">
        <f>IF([14]С2.3!E23&gt;0,[14]С2.3!E23,[14]С2.3!E15)</f>
        <v>45675</v>
      </c>
    </row>
    <row r="73" spans="1:3" ht="30">
      <c r="A73" s="59" t="s">
        <v>109</v>
      </c>
      <c r="B73" s="52" t="s">
        <v>110</v>
      </c>
      <c r="C73" s="32">
        <f>[14]С2.1!E28</f>
        <v>9541.9567200000001</v>
      </c>
    </row>
    <row r="74" spans="1:3" ht="38.25">
      <c r="A74" s="59" t="s">
        <v>111</v>
      </c>
      <c r="B74" s="67" t="s">
        <v>112</v>
      </c>
      <c r="C74" s="51">
        <f>[14]С2.3!E25</f>
        <v>0</v>
      </c>
    </row>
    <row r="75" spans="1:3" ht="25.5">
      <c r="A75" s="59" t="s">
        <v>113</v>
      </c>
      <c r="B75" s="68" t="s">
        <v>114</v>
      </c>
      <c r="C75" s="69">
        <f>[14]С2.3!E12</f>
        <v>0.56000000000000005</v>
      </c>
    </row>
    <row r="76" spans="1:3" ht="25.5">
      <c r="A76" s="59" t="s">
        <v>115</v>
      </c>
      <c r="B76" s="68" t="s">
        <v>104</v>
      </c>
      <c r="C76" s="64">
        <f>[14]С2.3!E13</f>
        <v>300</v>
      </c>
    </row>
    <row r="77" spans="1:3" ht="25.5">
      <c r="A77" s="59" t="s">
        <v>116</v>
      </c>
      <c r="B77" s="71" t="s">
        <v>117</v>
      </c>
      <c r="C77" s="70">
        <f>IF([14]С2.3!E26&gt;0,[14]С2.3!E26,[14]С2.3!E16)</f>
        <v>65637</v>
      </c>
    </row>
    <row r="78" spans="1:3" ht="38.25">
      <c r="A78" s="59" t="s">
        <v>118</v>
      </c>
      <c r="B78" s="71" t="s">
        <v>119</v>
      </c>
      <c r="C78" s="70">
        <f>IF([14]С2.3!E27&gt;0,[14]С2.3!E27,[14]С2.3!E17)</f>
        <v>31684</v>
      </c>
    </row>
    <row r="79" spans="1:3" ht="17.25">
      <c r="A79" s="59" t="s">
        <v>122</v>
      </c>
      <c r="B79" s="31" t="s">
        <v>123</v>
      </c>
      <c r="C79" s="34">
        <f>[14]С2!F29</f>
        <v>9.5962865259740182E-2</v>
      </c>
    </row>
    <row r="80" spans="1:3" ht="30">
      <c r="A80" s="59" t="s">
        <v>124</v>
      </c>
      <c r="B80" s="52" t="s">
        <v>125</v>
      </c>
      <c r="C80" s="72">
        <f>[14]С2!F30</f>
        <v>8.4029304029304031E-2</v>
      </c>
    </row>
    <row r="81" spans="1:3" ht="17.25">
      <c r="A81" s="59" t="s">
        <v>126</v>
      </c>
      <c r="B81" s="73" t="s">
        <v>127</v>
      </c>
      <c r="C81" s="34">
        <f>[14]С2!F31</f>
        <v>0.13880000000000001</v>
      </c>
    </row>
    <row r="82" spans="1:3" s="65" customFormat="1" ht="18" thickBot="1">
      <c r="A82" s="74" t="s">
        <v>128</v>
      </c>
      <c r="B82" s="75" t="s">
        <v>129</v>
      </c>
      <c r="C82" s="76">
        <f>[14]С2!F32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[14]С3!F14</f>
        <v>6081.0916722812572</v>
      </c>
    </row>
    <row r="86" spans="1:3" s="65" customFormat="1" ht="42.75">
      <c r="A86" s="78" t="s">
        <v>134</v>
      </c>
      <c r="B86" s="52" t="s">
        <v>135</v>
      </c>
      <c r="C86" s="79">
        <f>[14]С3!F15</f>
        <v>0.2</v>
      </c>
    </row>
    <row r="87" spans="1:3" s="65" customFormat="1" ht="14.25">
      <c r="A87" s="78" t="s">
        <v>136</v>
      </c>
      <c r="B87" s="80" t="s">
        <v>137</v>
      </c>
      <c r="C87" s="64">
        <f>[14]С3!F18</f>
        <v>15</v>
      </c>
    </row>
    <row r="88" spans="1:3" s="65" customFormat="1" ht="17.25">
      <c r="A88" s="78" t="s">
        <v>138</v>
      </c>
      <c r="B88" s="31" t="s">
        <v>139</v>
      </c>
      <c r="C88" s="32">
        <f>[14]С3!F19</f>
        <v>3778.1614077800232</v>
      </c>
    </row>
    <row r="89" spans="1:3" s="65" customFormat="1" ht="55.5">
      <c r="A89" s="78" t="s">
        <v>140</v>
      </c>
      <c r="B89" s="52" t="s">
        <v>141</v>
      </c>
      <c r="C89" s="81">
        <f>[14]С3!F20</f>
        <v>2.1999999999999999E-2</v>
      </c>
    </row>
    <row r="90" spans="1:3" s="65" customFormat="1" ht="14.25">
      <c r="A90" s="78" t="s">
        <v>142</v>
      </c>
      <c r="B90" s="58" t="s">
        <v>86</v>
      </c>
      <c r="C90" s="64">
        <f>[14]С3!F21</f>
        <v>10</v>
      </c>
    </row>
    <row r="91" spans="1:3" s="65" customFormat="1" ht="17.25">
      <c r="A91" s="78" t="s">
        <v>143</v>
      </c>
      <c r="B91" s="31" t="s">
        <v>144</v>
      </c>
      <c r="C91" s="32">
        <f>[14]С3!F22</f>
        <v>5.6015848440000635</v>
      </c>
    </row>
    <row r="92" spans="1:3" s="65" customFormat="1" ht="55.5">
      <c r="A92" s="78" t="s">
        <v>145</v>
      </c>
      <c r="B92" s="52" t="s">
        <v>146</v>
      </c>
      <c r="C92" s="81">
        <f>[14]С3!F23</f>
        <v>3.0000000000000001E-3</v>
      </c>
    </row>
    <row r="93" spans="1:3" s="65" customFormat="1" ht="27.75" thickBot="1">
      <c r="A93" s="82" t="s">
        <v>147</v>
      </c>
      <c r="B93" s="83" t="s">
        <v>241</v>
      </c>
      <c r="C93" s="84">
        <f>[14]С3!F24</f>
        <v>1867.194948000021</v>
      </c>
    </row>
    <row r="94" spans="1:3" ht="13.5" thickBot="1">
      <c r="A94" s="47"/>
      <c r="B94" s="48"/>
      <c r="C94" s="14"/>
    </row>
    <row r="95" spans="1:3" ht="30" customHeight="1">
      <c r="A95" s="85" t="s">
        <v>148</v>
      </c>
      <c r="B95" s="145" t="s">
        <v>149</v>
      </c>
      <c r="C95" s="145"/>
    </row>
    <row r="96" spans="1:3" ht="30">
      <c r="A96" s="59" t="s">
        <v>150</v>
      </c>
      <c r="B96" s="31" t="s">
        <v>242</v>
      </c>
      <c r="C96" s="32">
        <f>[14]С4!F16</f>
        <v>1652.5</v>
      </c>
    </row>
    <row r="97" spans="1:3" ht="30">
      <c r="A97" s="59" t="s">
        <v>152</v>
      </c>
      <c r="B97" s="58" t="s">
        <v>243</v>
      </c>
      <c r="C97" s="32">
        <f>[14]С4!F17</f>
        <v>73547</v>
      </c>
    </row>
    <row r="98" spans="1:3" ht="17.25">
      <c r="A98" s="59" t="s">
        <v>154</v>
      </c>
      <c r="B98" s="58" t="s">
        <v>155</v>
      </c>
      <c r="C98" s="40">
        <f>[14]С4!F18</f>
        <v>0.02</v>
      </c>
    </row>
    <row r="99" spans="1:3" ht="30">
      <c r="A99" s="59" t="s">
        <v>156</v>
      </c>
      <c r="B99" s="58" t="s">
        <v>157</v>
      </c>
      <c r="C99" s="32">
        <f>[14]С4!F19</f>
        <v>12104</v>
      </c>
    </row>
    <row r="100" spans="1:3" ht="31.5">
      <c r="A100" s="59" t="s">
        <v>158</v>
      </c>
      <c r="B100" s="58" t="s">
        <v>159</v>
      </c>
      <c r="C100" s="40">
        <f>[14]С4!F20</f>
        <v>1.4999999999999999E-2</v>
      </c>
    </row>
    <row r="101" spans="1:3" ht="30">
      <c r="A101" s="59" t="s">
        <v>160</v>
      </c>
      <c r="B101" s="31" t="s">
        <v>244</v>
      </c>
      <c r="C101" s="32">
        <f>[14]С4!F21</f>
        <v>1933.1949342509995</v>
      </c>
    </row>
    <row r="102" spans="1:3" ht="24" customHeight="1">
      <c r="A102" s="59" t="s">
        <v>162</v>
      </c>
      <c r="B102" s="52" t="s">
        <v>163</v>
      </c>
      <c r="C102" s="33">
        <f>IF([14]С4.2!F8="да",[14]С4.2!D21,[14]С4.2!D15)</f>
        <v>0</v>
      </c>
    </row>
    <row r="103" spans="1:3" ht="68.25">
      <c r="A103" s="59" t="s">
        <v>164</v>
      </c>
      <c r="B103" s="52" t="s">
        <v>165</v>
      </c>
      <c r="C103" s="32">
        <f>[14]С4!F22</f>
        <v>3.6112641666666665</v>
      </c>
    </row>
    <row r="104" spans="1:3" ht="30">
      <c r="A104" s="59" t="s">
        <v>166</v>
      </c>
      <c r="B104" s="58" t="s">
        <v>245</v>
      </c>
      <c r="C104" s="32">
        <f>[14]С4!F23</f>
        <v>180</v>
      </c>
    </row>
    <row r="105" spans="1:3" ht="14.25">
      <c r="A105" s="59" t="s">
        <v>168</v>
      </c>
      <c r="B105" s="52" t="s">
        <v>169</v>
      </c>
      <c r="C105" s="32">
        <f>[14]С4!F24</f>
        <v>8497.1999999999989</v>
      </c>
    </row>
    <row r="106" spans="1:3" ht="14.25">
      <c r="A106" s="59" t="s">
        <v>170</v>
      </c>
      <c r="B106" s="58" t="s">
        <v>171</v>
      </c>
      <c r="C106" s="40">
        <f>[14]С4!F25</f>
        <v>0.35</v>
      </c>
    </row>
    <row r="107" spans="1:3" ht="17.25">
      <c r="A107" s="59" t="s">
        <v>172</v>
      </c>
      <c r="B107" s="31" t="s">
        <v>173</v>
      </c>
      <c r="C107" s="32">
        <f>[14]С4!F26</f>
        <v>85.988129999999998</v>
      </c>
    </row>
    <row r="108" spans="1:3" ht="25.5">
      <c r="A108" s="59" t="s">
        <v>174</v>
      </c>
      <c r="B108" s="52" t="s">
        <v>100</v>
      </c>
      <c r="C108" s="33">
        <f>[14]С4.3!E16</f>
        <v>0</v>
      </c>
    </row>
    <row r="109" spans="1:3" ht="25.5">
      <c r="A109" s="59" t="s">
        <v>175</v>
      </c>
      <c r="B109" s="52" t="s">
        <v>176</v>
      </c>
      <c r="C109" s="32">
        <f>[14]С4.3!E17</f>
        <v>20.350000000000001</v>
      </c>
    </row>
    <row r="110" spans="1:3" ht="38.25">
      <c r="A110" s="59" t="s">
        <v>177</v>
      </c>
      <c r="B110" s="52" t="s">
        <v>112</v>
      </c>
      <c r="C110" s="33">
        <f>[14]С4.3!E18</f>
        <v>0</v>
      </c>
    </row>
    <row r="111" spans="1:3">
      <c r="A111" s="59" t="s">
        <v>178</v>
      </c>
      <c r="B111" s="52" t="s">
        <v>179</v>
      </c>
      <c r="C111" s="32">
        <f>[14]С4.3!E19</f>
        <v>71.67</v>
      </c>
    </row>
    <row r="112" spans="1:3">
      <c r="A112" s="59" t="s">
        <v>180</v>
      </c>
      <c r="B112" s="58" t="s">
        <v>181</v>
      </c>
      <c r="C112" s="32">
        <f>[14]С4.3!E11</f>
        <v>1871</v>
      </c>
    </row>
    <row r="113" spans="1:3">
      <c r="A113" s="59" t="s">
        <v>182</v>
      </c>
      <c r="B113" s="58" t="s">
        <v>183</v>
      </c>
      <c r="C113" s="51">
        <f>[14]С4.3!E12</f>
        <v>1636</v>
      </c>
    </row>
    <row r="114" spans="1:3">
      <c r="A114" s="59" t="s">
        <v>184</v>
      </c>
      <c r="B114" s="58" t="s">
        <v>185</v>
      </c>
      <c r="C114" s="51">
        <f>[14]С4.3!E13</f>
        <v>204</v>
      </c>
    </row>
    <row r="115" spans="1:3" ht="30">
      <c r="A115" s="59" t="s">
        <v>186</v>
      </c>
      <c r="B115" s="31" t="s">
        <v>246</v>
      </c>
      <c r="C115" s="32">
        <f>[14]С4!F27</f>
        <v>1291.2863994686898</v>
      </c>
    </row>
    <row r="116" spans="1:3" ht="25.5">
      <c r="A116" s="59" t="s">
        <v>188</v>
      </c>
      <c r="B116" s="52" t="s">
        <v>247</v>
      </c>
      <c r="C116" s="32">
        <f>[14]С4!F28</f>
        <v>991.77142816335618</v>
      </c>
    </row>
    <row r="117" spans="1:3" ht="42.75">
      <c r="A117" s="59" t="s">
        <v>190</v>
      </c>
      <c r="B117" s="52" t="s">
        <v>191</v>
      </c>
      <c r="C117" s="32">
        <f>[14]С4!F29</f>
        <v>299.51497130533357</v>
      </c>
    </row>
    <row r="118" spans="1:3" ht="30">
      <c r="A118" s="59" t="s">
        <v>192</v>
      </c>
      <c r="B118" s="39" t="s">
        <v>193</v>
      </c>
      <c r="C118" s="32">
        <f>[14]С4!F30</f>
        <v>1661.3483501962958</v>
      </c>
    </row>
    <row r="119" spans="1:3" ht="42.75">
      <c r="A119" s="59" t="s">
        <v>248</v>
      </c>
      <c r="B119" s="89" t="s">
        <v>249</v>
      </c>
      <c r="C119" s="32">
        <f>[14]С4!F33</f>
        <v>941.23206592784356</v>
      </c>
    </row>
    <row r="120" spans="1:3" ht="30">
      <c r="A120" s="59" t="s">
        <v>250</v>
      </c>
      <c r="B120" s="121" t="s">
        <v>251</v>
      </c>
      <c r="C120" s="32">
        <f>[14]С4!F35</f>
        <v>17.040680999999999</v>
      </c>
    </row>
    <row r="121" spans="1:3" ht="14.25">
      <c r="A121" s="59" t="s">
        <v>252</v>
      </c>
      <c r="B121" s="55" t="s">
        <v>253</v>
      </c>
      <c r="C121" s="32">
        <f>[14]С4!F36</f>
        <v>14319.9</v>
      </c>
    </row>
    <row r="122" spans="1:3" ht="28.5" thickBot="1">
      <c r="A122" s="74" t="s">
        <v>254</v>
      </c>
      <c r="B122" s="122" t="s">
        <v>255</v>
      </c>
      <c r="C122" s="84">
        <f>[14]С4!F37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[14]С5!F17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[14]С2!F37</f>
        <v>20.818139999999996</v>
      </c>
    </row>
    <row r="136" spans="1:4" ht="14.25">
      <c r="A136" s="59" t="s">
        <v>214</v>
      </c>
      <c r="B136" s="128" t="s">
        <v>215</v>
      </c>
      <c r="C136" s="32">
        <f>[14]С2!F38</f>
        <v>7</v>
      </c>
    </row>
    <row r="137" spans="1:4" ht="17.25">
      <c r="A137" s="59" t="s">
        <v>216</v>
      </c>
      <c r="B137" s="128" t="s">
        <v>217</v>
      </c>
      <c r="C137" s="32">
        <f>[14]С2!F40</f>
        <v>0.97</v>
      </c>
    </row>
    <row r="138" spans="1:4" ht="15" thickBot="1">
      <c r="A138" s="74" t="s">
        <v>218</v>
      </c>
      <c r="B138" s="129" t="s">
        <v>219</v>
      </c>
      <c r="C138" s="46">
        <f>[14]С2!F42</f>
        <v>0.35</v>
      </c>
    </row>
    <row r="139" spans="1:4" s="87" customFormat="1" ht="13.5" thickBot="1">
      <c r="A139" s="47"/>
      <c r="B139" s="48"/>
      <c r="C139" s="14"/>
    </row>
    <row r="140" spans="1:4" ht="30">
      <c r="A140" s="85" t="s">
        <v>220</v>
      </c>
      <c r="B140" s="95" t="s">
        <v>258</v>
      </c>
      <c r="C140" s="130">
        <f>[14]С2!F35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[14]С2.5!$E$11</f>
        <v>-2.9000000000000026E-2</v>
      </c>
      <c r="D143" s="87"/>
    </row>
    <row r="144" spans="1:4">
      <c r="A144" s="97"/>
      <c r="B144" s="104">
        <f>B143+1</f>
        <v>2021</v>
      </c>
      <c r="C144" s="135">
        <f>[14]С2.5!$F$11</f>
        <v>0.245</v>
      </c>
      <c r="D144" s="87"/>
    </row>
    <row r="145" spans="1:4">
      <c r="A145" s="97"/>
      <c r="B145" s="104">
        <f t="shared" ref="B145:B208" si="0">B144+1</f>
        <v>2022</v>
      </c>
      <c r="C145" s="135">
        <f>[14]С2.5!$G$11</f>
        <v>0.114</v>
      </c>
      <c r="D145" s="87"/>
    </row>
    <row r="146" spans="1:4" ht="13.5" thickBot="1">
      <c r="A146" s="97"/>
      <c r="B146" s="106">
        <f t="shared" si="0"/>
        <v>2023</v>
      </c>
      <c r="C146" s="136">
        <f>[14]С2.5!$H$11</f>
        <v>2.4E-2</v>
      </c>
      <c r="D146" s="87"/>
    </row>
    <row r="147" spans="1:4">
      <c r="A147" s="97"/>
      <c r="B147" s="137">
        <f t="shared" si="0"/>
        <v>2024</v>
      </c>
      <c r="C147" s="138">
        <f>[14]С2.5!$I$11</f>
        <v>8.5999999999999993E-2</v>
      </c>
      <c r="D147" s="87"/>
    </row>
    <row r="148" spans="1:4" hidden="1">
      <c r="A148" s="97"/>
      <c r="B148" s="104">
        <f t="shared" si="0"/>
        <v>2025</v>
      </c>
      <c r="C148" s="135">
        <f>[14]С2.5!$J$11</f>
        <v>0.21215960863291</v>
      </c>
      <c r="D148" s="87"/>
    </row>
    <row r="149" spans="1:4" hidden="1">
      <c r="A149" s="97"/>
      <c r="B149" s="104">
        <f t="shared" si="0"/>
        <v>2026</v>
      </c>
      <c r="C149" s="135">
        <f>[14]С2.5!$K$11</f>
        <v>3.5813361771260002E-2</v>
      </c>
      <c r="D149" s="87"/>
    </row>
    <row r="150" spans="1:4" hidden="1">
      <c r="A150" s="97"/>
      <c r="B150" s="104">
        <f t="shared" si="0"/>
        <v>2027</v>
      </c>
      <c r="C150" s="135">
        <f>[14]С2.5!$L$11</f>
        <v>3.2682303599220003E-2</v>
      </c>
      <c r="D150" s="87"/>
    </row>
    <row r="151" spans="1:4" hidden="1">
      <c r="A151" s="97"/>
      <c r="B151" s="104">
        <f t="shared" si="0"/>
        <v>2028</v>
      </c>
      <c r="C151" s="135">
        <f>[14]С2.5!$M$11</f>
        <v>0</v>
      </c>
      <c r="D151" s="87"/>
    </row>
    <row r="152" spans="1:4" hidden="1">
      <c r="A152" s="97"/>
      <c r="B152" s="104">
        <f t="shared" si="0"/>
        <v>2029</v>
      </c>
      <c r="C152" s="135">
        <f>[14]С2.5!$N$11</f>
        <v>0</v>
      </c>
      <c r="D152" s="87"/>
    </row>
    <row r="153" spans="1:4" hidden="1">
      <c r="A153" s="97"/>
      <c r="B153" s="104">
        <f t="shared" si="0"/>
        <v>2030</v>
      </c>
      <c r="C153" s="135">
        <f>[14]С2.5!$O$11</f>
        <v>0</v>
      </c>
      <c r="D153" s="87"/>
    </row>
    <row r="154" spans="1:4" hidden="1">
      <c r="A154" s="97"/>
      <c r="B154" s="104">
        <f t="shared" si="0"/>
        <v>2031</v>
      </c>
      <c r="C154" s="135">
        <f>[14]С2.5!$P$11</f>
        <v>0</v>
      </c>
      <c r="D154" s="87"/>
    </row>
    <row r="155" spans="1:4" hidden="1">
      <c r="A155" s="87"/>
      <c r="B155" s="104">
        <f t="shared" si="0"/>
        <v>2032</v>
      </c>
      <c r="C155" s="135">
        <f>[14]С2.5!$Q$11</f>
        <v>0</v>
      </c>
      <c r="D155" s="87"/>
    </row>
    <row r="156" spans="1:4" hidden="1">
      <c r="A156" s="87"/>
      <c r="B156" s="104">
        <f t="shared" si="0"/>
        <v>2033</v>
      </c>
      <c r="C156" s="135">
        <f>[14]С2.5!$R$11</f>
        <v>0</v>
      </c>
      <c r="D156" s="87"/>
    </row>
    <row r="157" spans="1:4" hidden="1">
      <c r="B157" s="104">
        <f t="shared" si="0"/>
        <v>2034</v>
      </c>
      <c r="C157" s="135">
        <f>[14]С2.5!$S$11</f>
        <v>0</v>
      </c>
    </row>
    <row r="158" spans="1:4" hidden="1">
      <c r="B158" s="104">
        <f t="shared" si="0"/>
        <v>2035</v>
      </c>
      <c r="C158" s="135">
        <f>[14]С2.5!$T$11</f>
        <v>0</v>
      </c>
    </row>
    <row r="159" spans="1:4" hidden="1">
      <c r="B159" s="104">
        <f t="shared" si="0"/>
        <v>2036</v>
      </c>
      <c r="C159" s="135">
        <f>[14]С2.5!$U$11</f>
        <v>0</v>
      </c>
    </row>
    <row r="160" spans="1:4" hidden="1">
      <c r="B160" s="104">
        <f t="shared" si="0"/>
        <v>2037</v>
      </c>
      <c r="C160" s="135">
        <f>[14]С2.5!$V$11</f>
        <v>0</v>
      </c>
    </row>
    <row r="161" spans="2:3" hidden="1">
      <c r="B161" s="104">
        <f t="shared" si="0"/>
        <v>2038</v>
      </c>
      <c r="C161" s="135">
        <f>[14]С2.5!$W$11</f>
        <v>0</v>
      </c>
    </row>
    <row r="162" spans="2:3" hidden="1">
      <c r="B162" s="104">
        <f t="shared" si="0"/>
        <v>2039</v>
      </c>
      <c r="C162" s="135">
        <f>[14]С2.5!$X$11</f>
        <v>0</v>
      </c>
    </row>
    <row r="163" spans="2:3" hidden="1">
      <c r="B163" s="104">
        <f t="shared" si="0"/>
        <v>2040</v>
      </c>
      <c r="C163" s="135">
        <f>[14]С2.5!$Y$11</f>
        <v>0</v>
      </c>
    </row>
    <row r="164" spans="2:3" hidden="1">
      <c r="B164" s="104">
        <f t="shared" si="0"/>
        <v>2041</v>
      </c>
      <c r="C164" s="135">
        <f>[14]С2.5!$Z$11</f>
        <v>0</v>
      </c>
    </row>
    <row r="165" spans="2:3" hidden="1">
      <c r="B165" s="104">
        <f t="shared" si="0"/>
        <v>2042</v>
      </c>
      <c r="C165" s="135">
        <f>[14]С2.5!$AA$11</f>
        <v>0</v>
      </c>
    </row>
    <row r="166" spans="2:3" hidden="1">
      <c r="B166" s="104">
        <f t="shared" si="0"/>
        <v>2043</v>
      </c>
      <c r="C166" s="135">
        <f>[14]С2.5!$AB$11</f>
        <v>0</v>
      </c>
    </row>
    <row r="167" spans="2:3" hidden="1">
      <c r="B167" s="104">
        <f t="shared" si="0"/>
        <v>2044</v>
      </c>
      <c r="C167" s="135">
        <f>[14]С2.5!$AC$11</f>
        <v>0</v>
      </c>
    </row>
    <row r="168" spans="2:3" hidden="1">
      <c r="B168" s="104">
        <f t="shared" si="0"/>
        <v>2045</v>
      </c>
      <c r="C168" s="135">
        <f>[14]С2.5!$AD$11</f>
        <v>0</v>
      </c>
    </row>
    <row r="169" spans="2:3" hidden="1">
      <c r="B169" s="104">
        <f t="shared" si="0"/>
        <v>2046</v>
      </c>
      <c r="C169" s="135">
        <f>[14]С2.5!$AE$11</f>
        <v>0</v>
      </c>
    </row>
    <row r="170" spans="2:3" hidden="1">
      <c r="B170" s="104">
        <f t="shared" si="0"/>
        <v>2047</v>
      </c>
      <c r="C170" s="135">
        <f>[14]С2.5!$AF$11</f>
        <v>0</v>
      </c>
    </row>
    <row r="171" spans="2:3" hidden="1">
      <c r="B171" s="104">
        <f t="shared" si="0"/>
        <v>2048</v>
      </c>
      <c r="C171" s="135">
        <f>[14]С2.5!$AG$11</f>
        <v>0</v>
      </c>
    </row>
    <row r="172" spans="2:3" hidden="1">
      <c r="B172" s="104">
        <f t="shared" si="0"/>
        <v>2049</v>
      </c>
      <c r="C172" s="135">
        <f>[14]С2.5!$AH$11</f>
        <v>0</v>
      </c>
    </row>
    <row r="173" spans="2:3" hidden="1">
      <c r="B173" s="104">
        <f t="shared" si="0"/>
        <v>2050</v>
      </c>
      <c r="C173" s="135">
        <f>[14]С2.5!$AI$11</f>
        <v>0</v>
      </c>
    </row>
    <row r="174" spans="2:3" hidden="1">
      <c r="B174" s="104">
        <f t="shared" si="0"/>
        <v>2051</v>
      </c>
      <c r="C174" s="135">
        <f>[14]С2.5!$AJ$11</f>
        <v>0</v>
      </c>
    </row>
    <row r="175" spans="2:3" hidden="1">
      <c r="B175" s="104">
        <f t="shared" si="0"/>
        <v>2052</v>
      </c>
      <c r="C175" s="135">
        <f>[14]С2.5!$AK$11</f>
        <v>0</v>
      </c>
    </row>
    <row r="176" spans="2:3" hidden="1">
      <c r="B176" s="104">
        <f t="shared" si="0"/>
        <v>2053</v>
      </c>
      <c r="C176" s="135">
        <f>[14]С2.5!$AL$11</f>
        <v>0</v>
      </c>
    </row>
    <row r="177" spans="2:3" hidden="1">
      <c r="B177" s="104">
        <f t="shared" si="0"/>
        <v>2054</v>
      </c>
      <c r="C177" s="135">
        <f>[14]С2.5!$AM$11</f>
        <v>0</v>
      </c>
    </row>
    <row r="178" spans="2:3" hidden="1">
      <c r="B178" s="104">
        <f t="shared" si="0"/>
        <v>2055</v>
      </c>
      <c r="C178" s="135">
        <f>[14]С2.5!$AN$11</f>
        <v>0</v>
      </c>
    </row>
    <row r="179" spans="2:3" hidden="1">
      <c r="B179" s="104">
        <f t="shared" si="0"/>
        <v>2056</v>
      </c>
      <c r="C179" s="135">
        <f>[14]С2.5!$AO$11</f>
        <v>0</v>
      </c>
    </row>
    <row r="180" spans="2:3" hidden="1">
      <c r="B180" s="104">
        <f t="shared" si="0"/>
        <v>2057</v>
      </c>
      <c r="C180" s="135">
        <f>[14]С2.5!$AP$11</f>
        <v>0</v>
      </c>
    </row>
    <row r="181" spans="2:3" hidden="1">
      <c r="B181" s="104">
        <f t="shared" si="0"/>
        <v>2058</v>
      </c>
      <c r="C181" s="135">
        <f>[14]С2.5!$AQ$11</f>
        <v>0</v>
      </c>
    </row>
    <row r="182" spans="2:3" hidden="1">
      <c r="B182" s="104">
        <f t="shared" si="0"/>
        <v>2059</v>
      </c>
      <c r="C182" s="135">
        <f>[14]С2.5!$AR$11</f>
        <v>0</v>
      </c>
    </row>
    <row r="183" spans="2:3" hidden="1">
      <c r="B183" s="104">
        <f t="shared" si="0"/>
        <v>2060</v>
      </c>
      <c r="C183" s="135">
        <f>[14]С2.5!$AS$11</f>
        <v>0</v>
      </c>
    </row>
    <row r="184" spans="2:3" hidden="1">
      <c r="B184" s="104">
        <f t="shared" si="0"/>
        <v>2061</v>
      </c>
      <c r="C184" s="135">
        <f>[14]С2.5!$AT$11</f>
        <v>0</v>
      </c>
    </row>
    <row r="185" spans="2:3" hidden="1">
      <c r="B185" s="104">
        <f t="shared" si="0"/>
        <v>2062</v>
      </c>
      <c r="C185" s="135">
        <f>[14]С2.5!$AU$11</f>
        <v>0</v>
      </c>
    </row>
    <row r="186" spans="2:3" hidden="1">
      <c r="B186" s="104">
        <f t="shared" si="0"/>
        <v>2063</v>
      </c>
      <c r="C186" s="135">
        <f>[14]С2.5!$AV$11</f>
        <v>0</v>
      </c>
    </row>
    <row r="187" spans="2:3" hidden="1">
      <c r="B187" s="104">
        <f t="shared" si="0"/>
        <v>2064</v>
      </c>
      <c r="C187" s="135">
        <f>[14]С2.5!$AW$11</f>
        <v>0</v>
      </c>
    </row>
    <row r="188" spans="2:3" hidden="1">
      <c r="B188" s="104">
        <f t="shared" si="0"/>
        <v>2065</v>
      </c>
      <c r="C188" s="135">
        <f>[14]С2.5!$AX$11</f>
        <v>0</v>
      </c>
    </row>
    <row r="189" spans="2:3" hidden="1">
      <c r="B189" s="104">
        <f t="shared" si="0"/>
        <v>2066</v>
      </c>
      <c r="C189" s="135">
        <f>[14]С2.5!$AY$11</f>
        <v>0</v>
      </c>
    </row>
    <row r="190" spans="2:3" hidden="1">
      <c r="B190" s="104">
        <f t="shared" si="0"/>
        <v>2067</v>
      </c>
      <c r="C190" s="135">
        <f>[14]С2.5!$AZ$11</f>
        <v>0</v>
      </c>
    </row>
    <row r="191" spans="2:3" hidden="1">
      <c r="B191" s="104">
        <f t="shared" si="0"/>
        <v>2068</v>
      </c>
      <c r="C191" s="135">
        <f>[14]С2.5!$BA$11</f>
        <v>0</v>
      </c>
    </row>
    <row r="192" spans="2:3" hidden="1">
      <c r="B192" s="104">
        <f t="shared" si="0"/>
        <v>2069</v>
      </c>
      <c r="C192" s="135">
        <f>[14]С2.5!$BB$11</f>
        <v>0</v>
      </c>
    </row>
    <row r="193" spans="2:3" hidden="1">
      <c r="B193" s="104">
        <f t="shared" si="0"/>
        <v>2070</v>
      </c>
      <c r="C193" s="135">
        <f>[14]С2.5!$BC$11</f>
        <v>0</v>
      </c>
    </row>
    <row r="194" spans="2:3" hidden="1">
      <c r="B194" s="104">
        <f t="shared" si="0"/>
        <v>2071</v>
      </c>
      <c r="C194" s="135">
        <f>[14]С2.5!$BD$11</f>
        <v>0</v>
      </c>
    </row>
    <row r="195" spans="2:3" hidden="1">
      <c r="B195" s="104">
        <f t="shared" si="0"/>
        <v>2072</v>
      </c>
      <c r="C195" s="135">
        <f>[14]С2.5!$BE$11</f>
        <v>0</v>
      </c>
    </row>
    <row r="196" spans="2:3" hidden="1">
      <c r="B196" s="104">
        <f t="shared" si="0"/>
        <v>2073</v>
      </c>
      <c r="C196" s="135">
        <f>[14]С2.5!$BF$11</f>
        <v>0</v>
      </c>
    </row>
    <row r="197" spans="2:3" hidden="1">
      <c r="B197" s="104">
        <f t="shared" si="0"/>
        <v>2074</v>
      </c>
      <c r="C197" s="135">
        <f>[14]С2.5!$BG$11</f>
        <v>0</v>
      </c>
    </row>
    <row r="198" spans="2:3" hidden="1">
      <c r="B198" s="104">
        <f t="shared" si="0"/>
        <v>2075</v>
      </c>
      <c r="C198" s="135">
        <f>[14]С2.5!$BH$11</f>
        <v>0</v>
      </c>
    </row>
    <row r="199" spans="2:3" hidden="1">
      <c r="B199" s="104">
        <f t="shared" si="0"/>
        <v>2076</v>
      </c>
      <c r="C199" s="135">
        <f>[14]С2.5!$BI$11</f>
        <v>0</v>
      </c>
    </row>
    <row r="200" spans="2:3" hidden="1">
      <c r="B200" s="104">
        <f t="shared" si="0"/>
        <v>2077</v>
      </c>
      <c r="C200" s="135">
        <f>[14]С2.5!$BJ$11</f>
        <v>0</v>
      </c>
    </row>
    <row r="201" spans="2:3" hidden="1">
      <c r="B201" s="104">
        <f t="shared" si="0"/>
        <v>2078</v>
      </c>
      <c r="C201" s="135">
        <f>[14]С2.5!$BK$11</f>
        <v>0</v>
      </c>
    </row>
    <row r="202" spans="2:3" hidden="1">
      <c r="B202" s="104">
        <f t="shared" si="0"/>
        <v>2079</v>
      </c>
      <c r="C202" s="135">
        <f>[14]С2.5!$BL$11</f>
        <v>0</v>
      </c>
    </row>
    <row r="203" spans="2:3" hidden="1">
      <c r="B203" s="104">
        <f t="shared" si="0"/>
        <v>2080</v>
      </c>
      <c r="C203" s="135">
        <f>[14]С2.5!$BM$11</f>
        <v>0</v>
      </c>
    </row>
    <row r="204" spans="2:3" hidden="1">
      <c r="B204" s="104">
        <f t="shared" si="0"/>
        <v>2081</v>
      </c>
      <c r="C204" s="135">
        <f>[14]С2.5!$BN$11</f>
        <v>0</v>
      </c>
    </row>
    <row r="205" spans="2:3" hidden="1">
      <c r="B205" s="104">
        <f t="shared" si="0"/>
        <v>2082</v>
      </c>
      <c r="C205" s="135">
        <f>[14]С2.5!$BO$11</f>
        <v>0</v>
      </c>
    </row>
    <row r="206" spans="2:3" hidden="1">
      <c r="B206" s="104">
        <f t="shared" si="0"/>
        <v>2083</v>
      </c>
      <c r="C206" s="135">
        <f>[14]С2.5!$BP$11</f>
        <v>0</v>
      </c>
    </row>
    <row r="207" spans="2:3" hidden="1">
      <c r="B207" s="104">
        <f t="shared" si="0"/>
        <v>2084</v>
      </c>
      <c r="C207" s="135">
        <f>[14]С2.5!$BQ$11</f>
        <v>0</v>
      </c>
    </row>
    <row r="208" spans="2:3" hidden="1">
      <c r="B208" s="104">
        <f t="shared" si="0"/>
        <v>2085</v>
      </c>
      <c r="C208" s="135">
        <f>[14]С2.5!$BR$11</f>
        <v>0</v>
      </c>
    </row>
    <row r="209" spans="2:3" hidden="1">
      <c r="B209" s="104">
        <f t="shared" ref="B209:B223" si="1">B208+1</f>
        <v>2086</v>
      </c>
      <c r="C209" s="135">
        <f>[14]С2.5!$BS$11</f>
        <v>0</v>
      </c>
    </row>
    <row r="210" spans="2:3" hidden="1">
      <c r="B210" s="104">
        <f t="shared" si="1"/>
        <v>2087</v>
      </c>
      <c r="C210" s="135">
        <f>[14]С2.5!$BT$11</f>
        <v>0</v>
      </c>
    </row>
    <row r="211" spans="2:3" hidden="1">
      <c r="B211" s="104">
        <f t="shared" si="1"/>
        <v>2088</v>
      </c>
      <c r="C211" s="135">
        <f>[14]С2.5!$BU$11</f>
        <v>0</v>
      </c>
    </row>
    <row r="212" spans="2:3" hidden="1">
      <c r="B212" s="104">
        <f t="shared" si="1"/>
        <v>2089</v>
      </c>
      <c r="C212" s="135">
        <f>[14]С2.5!$BV$11</f>
        <v>0</v>
      </c>
    </row>
    <row r="213" spans="2:3" hidden="1">
      <c r="B213" s="104">
        <f t="shared" si="1"/>
        <v>2090</v>
      </c>
      <c r="C213" s="135">
        <f>[14]С2.5!$BW$11</f>
        <v>0</v>
      </c>
    </row>
    <row r="214" spans="2:3" hidden="1">
      <c r="B214" s="104">
        <f t="shared" si="1"/>
        <v>2091</v>
      </c>
      <c r="C214" s="135">
        <f>[14]С2.5!$BX$11</f>
        <v>0</v>
      </c>
    </row>
    <row r="215" spans="2:3" hidden="1">
      <c r="B215" s="104">
        <f t="shared" si="1"/>
        <v>2092</v>
      </c>
      <c r="C215" s="135">
        <f>[14]С2.5!$BY$11</f>
        <v>0</v>
      </c>
    </row>
    <row r="216" spans="2:3" hidden="1">
      <c r="B216" s="104">
        <f t="shared" si="1"/>
        <v>2093</v>
      </c>
      <c r="C216" s="135">
        <f>[14]С2.5!$BZ$11</f>
        <v>0</v>
      </c>
    </row>
    <row r="217" spans="2:3" hidden="1">
      <c r="B217" s="104">
        <f t="shared" si="1"/>
        <v>2094</v>
      </c>
      <c r="C217" s="135">
        <f>[14]С2.5!$CA$11</f>
        <v>0</v>
      </c>
    </row>
    <row r="218" spans="2:3" hidden="1">
      <c r="B218" s="104">
        <f t="shared" si="1"/>
        <v>2095</v>
      </c>
      <c r="C218" s="135">
        <f>[14]С2.5!$CB$11</f>
        <v>0</v>
      </c>
    </row>
    <row r="219" spans="2:3" hidden="1">
      <c r="B219" s="104">
        <f t="shared" si="1"/>
        <v>2096</v>
      </c>
      <c r="C219" s="135">
        <f>[14]С2.5!$CC$11</f>
        <v>0</v>
      </c>
    </row>
    <row r="220" spans="2:3" hidden="1">
      <c r="B220" s="104">
        <f t="shared" si="1"/>
        <v>2097</v>
      </c>
      <c r="C220" s="135">
        <f>[14]С2.5!$CD$11</f>
        <v>0</v>
      </c>
    </row>
    <row r="221" spans="2:3" hidden="1">
      <c r="B221" s="104">
        <f t="shared" si="1"/>
        <v>2098</v>
      </c>
      <c r="C221" s="135">
        <f>[14]С2.5!$CE$11</f>
        <v>0</v>
      </c>
    </row>
    <row r="222" spans="2:3" hidden="1">
      <c r="B222" s="104">
        <f t="shared" si="1"/>
        <v>2099</v>
      </c>
      <c r="C222" s="135">
        <f>[14]С2.5!$CF$11</f>
        <v>0</v>
      </c>
    </row>
    <row r="223" spans="2:3" ht="13.5" hidden="1" thickBot="1">
      <c r="B223" s="106">
        <f t="shared" si="1"/>
        <v>2100</v>
      </c>
      <c r="C223" s="136">
        <f>[14]С2.5!$CG$11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1505" r:id="rId3" name="Button 1">
              <controlPr defaultSize="0" print="0" autoFill="0" autoPict="0" macro="[1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mc:AlternateContent xmlns:mc="http://schemas.openxmlformats.org/markup-compatibility/2006">
          <mc:Choice Requires="x14">
            <control shapeId="21506" r:id="rId4" name="Button 2">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[16]И1!D13</f>
        <v>Субъект Российской Федерации</v>
      </c>
      <c r="C4" s="9" t="str">
        <f>[16]И1!E13</f>
        <v>Новосибирская область</v>
      </c>
    </row>
    <row r="5" spans="1:3" ht="46.9" customHeight="1">
      <c r="A5" s="7"/>
      <c r="B5" s="8" t="str">
        <f>[16]И1!D14</f>
        <v>Тип муниципального образования (выберите из списка)</v>
      </c>
      <c r="C5" s="9" t="str">
        <f>[16]И1!E14</f>
        <v>село Варламово, Болотнинский муниципальный район</v>
      </c>
    </row>
    <row r="6" spans="1:3">
      <c r="A6" s="7"/>
      <c r="B6" s="8" t="str">
        <f>IF([16]И1!E15="","",[16]И1!D15)</f>
        <v/>
      </c>
      <c r="C6" s="9" t="str">
        <f>IF([16]И1!E15="","",[16]И1!E15)</f>
        <v/>
      </c>
    </row>
    <row r="7" spans="1:3">
      <c r="A7" s="7"/>
      <c r="B7" s="8" t="str">
        <f>[16]И1!D16</f>
        <v>Код ОКТМО</v>
      </c>
      <c r="C7" s="10" t="str">
        <f>[16]И1!E16</f>
        <v>50606410101</v>
      </c>
    </row>
    <row r="8" spans="1:3">
      <c r="A8" s="7"/>
      <c r="B8" s="11" t="str">
        <f>[16]И1!D17</f>
        <v>Система теплоснабжения</v>
      </c>
      <c r="C8" s="12">
        <f>[16]И1!E17</f>
        <v>0</v>
      </c>
    </row>
    <row r="9" spans="1:3">
      <c r="A9" s="7"/>
      <c r="B9" s="8" t="str">
        <f>[16]И1!D8</f>
        <v>Период регулирования (i)-й</v>
      </c>
      <c r="C9" s="13">
        <f>[16]И1!E8</f>
        <v>2024</v>
      </c>
    </row>
    <row r="10" spans="1:3">
      <c r="A10" s="7"/>
      <c r="B10" s="8" t="str">
        <f>[16]И1!D9</f>
        <v>Период регулирования (i-1)-й</v>
      </c>
      <c r="C10" s="13">
        <f>[16]И1!E9</f>
        <v>2023</v>
      </c>
    </row>
    <row r="11" spans="1:3">
      <c r="A11" s="7"/>
      <c r="B11" s="8" t="str">
        <f>[16]И1!D10</f>
        <v>Период регулирования (i-2)-й</v>
      </c>
      <c r="C11" s="13">
        <f>[16]И1!E10</f>
        <v>2022</v>
      </c>
    </row>
    <row r="12" spans="1:3">
      <c r="A12" s="7"/>
      <c r="B12" s="8" t="str">
        <f>[16]И1!D11</f>
        <v>Базовый год (б)</v>
      </c>
      <c r="C12" s="13">
        <f>[16]И1!E11</f>
        <v>2019</v>
      </c>
    </row>
    <row r="13" spans="1:3" ht="38.25">
      <c r="A13" s="7"/>
      <c r="B13" s="8" t="str">
        <f>[16]И1!D18</f>
        <v>Вид топлива, использование которого преобладает в системе теплоснабжения</v>
      </c>
      <c r="C13" s="14" t="str">
        <f>[16]С1.1!E13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3655.2820024247267</v>
      </c>
    </row>
    <row r="18" spans="1:3" ht="42.75">
      <c r="A18" s="21" t="s">
        <v>8</v>
      </c>
      <c r="B18" s="24" t="s">
        <v>9</v>
      </c>
      <c r="C18" s="25">
        <f>[16]С1!F12</f>
        <v>676.60152105220402</v>
      </c>
    </row>
    <row r="19" spans="1:3" ht="42.75">
      <c r="A19" s="21" t="s">
        <v>10</v>
      </c>
      <c r="B19" s="24" t="s">
        <v>11</v>
      </c>
      <c r="C19" s="25">
        <f>[16]С2!F12</f>
        <v>1993.3494362887216</v>
      </c>
    </row>
    <row r="20" spans="1:3" ht="30">
      <c r="A20" s="21" t="s">
        <v>12</v>
      </c>
      <c r="B20" s="24" t="s">
        <v>13</v>
      </c>
      <c r="C20" s="25">
        <f>[16]С3!F12</f>
        <v>473.85859951490778</v>
      </c>
    </row>
    <row r="21" spans="1:3" ht="42.75">
      <c r="A21" s="21" t="s">
        <v>14</v>
      </c>
      <c r="B21" s="24" t="s">
        <v>226</v>
      </c>
      <c r="C21" s="25">
        <f>[16]С4!F12</f>
        <v>439.80024944291841</v>
      </c>
    </row>
    <row r="22" spans="1:3" ht="30">
      <c r="A22" s="21" t="s">
        <v>16</v>
      </c>
      <c r="B22" s="24" t="s">
        <v>227</v>
      </c>
      <c r="C22" s="25">
        <f>[16]С5!F12</f>
        <v>71.672196125975034</v>
      </c>
    </row>
    <row r="23" spans="1:3" ht="43.5" thickBot="1">
      <c r="A23" s="26" t="s">
        <v>18</v>
      </c>
      <c r="B23" s="140" t="s">
        <v>228</v>
      </c>
      <c r="C23" s="27" t="str">
        <f>[16]С6!F12</f>
        <v>-</v>
      </c>
    </row>
    <row r="24" spans="1:3" ht="13.5" thickBot="1">
      <c r="A24" s="1"/>
    </row>
    <row r="25" spans="1:3">
      <c r="A25" s="15" t="s">
        <v>4</v>
      </c>
      <c r="B25" s="28" t="s">
        <v>5</v>
      </c>
      <c r="C25" s="16" t="s">
        <v>6</v>
      </c>
    </row>
    <row r="26" spans="1:3">
      <c r="A26" s="18">
        <v>1</v>
      </c>
      <c r="B26" s="29">
        <v>2</v>
      </c>
      <c r="C26" s="30">
        <v>3</v>
      </c>
    </row>
    <row r="27" spans="1:3" ht="30" customHeight="1">
      <c r="A27" s="21">
        <v>1</v>
      </c>
      <c r="B27" s="144" t="s">
        <v>20</v>
      </c>
      <c r="C27" s="144"/>
    </row>
    <row r="28" spans="1:3">
      <c r="A28" s="21" t="s">
        <v>8</v>
      </c>
      <c r="B28" s="31" t="s">
        <v>229</v>
      </c>
      <c r="C28" s="32">
        <f>[16]С1.1!E16</f>
        <v>5100</v>
      </c>
    </row>
    <row r="29" spans="1:3" ht="42.75">
      <c r="A29" s="21" t="s">
        <v>10</v>
      </c>
      <c r="B29" s="31" t="s">
        <v>230</v>
      </c>
      <c r="C29" s="32">
        <f>[16]С1.1!E27</f>
        <v>3040</v>
      </c>
    </row>
    <row r="30" spans="1:3" ht="17.25">
      <c r="A30" s="21" t="s">
        <v>12</v>
      </c>
      <c r="B30" s="31" t="s">
        <v>29</v>
      </c>
      <c r="C30" s="34">
        <f>[16]С1.1!E19</f>
        <v>-0.19900000000000001</v>
      </c>
    </row>
    <row r="31" spans="1:3" ht="17.25">
      <c r="A31" s="21" t="s">
        <v>14</v>
      </c>
      <c r="B31" s="31" t="s">
        <v>30</v>
      </c>
      <c r="C31" s="34">
        <f>[16]С1.1!E20</f>
        <v>5.7000000000000002E-2</v>
      </c>
    </row>
    <row r="32" spans="1:3" ht="30">
      <c r="A32" s="21" t="s">
        <v>16</v>
      </c>
      <c r="B32" s="35" t="s">
        <v>231</v>
      </c>
      <c r="C32" s="117">
        <f>[16]С1!F13</f>
        <v>176.4</v>
      </c>
    </row>
    <row r="33" spans="1:3">
      <c r="A33" s="21" t="s">
        <v>18</v>
      </c>
      <c r="B33" s="35" t="s">
        <v>32</v>
      </c>
      <c r="C33" s="37">
        <f>[16]С1!F16</f>
        <v>7000</v>
      </c>
    </row>
    <row r="34" spans="1:3" ht="14.25">
      <c r="A34" s="21" t="s">
        <v>33</v>
      </c>
      <c r="B34" s="39" t="s">
        <v>232</v>
      </c>
      <c r="C34" s="40">
        <f>[16]С1!F17</f>
        <v>0.72857142857142854</v>
      </c>
    </row>
    <row r="35" spans="1:3" ht="15.75">
      <c r="A35" s="118" t="s">
        <v>35</v>
      </c>
      <c r="B35" s="42" t="s">
        <v>36</v>
      </c>
      <c r="C35" s="40">
        <f>[16]С1!F20</f>
        <v>21.588411179999994</v>
      </c>
    </row>
    <row r="36" spans="1:3" ht="15.75">
      <c r="A36" s="118" t="s">
        <v>37</v>
      </c>
      <c r="B36" s="43" t="s">
        <v>38</v>
      </c>
      <c r="C36" s="40">
        <f>[16]С1!F21</f>
        <v>20.818139999999996</v>
      </c>
    </row>
    <row r="37" spans="1:3" ht="14.25">
      <c r="A37" s="118" t="s">
        <v>39</v>
      </c>
      <c r="B37" s="44" t="s">
        <v>40</v>
      </c>
      <c r="C37" s="40">
        <f>[16]С1!F22</f>
        <v>1.0369999999999999</v>
      </c>
    </row>
    <row r="38" spans="1:3" ht="53.25" thickBot="1">
      <c r="A38" s="26" t="s">
        <v>41</v>
      </c>
      <c r="B38" s="45" t="s">
        <v>42</v>
      </c>
      <c r="C38" s="46">
        <f>[16]С1!F23</f>
        <v>1.0469999999999999</v>
      </c>
    </row>
    <row r="39" spans="1:3" ht="13.5" thickBot="1">
      <c r="A39" s="47"/>
      <c r="B39" s="119"/>
      <c r="C39" s="120"/>
    </row>
    <row r="40" spans="1:3" ht="30" customHeight="1">
      <c r="A40" s="49" t="s">
        <v>43</v>
      </c>
      <c r="B40" s="145" t="s">
        <v>44</v>
      </c>
      <c r="C40" s="145"/>
    </row>
    <row r="41" spans="1:3" ht="25.5">
      <c r="A41" s="21" t="s">
        <v>45</v>
      </c>
      <c r="B41" s="35" t="s">
        <v>46</v>
      </c>
      <c r="C41" s="50" t="str">
        <f>[16]С2.1!E12</f>
        <v>V</v>
      </c>
    </row>
    <row r="42" spans="1:3" ht="25.5">
      <c r="A42" s="21" t="s">
        <v>47</v>
      </c>
      <c r="B42" s="31" t="s">
        <v>48</v>
      </c>
      <c r="C42" s="50" t="str">
        <f>[16]С2.1!E13</f>
        <v>6 и менее баллов</v>
      </c>
    </row>
    <row r="43" spans="1:3" ht="25.5">
      <c r="A43" s="21" t="s">
        <v>49</v>
      </c>
      <c r="B43" s="31" t="s">
        <v>233</v>
      </c>
      <c r="C43" s="50" t="str">
        <f>[16]С2.1!E14</f>
        <v>от 200 до 500</v>
      </c>
    </row>
    <row r="44" spans="1:3" ht="25.5">
      <c r="A44" s="21" t="s">
        <v>51</v>
      </c>
      <c r="B44" s="31" t="s">
        <v>234</v>
      </c>
      <c r="C44" s="51" t="str">
        <f>[16]С2.1!E15</f>
        <v>нет</v>
      </c>
    </row>
    <row r="45" spans="1:3" ht="30">
      <c r="A45" s="21" t="s">
        <v>53</v>
      </c>
      <c r="B45" s="31" t="s">
        <v>54</v>
      </c>
      <c r="C45" s="32">
        <f>[16]С2!F18</f>
        <v>35106.652004551666</v>
      </c>
    </row>
    <row r="46" spans="1:3" ht="30">
      <c r="A46" s="21" t="s">
        <v>55</v>
      </c>
      <c r="B46" s="52" t="s">
        <v>56</v>
      </c>
      <c r="C46" s="32">
        <f>IF([16]С2!F19&gt;0,[16]С2!F19,[16]С2!F20)</f>
        <v>23441.524932855718</v>
      </c>
    </row>
    <row r="47" spans="1:3" ht="25.5">
      <c r="A47" s="21" t="s">
        <v>57</v>
      </c>
      <c r="B47" s="53" t="s">
        <v>58</v>
      </c>
      <c r="C47" s="32">
        <f>[16]С2.1!E19</f>
        <v>-38</v>
      </c>
    </row>
    <row r="48" spans="1:3" ht="25.5">
      <c r="A48" s="21" t="s">
        <v>59</v>
      </c>
      <c r="B48" s="53" t="s">
        <v>60</v>
      </c>
      <c r="C48" s="32" t="str">
        <f>[16]С2.1!E22</f>
        <v>нет</v>
      </c>
    </row>
    <row r="49" spans="1:3" ht="38.25">
      <c r="A49" s="21" t="s">
        <v>61</v>
      </c>
      <c r="B49" s="54" t="s">
        <v>62</v>
      </c>
      <c r="C49" s="32">
        <f>[16]С2.2!E10</f>
        <v>1287</v>
      </c>
    </row>
    <row r="50" spans="1:3" ht="25.5">
      <c r="A50" s="21" t="s">
        <v>63</v>
      </c>
      <c r="B50" s="55" t="s">
        <v>64</v>
      </c>
      <c r="C50" s="32">
        <f>[16]С2.2!E12</f>
        <v>5.97</v>
      </c>
    </row>
    <row r="51" spans="1:3" ht="52.5">
      <c r="A51" s="21" t="s">
        <v>65</v>
      </c>
      <c r="B51" s="56" t="s">
        <v>66</v>
      </c>
      <c r="C51" s="32">
        <f>[16]С2.2!E13</f>
        <v>1</v>
      </c>
    </row>
    <row r="52" spans="1:3" ht="27.75">
      <c r="A52" s="21" t="s">
        <v>67</v>
      </c>
      <c r="B52" s="55" t="s">
        <v>68</v>
      </c>
      <c r="C52" s="32">
        <f>[16]С2.2!E14</f>
        <v>12104</v>
      </c>
    </row>
    <row r="53" spans="1:3" ht="25.5">
      <c r="A53" s="21" t="s">
        <v>69</v>
      </c>
      <c r="B53" s="56" t="s">
        <v>70</v>
      </c>
      <c r="C53" s="34">
        <f>[16]С2.2!E15</f>
        <v>4.8000000000000001E-2</v>
      </c>
    </row>
    <row r="54" spans="1:3">
      <c r="A54" s="21" t="s">
        <v>71</v>
      </c>
      <c r="B54" s="56" t="s">
        <v>72</v>
      </c>
      <c r="C54" s="32">
        <f>[16]С2.2!E16</f>
        <v>1</v>
      </c>
    </row>
    <row r="55" spans="1:3" ht="15.75">
      <c r="A55" s="21" t="s">
        <v>73</v>
      </c>
      <c r="B55" s="58" t="s">
        <v>74</v>
      </c>
      <c r="C55" s="32">
        <f>[16]С2!F21</f>
        <v>1</v>
      </c>
    </row>
    <row r="56" spans="1:3" ht="30">
      <c r="A56" s="59" t="s">
        <v>75</v>
      </c>
      <c r="B56" s="31" t="s">
        <v>235</v>
      </c>
      <c r="C56" s="32">
        <f>[16]С2!F13</f>
        <v>183796.83936385796</v>
      </c>
    </row>
    <row r="57" spans="1:3" ht="30">
      <c r="A57" s="59" t="s">
        <v>77</v>
      </c>
      <c r="B57" s="58" t="s">
        <v>236</v>
      </c>
      <c r="C57" s="32">
        <f>[16]С2!F14</f>
        <v>113455</v>
      </c>
    </row>
    <row r="58" spans="1:3" ht="15.75">
      <c r="A58" s="59" t="s">
        <v>79</v>
      </c>
      <c r="B58" s="60" t="s">
        <v>80</v>
      </c>
      <c r="C58" s="40">
        <f>[16]С2!F15</f>
        <v>1.071</v>
      </c>
    </row>
    <row r="59" spans="1:3" ht="15.75">
      <c r="A59" s="59" t="s">
        <v>81</v>
      </c>
      <c r="B59" s="60" t="s">
        <v>82</v>
      </c>
      <c r="C59" s="40">
        <f>[16]С2!F16</f>
        <v>1</v>
      </c>
    </row>
    <row r="60" spans="1:3" ht="17.25">
      <c r="A60" s="59" t="s">
        <v>83</v>
      </c>
      <c r="B60" s="58" t="s">
        <v>84</v>
      </c>
      <c r="C60" s="32">
        <f>[16]С2!F17</f>
        <v>1.01</v>
      </c>
    </row>
    <row r="61" spans="1:3" s="65" customFormat="1" ht="14.25">
      <c r="A61" s="59" t="s">
        <v>85</v>
      </c>
      <c r="B61" s="63" t="s">
        <v>86</v>
      </c>
      <c r="C61" s="64">
        <f>[16]С2!F33</f>
        <v>10</v>
      </c>
    </row>
    <row r="62" spans="1:3" ht="30">
      <c r="A62" s="59" t="s">
        <v>87</v>
      </c>
      <c r="B62" s="66" t="s">
        <v>88</v>
      </c>
      <c r="C62" s="32">
        <f>[16]С2!F26</f>
        <v>1867.194948000021</v>
      </c>
    </row>
    <row r="63" spans="1:3" ht="17.25">
      <c r="A63" s="59" t="s">
        <v>89</v>
      </c>
      <c r="B63" s="52" t="s">
        <v>237</v>
      </c>
      <c r="C63" s="32">
        <f>[16]С2!F27</f>
        <v>0.29684983999999998</v>
      </c>
    </row>
    <row r="64" spans="1:3" ht="17.25">
      <c r="A64" s="59" t="s">
        <v>91</v>
      </c>
      <c r="B64" s="58" t="s">
        <v>238</v>
      </c>
      <c r="C64" s="64">
        <f>[16]С2!F28</f>
        <v>4200</v>
      </c>
    </row>
    <row r="65" spans="1:3" ht="42.75">
      <c r="A65" s="59" t="s">
        <v>93</v>
      </c>
      <c r="B65" s="31" t="s">
        <v>239</v>
      </c>
      <c r="C65" s="32">
        <f>[16]С2!F22</f>
        <v>38698.422798410109</v>
      </c>
    </row>
    <row r="66" spans="1:3" ht="30">
      <c r="A66" s="59" t="s">
        <v>95</v>
      </c>
      <c r="B66" s="60" t="s">
        <v>240</v>
      </c>
      <c r="C66" s="32">
        <f>[16]С2!F23</f>
        <v>1990</v>
      </c>
    </row>
    <row r="67" spans="1:3" ht="30">
      <c r="A67" s="59" t="s">
        <v>97</v>
      </c>
      <c r="B67" s="52" t="s">
        <v>98</v>
      </c>
      <c r="C67" s="32">
        <f>[16]С2.1!E27</f>
        <v>14307.876789999998</v>
      </c>
    </row>
    <row r="68" spans="1:3" ht="38.25">
      <c r="A68" s="59" t="s">
        <v>99</v>
      </c>
      <c r="B68" s="67" t="s">
        <v>100</v>
      </c>
      <c r="C68" s="51">
        <f>[16]С2.3!E21</f>
        <v>0</v>
      </c>
    </row>
    <row r="69" spans="1:3" ht="25.5">
      <c r="A69" s="59" t="s">
        <v>101</v>
      </c>
      <c r="B69" s="68" t="s">
        <v>102</v>
      </c>
      <c r="C69" s="69">
        <f>[16]С2.3!E11</f>
        <v>9.89</v>
      </c>
    </row>
    <row r="70" spans="1:3" ht="25.5">
      <c r="A70" s="59" t="s">
        <v>103</v>
      </c>
      <c r="B70" s="68" t="s">
        <v>104</v>
      </c>
      <c r="C70" s="64">
        <f>[16]С2.3!E13</f>
        <v>300</v>
      </c>
    </row>
    <row r="71" spans="1:3" ht="25.5">
      <c r="A71" s="59" t="s">
        <v>105</v>
      </c>
      <c r="B71" s="67" t="s">
        <v>106</v>
      </c>
      <c r="C71" s="70">
        <f>IF([16]С2.3!E22&gt;0,[16]С2.3!E22,[16]С2.3!E14)</f>
        <v>61211</v>
      </c>
    </row>
    <row r="72" spans="1:3" ht="38.25">
      <c r="A72" s="59" t="s">
        <v>107</v>
      </c>
      <c r="B72" s="67" t="s">
        <v>108</v>
      </c>
      <c r="C72" s="70">
        <f>IF([16]С2.3!E23&gt;0,[16]С2.3!E23,[16]С2.3!E15)</f>
        <v>45675</v>
      </c>
    </row>
    <row r="73" spans="1:3" ht="30">
      <c r="A73" s="59" t="s">
        <v>109</v>
      </c>
      <c r="B73" s="52" t="s">
        <v>110</v>
      </c>
      <c r="C73" s="32">
        <f>[16]С2.1!E28</f>
        <v>9541.9567200000001</v>
      </c>
    </row>
    <row r="74" spans="1:3" ht="38.25">
      <c r="A74" s="59" t="s">
        <v>111</v>
      </c>
      <c r="B74" s="67" t="s">
        <v>112</v>
      </c>
      <c r="C74" s="51">
        <f>[16]С2.3!E25</f>
        <v>0</v>
      </c>
    </row>
    <row r="75" spans="1:3" ht="25.5">
      <c r="A75" s="59" t="s">
        <v>113</v>
      </c>
      <c r="B75" s="68" t="s">
        <v>114</v>
      </c>
      <c r="C75" s="69">
        <f>[16]С2.3!E12</f>
        <v>0.56000000000000005</v>
      </c>
    </row>
    <row r="76" spans="1:3" ht="25.5">
      <c r="A76" s="59" t="s">
        <v>115</v>
      </c>
      <c r="B76" s="68" t="s">
        <v>104</v>
      </c>
      <c r="C76" s="64">
        <f>[16]С2.3!E13</f>
        <v>300</v>
      </c>
    </row>
    <row r="77" spans="1:3" ht="25.5">
      <c r="A77" s="59" t="s">
        <v>116</v>
      </c>
      <c r="B77" s="71" t="s">
        <v>117</v>
      </c>
      <c r="C77" s="70">
        <f>IF([16]С2.3!E26&gt;0,[16]С2.3!E26,[16]С2.3!E16)</f>
        <v>65637</v>
      </c>
    </row>
    <row r="78" spans="1:3" ht="38.25">
      <c r="A78" s="59" t="s">
        <v>118</v>
      </c>
      <c r="B78" s="71" t="s">
        <v>119</v>
      </c>
      <c r="C78" s="70">
        <f>IF([16]С2.3!E27&gt;0,[16]С2.3!E27,[16]С2.3!E17)</f>
        <v>31684</v>
      </c>
    </row>
    <row r="79" spans="1:3" ht="17.25">
      <c r="A79" s="59" t="s">
        <v>122</v>
      </c>
      <c r="B79" s="31" t="s">
        <v>123</v>
      </c>
      <c r="C79" s="34">
        <f>[16]С2!F29</f>
        <v>9.5962865259740182E-2</v>
      </c>
    </row>
    <row r="80" spans="1:3" ht="30">
      <c r="A80" s="59" t="s">
        <v>124</v>
      </c>
      <c r="B80" s="52" t="s">
        <v>125</v>
      </c>
      <c r="C80" s="72">
        <f>[16]С2!F30</f>
        <v>8.4029304029304031E-2</v>
      </c>
    </row>
    <row r="81" spans="1:3" ht="17.25">
      <c r="A81" s="59" t="s">
        <v>126</v>
      </c>
      <c r="B81" s="73" t="s">
        <v>127</v>
      </c>
      <c r="C81" s="34">
        <f>[16]С2!F31</f>
        <v>0.13880000000000001</v>
      </c>
    </row>
    <row r="82" spans="1:3" s="65" customFormat="1" ht="18" thickBot="1">
      <c r="A82" s="74" t="s">
        <v>128</v>
      </c>
      <c r="B82" s="75" t="s">
        <v>129</v>
      </c>
      <c r="C82" s="76">
        <f>[16]С2!F32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[16]С3!F14</f>
        <v>6081.0916722812572</v>
      </c>
    </row>
    <row r="86" spans="1:3" s="65" customFormat="1" ht="42.75">
      <c r="A86" s="78" t="s">
        <v>134</v>
      </c>
      <c r="B86" s="52" t="s">
        <v>135</v>
      </c>
      <c r="C86" s="79">
        <f>[16]С3!F15</f>
        <v>0.2</v>
      </c>
    </row>
    <row r="87" spans="1:3" s="65" customFormat="1" ht="14.25">
      <c r="A87" s="78" t="s">
        <v>136</v>
      </c>
      <c r="B87" s="80" t="s">
        <v>137</v>
      </c>
      <c r="C87" s="64">
        <f>[16]С3!F18</f>
        <v>15</v>
      </c>
    </row>
    <row r="88" spans="1:3" s="65" customFormat="1" ht="17.25">
      <c r="A88" s="78" t="s">
        <v>138</v>
      </c>
      <c r="B88" s="31" t="s">
        <v>139</v>
      </c>
      <c r="C88" s="32">
        <f>[16]С3!F19</f>
        <v>3778.1614077800232</v>
      </c>
    </row>
    <row r="89" spans="1:3" s="65" customFormat="1" ht="55.5">
      <c r="A89" s="78" t="s">
        <v>140</v>
      </c>
      <c r="B89" s="52" t="s">
        <v>141</v>
      </c>
      <c r="C89" s="81">
        <f>[16]С3!F20</f>
        <v>2.1999999999999999E-2</v>
      </c>
    </row>
    <row r="90" spans="1:3" s="65" customFormat="1" ht="14.25">
      <c r="A90" s="78" t="s">
        <v>142</v>
      </c>
      <c r="B90" s="58" t="s">
        <v>86</v>
      </c>
      <c r="C90" s="64">
        <f>[16]С3!F21</f>
        <v>10</v>
      </c>
    </row>
    <row r="91" spans="1:3" s="65" customFormat="1" ht="17.25">
      <c r="A91" s="78" t="s">
        <v>143</v>
      </c>
      <c r="B91" s="31" t="s">
        <v>144</v>
      </c>
      <c r="C91" s="32">
        <f>[16]С3!F22</f>
        <v>5.6015848440000635</v>
      </c>
    </row>
    <row r="92" spans="1:3" s="65" customFormat="1" ht="55.5">
      <c r="A92" s="78" t="s">
        <v>145</v>
      </c>
      <c r="B92" s="52" t="s">
        <v>146</v>
      </c>
      <c r="C92" s="81">
        <f>[16]С3!F23</f>
        <v>3.0000000000000001E-3</v>
      </c>
    </row>
    <row r="93" spans="1:3" s="65" customFormat="1" ht="27.75" thickBot="1">
      <c r="A93" s="82" t="s">
        <v>147</v>
      </c>
      <c r="B93" s="83" t="s">
        <v>241</v>
      </c>
      <c r="C93" s="84">
        <f>[16]С3!F24</f>
        <v>1867.194948000021</v>
      </c>
    </row>
    <row r="94" spans="1:3" ht="13.5" thickBot="1">
      <c r="A94" s="47"/>
      <c r="B94" s="48"/>
      <c r="C94" s="14"/>
    </row>
    <row r="95" spans="1:3" ht="30" customHeight="1">
      <c r="A95" s="85" t="s">
        <v>148</v>
      </c>
      <c r="B95" s="145" t="s">
        <v>149</v>
      </c>
      <c r="C95" s="145"/>
    </row>
    <row r="96" spans="1:3" ht="30">
      <c r="A96" s="59" t="s">
        <v>150</v>
      </c>
      <c r="B96" s="31" t="s">
        <v>242</v>
      </c>
      <c r="C96" s="32">
        <f>[16]С4!F16</f>
        <v>1652.5</v>
      </c>
    </row>
    <row r="97" spans="1:3" ht="30">
      <c r="A97" s="59" t="s">
        <v>152</v>
      </c>
      <c r="B97" s="58" t="s">
        <v>243</v>
      </c>
      <c r="C97" s="32">
        <f>[16]С4!F17</f>
        <v>73547</v>
      </c>
    </row>
    <row r="98" spans="1:3" ht="17.25">
      <c r="A98" s="59" t="s">
        <v>154</v>
      </c>
      <c r="B98" s="58" t="s">
        <v>155</v>
      </c>
      <c r="C98" s="40">
        <f>[16]С4!F18</f>
        <v>0.02</v>
      </c>
    </row>
    <row r="99" spans="1:3" ht="30">
      <c r="A99" s="59" t="s">
        <v>156</v>
      </c>
      <c r="B99" s="58" t="s">
        <v>157</v>
      </c>
      <c r="C99" s="32">
        <f>[16]С4!F19</f>
        <v>12104</v>
      </c>
    </row>
    <row r="100" spans="1:3" ht="31.5">
      <c r="A100" s="59" t="s">
        <v>158</v>
      </c>
      <c r="B100" s="58" t="s">
        <v>159</v>
      </c>
      <c r="C100" s="40">
        <f>[16]С4!F20</f>
        <v>1.4999999999999999E-2</v>
      </c>
    </row>
    <row r="101" spans="1:3" ht="30">
      <c r="A101" s="59" t="s">
        <v>160</v>
      </c>
      <c r="B101" s="31" t="s">
        <v>244</v>
      </c>
      <c r="C101" s="32">
        <f>[16]С4!F21</f>
        <v>1933.1949342509995</v>
      </c>
    </row>
    <row r="102" spans="1:3" ht="24" customHeight="1">
      <c r="A102" s="59" t="s">
        <v>162</v>
      </c>
      <c r="B102" s="52" t="s">
        <v>163</v>
      </c>
      <c r="C102" s="33">
        <f>IF([16]С4.2!F8="да",[16]С4.2!D21,[16]С4.2!D15)</f>
        <v>0</v>
      </c>
    </row>
    <row r="103" spans="1:3" ht="68.25">
      <c r="A103" s="59" t="s">
        <v>164</v>
      </c>
      <c r="B103" s="52" t="s">
        <v>165</v>
      </c>
      <c r="C103" s="32">
        <f>[16]С4!F22</f>
        <v>3.6112641666666665</v>
      </c>
    </row>
    <row r="104" spans="1:3" ht="30">
      <c r="A104" s="59" t="s">
        <v>166</v>
      </c>
      <c r="B104" s="58" t="s">
        <v>245</v>
      </c>
      <c r="C104" s="32">
        <f>[16]С4!F23</f>
        <v>180</v>
      </c>
    </row>
    <row r="105" spans="1:3" ht="14.25">
      <c r="A105" s="59" t="s">
        <v>168</v>
      </c>
      <c r="B105" s="52" t="s">
        <v>169</v>
      </c>
      <c r="C105" s="32">
        <f>[16]С4!F24</f>
        <v>8497.1999999999989</v>
      </c>
    </row>
    <row r="106" spans="1:3" ht="14.25">
      <c r="A106" s="59" t="s">
        <v>170</v>
      </c>
      <c r="B106" s="58" t="s">
        <v>171</v>
      </c>
      <c r="C106" s="40">
        <f>[16]С4!F25</f>
        <v>0.35</v>
      </c>
    </row>
    <row r="107" spans="1:3" ht="17.25">
      <c r="A107" s="59" t="s">
        <v>172</v>
      </c>
      <c r="B107" s="31" t="s">
        <v>173</v>
      </c>
      <c r="C107" s="32">
        <f>[16]С4!F26</f>
        <v>85.988129999999998</v>
      </c>
    </row>
    <row r="108" spans="1:3" ht="25.5">
      <c r="A108" s="59" t="s">
        <v>174</v>
      </c>
      <c r="B108" s="52" t="s">
        <v>100</v>
      </c>
      <c r="C108" s="33">
        <f>[16]С4.3!E16</f>
        <v>0</v>
      </c>
    </row>
    <row r="109" spans="1:3" ht="25.5">
      <c r="A109" s="59" t="s">
        <v>175</v>
      </c>
      <c r="B109" s="52" t="s">
        <v>176</v>
      </c>
      <c r="C109" s="32">
        <f>[16]С4.3!E17</f>
        <v>20.350000000000001</v>
      </c>
    </row>
    <row r="110" spans="1:3" ht="38.25">
      <c r="A110" s="59" t="s">
        <v>177</v>
      </c>
      <c r="B110" s="52" t="s">
        <v>112</v>
      </c>
      <c r="C110" s="33">
        <f>[16]С4.3!E18</f>
        <v>0</v>
      </c>
    </row>
    <row r="111" spans="1:3">
      <c r="A111" s="59" t="s">
        <v>178</v>
      </c>
      <c r="B111" s="52" t="s">
        <v>179</v>
      </c>
      <c r="C111" s="32">
        <f>[16]С4.3!E19</f>
        <v>71.67</v>
      </c>
    </row>
    <row r="112" spans="1:3">
      <c r="A112" s="59" t="s">
        <v>180</v>
      </c>
      <c r="B112" s="58" t="s">
        <v>181</v>
      </c>
      <c r="C112" s="32">
        <f>[16]С4.3!E11</f>
        <v>1871</v>
      </c>
    </row>
    <row r="113" spans="1:3">
      <c r="A113" s="59" t="s">
        <v>182</v>
      </c>
      <c r="B113" s="58" t="s">
        <v>183</v>
      </c>
      <c r="C113" s="51">
        <f>[16]С4.3!E12</f>
        <v>1636</v>
      </c>
    </row>
    <row r="114" spans="1:3">
      <c r="A114" s="59" t="s">
        <v>184</v>
      </c>
      <c r="B114" s="58" t="s">
        <v>185</v>
      </c>
      <c r="C114" s="51">
        <f>[16]С4.3!E13</f>
        <v>204</v>
      </c>
    </row>
    <row r="115" spans="1:3" ht="30">
      <c r="A115" s="59" t="s">
        <v>186</v>
      </c>
      <c r="B115" s="31" t="s">
        <v>246</v>
      </c>
      <c r="C115" s="32">
        <f>[16]С4!F27</f>
        <v>1291.2863994686898</v>
      </c>
    </row>
    <row r="116" spans="1:3" ht="25.5">
      <c r="A116" s="59" t="s">
        <v>188</v>
      </c>
      <c r="B116" s="52" t="s">
        <v>247</v>
      </c>
      <c r="C116" s="32">
        <f>[16]С4!F28</f>
        <v>991.77142816335618</v>
      </c>
    </row>
    <row r="117" spans="1:3" ht="42.75">
      <c r="A117" s="59" t="s">
        <v>190</v>
      </c>
      <c r="B117" s="52" t="s">
        <v>191</v>
      </c>
      <c r="C117" s="32">
        <f>[16]С4!F29</f>
        <v>299.51497130533357</v>
      </c>
    </row>
    <row r="118" spans="1:3" ht="30">
      <c r="A118" s="59" t="s">
        <v>192</v>
      </c>
      <c r="B118" s="39" t="s">
        <v>193</v>
      </c>
      <c r="C118" s="32">
        <f>[16]С4!F30</f>
        <v>1723.1479285318933</v>
      </c>
    </row>
    <row r="119" spans="1:3" ht="42.75">
      <c r="A119" s="59" t="s">
        <v>248</v>
      </c>
      <c r="B119" s="89" t="s">
        <v>249</v>
      </c>
      <c r="C119" s="32">
        <f>[16]С4!F33</f>
        <v>1003.031644263441</v>
      </c>
    </row>
    <row r="120" spans="1:3" ht="30">
      <c r="A120" s="59" t="s">
        <v>250</v>
      </c>
      <c r="B120" s="121" t="s">
        <v>251</v>
      </c>
      <c r="C120" s="32">
        <f>[16]С4!F35</f>
        <v>17.040680999999999</v>
      </c>
    </row>
    <row r="121" spans="1:3" ht="14.25">
      <c r="A121" s="59" t="s">
        <v>252</v>
      </c>
      <c r="B121" s="55" t="s">
        <v>253</v>
      </c>
      <c r="C121" s="32">
        <f>[16]С4!F36</f>
        <v>14319.9</v>
      </c>
    </row>
    <row r="122" spans="1:3" ht="28.5" thickBot="1">
      <c r="A122" s="74" t="s">
        <v>254</v>
      </c>
      <c r="B122" s="122" t="s">
        <v>255</v>
      </c>
      <c r="C122" s="84">
        <f>[16]С4!F37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[16]С5!F17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[16]С2!F37</f>
        <v>20.818139999999996</v>
      </c>
    </row>
    <row r="136" spans="1:4" ht="14.25">
      <c r="A136" s="59" t="s">
        <v>214</v>
      </c>
      <c r="B136" s="128" t="s">
        <v>215</v>
      </c>
      <c r="C136" s="32">
        <f>[16]С2!F38</f>
        <v>7</v>
      </c>
    </row>
    <row r="137" spans="1:4" ht="17.25">
      <c r="A137" s="59" t="s">
        <v>216</v>
      </c>
      <c r="B137" s="128" t="s">
        <v>217</v>
      </c>
      <c r="C137" s="32">
        <f>[16]С2!F40</f>
        <v>0.97</v>
      </c>
    </row>
    <row r="138" spans="1:4" ht="15" thickBot="1">
      <c r="A138" s="74" t="s">
        <v>218</v>
      </c>
      <c r="B138" s="129" t="s">
        <v>219</v>
      </c>
      <c r="C138" s="46">
        <f>[16]С2!F42</f>
        <v>0.35</v>
      </c>
    </row>
    <row r="139" spans="1:4" s="87" customFormat="1" ht="13.5" thickBot="1">
      <c r="A139" s="47"/>
      <c r="B139" s="48"/>
      <c r="C139" s="14"/>
    </row>
    <row r="140" spans="1:4" ht="30">
      <c r="A140" s="85" t="s">
        <v>220</v>
      </c>
      <c r="B140" s="95" t="s">
        <v>258</v>
      </c>
      <c r="C140" s="130">
        <f>[16]С2!F35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[16]С2.5!$E$11</f>
        <v>-2.9000000000000026E-2</v>
      </c>
      <c r="D143" s="87"/>
    </row>
    <row r="144" spans="1:4">
      <c r="A144" s="97"/>
      <c r="B144" s="104">
        <f>B143+1</f>
        <v>2021</v>
      </c>
      <c r="C144" s="135">
        <f>[16]С2.5!$F$11</f>
        <v>0.245</v>
      </c>
      <c r="D144" s="87"/>
    </row>
    <row r="145" spans="1:4">
      <c r="A145" s="97"/>
      <c r="B145" s="104">
        <f t="shared" ref="B145:B208" si="0">B144+1</f>
        <v>2022</v>
      </c>
      <c r="C145" s="135">
        <f>[16]С2.5!$G$11</f>
        <v>0.114</v>
      </c>
      <c r="D145" s="87"/>
    </row>
    <row r="146" spans="1:4" ht="13.5" thickBot="1">
      <c r="A146" s="97"/>
      <c r="B146" s="106">
        <f t="shared" si="0"/>
        <v>2023</v>
      </c>
      <c r="C146" s="136">
        <f>[16]С2.5!$H$11</f>
        <v>2.4E-2</v>
      </c>
      <c r="D146" s="87"/>
    </row>
    <row r="147" spans="1:4">
      <c r="A147" s="97"/>
      <c r="B147" s="137">
        <f t="shared" si="0"/>
        <v>2024</v>
      </c>
      <c r="C147" s="138">
        <f>[16]С2.5!$I$11</f>
        <v>8.5999999999999993E-2</v>
      </c>
      <c r="D147" s="87"/>
    </row>
    <row r="148" spans="1:4" hidden="1">
      <c r="A148" s="97"/>
      <c r="B148" s="104">
        <f t="shared" si="0"/>
        <v>2025</v>
      </c>
      <c r="C148" s="135">
        <f>[16]С2.5!$J$11</f>
        <v>0.21215960863291</v>
      </c>
      <c r="D148" s="87"/>
    </row>
    <row r="149" spans="1:4" hidden="1">
      <c r="A149" s="97"/>
      <c r="B149" s="104">
        <f t="shared" si="0"/>
        <v>2026</v>
      </c>
      <c r="C149" s="135">
        <f>[16]С2.5!$K$11</f>
        <v>3.5813361771260002E-2</v>
      </c>
      <c r="D149" s="87"/>
    </row>
    <row r="150" spans="1:4" hidden="1">
      <c r="A150" s="97"/>
      <c r="B150" s="104">
        <f t="shared" si="0"/>
        <v>2027</v>
      </c>
      <c r="C150" s="135">
        <f>[16]С2.5!$L$11</f>
        <v>3.2682303599220003E-2</v>
      </c>
      <c r="D150" s="87"/>
    </row>
    <row r="151" spans="1:4" hidden="1">
      <c r="A151" s="97"/>
      <c r="B151" s="104">
        <f t="shared" si="0"/>
        <v>2028</v>
      </c>
      <c r="C151" s="135">
        <f>[16]С2.5!$M$11</f>
        <v>0</v>
      </c>
      <c r="D151" s="87"/>
    </row>
    <row r="152" spans="1:4" hidden="1">
      <c r="A152" s="97"/>
      <c r="B152" s="104">
        <f t="shared" si="0"/>
        <v>2029</v>
      </c>
      <c r="C152" s="135">
        <f>[16]С2.5!$N$11</f>
        <v>0</v>
      </c>
      <c r="D152" s="87"/>
    </row>
    <row r="153" spans="1:4" hidden="1">
      <c r="A153" s="97"/>
      <c r="B153" s="104">
        <f t="shared" si="0"/>
        <v>2030</v>
      </c>
      <c r="C153" s="135">
        <f>[16]С2.5!$O$11</f>
        <v>0</v>
      </c>
      <c r="D153" s="87"/>
    </row>
    <row r="154" spans="1:4" hidden="1">
      <c r="A154" s="97"/>
      <c r="B154" s="104">
        <f t="shared" si="0"/>
        <v>2031</v>
      </c>
      <c r="C154" s="135">
        <f>[16]С2.5!$P$11</f>
        <v>0</v>
      </c>
      <c r="D154" s="87"/>
    </row>
    <row r="155" spans="1:4" hidden="1">
      <c r="A155" s="87"/>
      <c r="B155" s="104">
        <f t="shared" si="0"/>
        <v>2032</v>
      </c>
      <c r="C155" s="135">
        <f>[16]С2.5!$Q$11</f>
        <v>0</v>
      </c>
      <c r="D155" s="87"/>
    </row>
    <row r="156" spans="1:4" hidden="1">
      <c r="A156" s="87"/>
      <c r="B156" s="104">
        <f t="shared" si="0"/>
        <v>2033</v>
      </c>
      <c r="C156" s="135">
        <f>[16]С2.5!$R$11</f>
        <v>0</v>
      </c>
      <c r="D156" s="87"/>
    </row>
    <row r="157" spans="1:4" hidden="1">
      <c r="B157" s="104">
        <f t="shared" si="0"/>
        <v>2034</v>
      </c>
      <c r="C157" s="135">
        <f>[16]С2.5!$S$11</f>
        <v>0</v>
      </c>
    </row>
    <row r="158" spans="1:4" hidden="1">
      <c r="B158" s="104">
        <f t="shared" si="0"/>
        <v>2035</v>
      </c>
      <c r="C158" s="135">
        <f>[16]С2.5!$T$11</f>
        <v>0</v>
      </c>
    </row>
    <row r="159" spans="1:4" hidden="1">
      <c r="B159" s="104">
        <f t="shared" si="0"/>
        <v>2036</v>
      </c>
      <c r="C159" s="135">
        <f>[16]С2.5!$U$11</f>
        <v>0</v>
      </c>
    </row>
    <row r="160" spans="1:4" hidden="1">
      <c r="B160" s="104">
        <f t="shared" si="0"/>
        <v>2037</v>
      </c>
      <c r="C160" s="135">
        <f>[16]С2.5!$V$11</f>
        <v>0</v>
      </c>
    </row>
    <row r="161" spans="2:3" hidden="1">
      <c r="B161" s="104">
        <f t="shared" si="0"/>
        <v>2038</v>
      </c>
      <c r="C161" s="135">
        <f>[16]С2.5!$W$11</f>
        <v>0</v>
      </c>
    </row>
    <row r="162" spans="2:3" hidden="1">
      <c r="B162" s="104">
        <f t="shared" si="0"/>
        <v>2039</v>
      </c>
      <c r="C162" s="135">
        <f>[16]С2.5!$X$11</f>
        <v>0</v>
      </c>
    </row>
    <row r="163" spans="2:3" hidden="1">
      <c r="B163" s="104">
        <f t="shared" si="0"/>
        <v>2040</v>
      </c>
      <c r="C163" s="135">
        <f>[16]С2.5!$Y$11</f>
        <v>0</v>
      </c>
    </row>
    <row r="164" spans="2:3" hidden="1">
      <c r="B164" s="104">
        <f t="shared" si="0"/>
        <v>2041</v>
      </c>
      <c r="C164" s="135">
        <f>[16]С2.5!$Z$11</f>
        <v>0</v>
      </c>
    </row>
    <row r="165" spans="2:3" hidden="1">
      <c r="B165" s="104">
        <f t="shared" si="0"/>
        <v>2042</v>
      </c>
      <c r="C165" s="135">
        <f>[16]С2.5!$AA$11</f>
        <v>0</v>
      </c>
    </row>
    <row r="166" spans="2:3" hidden="1">
      <c r="B166" s="104">
        <f t="shared" si="0"/>
        <v>2043</v>
      </c>
      <c r="C166" s="135">
        <f>[16]С2.5!$AB$11</f>
        <v>0</v>
      </c>
    </row>
    <row r="167" spans="2:3" hidden="1">
      <c r="B167" s="104">
        <f t="shared" si="0"/>
        <v>2044</v>
      </c>
      <c r="C167" s="135">
        <f>[16]С2.5!$AC$11</f>
        <v>0</v>
      </c>
    </row>
    <row r="168" spans="2:3" hidden="1">
      <c r="B168" s="104">
        <f t="shared" si="0"/>
        <v>2045</v>
      </c>
      <c r="C168" s="135">
        <f>[16]С2.5!$AD$11</f>
        <v>0</v>
      </c>
    </row>
    <row r="169" spans="2:3" hidden="1">
      <c r="B169" s="104">
        <f t="shared" si="0"/>
        <v>2046</v>
      </c>
      <c r="C169" s="135">
        <f>[16]С2.5!$AE$11</f>
        <v>0</v>
      </c>
    </row>
    <row r="170" spans="2:3" hidden="1">
      <c r="B170" s="104">
        <f t="shared" si="0"/>
        <v>2047</v>
      </c>
      <c r="C170" s="135">
        <f>[16]С2.5!$AF$11</f>
        <v>0</v>
      </c>
    </row>
    <row r="171" spans="2:3" hidden="1">
      <c r="B171" s="104">
        <f t="shared" si="0"/>
        <v>2048</v>
      </c>
      <c r="C171" s="135">
        <f>[16]С2.5!$AG$11</f>
        <v>0</v>
      </c>
    </row>
    <row r="172" spans="2:3" hidden="1">
      <c r="B172" s="104">
        <f t="shared" si="0"/>
        <v>2049</v>
      </c>
      <c r="C172" s="135">
        <f>[16]С2.5!$AH$11</f>
        <v>0</v>
      </c>
    </row>
    <row r="173" spans="2:3" hidden="1">
      <c r="B173" s="104">
        <f t="shared" si="0"/>
        <v>2050</v>
      </c>
      <c r="C173" s="135">
        <f>[16]С2.5!$AI$11</f>
        <v>0</v>
      </c>
    </row>
    <row r="174" spans="2:3" hidden="1">
      <c r="B174" s="104">
        <f t="shared" si="0"/>
        <v>2051</v>
      </c>
      <c r="C174" s="135">
        <f>[16]С2.5!$AJ$11</f>
        <v>0</v>
      </c>
    </row>
    <row r="175" spans="2:3" hidden="1">
      <c r="B175" s="104">
        <f t="shared" si="0"/>
        <v>2052</v>
      </c>
      <c r="C175" s="135">
        <f>[16]С2.5!$AK$11</f>
        <v>0</v>
      </c>
    </row>
    <row r="176" spans="2:3" hidden="1">
      <c r="B176" s="104">
        <f t="shared" si="0"/>
        <v>2053</v>
      </c>
      <c r="C176" s="135">
        <f>[16]С2.5!$AL$11</f>
        <v>0</v>
      </c>
    </row>
    <row r="177" spans="2:3" hidden="1">
      <c r="B177" s="104">
        <f t="shared" si="0"/>
        <v>2054</v>
      </c>
      <c r="C177" s="135">
        <f>[16]С2.5!$AM$11</f>
        <v>0</v>
      </c>
    </row>
    <row r="178" spans="2:3" hidden="1">
      <c r="B178" s="104">
        <f t="shared" si="0"/>
        <v>2055</v>
      </c>
      <c r="C178" s="135">
        <f>[16]С2.5!$AN$11</f>
        <v>0</v>
      </c>
    </row>
    <row r="179" spans="2:3" hidden="1">
      <c r="B179" s="104">
        <f t="shared" si="0"/>
        <v>2056</v>
      </c>
      <c r="C179" s="135">
        <f>[16]С2.5!$AO$11</f>
        <v>0</v>
      </c>
    </row>
    <row r="180" spans="2:3" hidden="1">
      <c r="B180" s="104">
        <f t="shared" si="0"/>
        <v>2057</v>
      </c>
      <c r="C180" s="135">
        <f>[16]С2.5!$AP$11</f>
        <v>0</v>
      </c>
    </row>
    <row r="181" spans="2:3" hidden="1">
      <c r="B181" s="104">
        <f t="shared" si="0"/>
        <v>2058</v>
      </c>
      <c r="C181" s="135">
        <f>[16]С2.5!$AQ$11</f>
        <v>0</v>
      </c>
    </row>
    <row r="182" spans="2:3" hidden="1">
      <c r="B182" s="104">
        <f t="shared" si="0"/>
        <v>2059</v>
      </c>
      <c r="C182" s="135">
        <f>[16]С2.5!$AR$11</f>
        <v>0</v>
      </c>
    </row>
    <row r="183" spans="2:3" hidden="1">
      <c r="B183" s="104">
        <f t="shared" si="0"/>
        <v>2060</v>
      </c>
      <c r="C183" s="135">
        <f>[16]С2.5!$AS$11</f>
        <v>0</v>
      </c>
    </row>
    <row r="184" spans="2:3" hidden="1">
      <c r="B184" s="104">
        <f t="shared" si="0"/>
        <v>2061</v>
      </c>
      <c r="C184" s="135">
        <f>[16]С2.5!$AT$11</f>
        <v>0</v>
      </c>
    </row>
    <row r="185" spans="2:3" hidden="1">
      <c r="B185" s="104">
        <f t="shared" si="0"/>
        <v>2062</v>
      </c>
      <c r="C185" s="135">
        <f>[16]С2.5!$AU$11</f>
        <v>0</v>
      </c>
    </row>
    <row r="186" spans="2:3" hidden="1">
      <c r="B186" s="104">
        <f t="shared" si="0"/>
        <v>2063</v>
      </c>
      <c r="C186" s="135">
        <f>[16]С2.5!$AV$11</f>
        <v>0</v>
      </c>
    </row>
    <row r="187" spans="2:3" hidden="1">
      <c r="B187" s="104">
        <f t="shared" si="0"/>
        <v>2064</v>
      </c>
      <c r="C187" s="135">
        <f>[16]С2.5!$AW$11</f>
        <v>0</v>
      </c>
    </row>
    <row r="188" spans="2:3" hidden="1">
      <c r="B188" s="104">
        <f t="shared" si="0"/>
        <v>2065</v>
      </c>
      <c r="C188" s="135">
        <f>[16]С2.5!$AX$11</f>
        <v>0</v>
      </c>
    </row>
    <row r="189" spans="2:3" hidden="1">
      <c r="B189" s="104">
        <f t="shared" si="0"/>
        <v>2066</v>
      </c>
      <c r="C189" s="135">
        <f>[16]С2.5!$AY$11</f>
        <v>0</v>
      </c>
    </row>
    <row r="190" spans="2:3" hidden="1">
      <c r="B190" s="104">
        <f t="shared" si="0"/>
        <v>2067</v>
      </c>
      <c r="C190" s="135">
        <f>[16]С2.5!$AZ$11</f>
        <v>0</v>
      </c>
    </row>
    <row r="191" spans="2:3" hidden="1">
      <c r="B191" s="104">
        <f t="shared" si="0"/>
        <v>2068</v>
      </c>
      <c r="C191" s="135">
        <f>[16]С2.5!$BA$11</f>
        <v>0</v>
      </c>
    </row>
    <row r="192" spans="2:3" hidden="1">
      <c r="B192" s="104">
        <f t="shared" si="0"/>
        <v>2069</v>
      </c>
      <c r="C192" s="135">
        <f>[16]С2.5!$BB$11</f>
        <v>0</v>
      </c>
    </row>
    <row r="193" spans="2:3" hidden="1">
      <c r="B193" s="104">
        <f t="shared" si="0"/>
        <v>2070</v>
      </c>
      <c r="C193" s="135">
        <f>[16]С2.5!$BC$11</f>
        <v>0</v>
      </c>
    </row>
    <row r="194" spans="2:3" hidden="1">
      <c r="B194" s="104">
        <f t="shared" si="0"/>
        <v>2071</v>
      </c>
      <c r="C194" s="135">
        <f>[16]С2.5!$BD$11</f>
        <v>0</v>
      </c>
    </row>
    <row r="195" spans="2:3" hidden="1">
      <c r="B195" s="104">
        <f t="shared" si="0"/>
        <v>2072</v>
      </c>
      <c r="C195" s="135">
        <f>[16]С2.5!$BE$11</f>
        <v>0</v>
      </c>
    </row>
    <row r="196" spans="2:3" hidden="1">
      <c r="B196" s="104">
        <f t="shared" si="0"/>
        <v>2073</v>
      </c>
      <c r="C196" s="135">
        <f>[16]С2.5!$BF$11</f>
        <v>0</v>
      </c>
    </row>
    <row r="197" spans="2:3" hidden="1">
      <c r="B197" s="104">
        <f t="shared" si="0"/>
        <v>2074</v>
      </c>
      <c r="C197" s="135">
        <f>[16]С2.5!$BG$11</f>
        <v>0</v>
      </c>
    </row>
    <row r="198" spans="2:3" hidden="1">
      <c r="B198" s="104">
        <f t="shared" si="0"/>
        <v>2075</v>
      </c>
      <c r="C198" s="135">
        <f>[16]С2.5!$BH$11</f>
        <v>0</v>
      </c>
    </row>
    <row r="199" spans="2:3" hidden="1">
      <c r="B199" s="104">
        <f t="shared" si="0"/>
        <v>2076</v>
      </c>
      <c r="C199" s="135">
        <f>[16]С2.5!$BI$11</f>
        <v>0</v>
      </c>
    </row>
    <row r="200" spans="2:3" hidden="1">
      <c r="B200" s="104">
        <f t="shared" si="0"/>
        <v>2077</v>
      </c>
      <c r="C200" s="135">
        <f>[16]С2.5!$BJ$11</f>
        <v>0</v>
      </c>
    </row>
    <row r="201" spans="2:3" hidden="1">
      <c r="B201" s="104">
        <f t="shared" si="0"/>
        <v>2078</v>
      </c>
      <c r="C201" s="135">
        <f>[16]С2.5!$BK$11</f>
        <v>0</v>
      </c>
    </row>
    <row r="202" spans="2:3" hidden="1">
      <c r="B202" s="104">
        <f t="shared" si="0"/>
        <v>2079</v>
      </c>
      <c r="C202" s="135">
        <f>[16]С2.5!$BL$11</f>
        <v>0</v>
      </c>
    </row>
    <row r="203" spans="2:3" hidden="1">
      <c r="B203" s="104">
        <f t="shared" si="0"/>
        <v>2080</v>
      </c>
      <c r="C203" s="135">
        <f>[16]С2.5!$BM$11</f>
        <v>0</v>
      </c>
    </row>
    <row r="204" spans="2:3" hidden="1">
      <c r="B204" s="104">
        <f t="shared" si="0"/>
        <v>2081</v>
      </c>
      <c r="C204" s="135">
        <f>[16]С2.5!$BN$11</f>
        <v>0</v>
      </c>
    </row>
    <row r="205" spans="2:3" hidden="1">
      <c r="B205" s="104">
        <f t="shared" si="0"/>
        <v>2082</v>
      </c>
      <c r="C205" s="135">
        <f>[16]С2.5!$BO$11</f>
        <v>0</v>
      </c>
    </row>
    <row r="206" spans="2:3" hidden="1">
      <c r="B206" s="104">
        <f t="shared" si="0"/>
        <v>2083</v>
      </c>
      <c r="C206" s="135">
        <f>[16]С2.5!$BP$11</f>
        <v>0</v>
      </c>
    </row>
    <row r="207" spans="2:3" hidden="1">
      <c r="B207" s="104">
        <f t="shared" si="0"/>
        <v>2084</v>
      </c>
      <c r="C207" s="135">
        <f>[16]С2.5!$BQ$11</f>
        <v>0</v>
      </c>
    </row>
    <row r="208" spans="2:3" hidden="1">
      <c r="B208" s="104">
        <f t="shared" si="0"/>
        <v>2085</v>
      </c>
      <c r="C208" s="135">
        <f>[16]С2.5!$BR$11</f>
        <v>0</v>
      </c>
    </row>
    <row r="209" spans="2:3" hidden="1">
      <c r="B209" s="104">
        <f t="shared" ref="B209:B223" si="1">B208+1</f>
        <v>2086</v>
      </c>
      <c r="C209" s="135">
        <f>[16]С2.5!$BS$11</f>
        <v>0</v>
      </c>
    </row>
    <row r="210" spans="2:3" hidden="1">
      <c r="B210" s="104">
        <f t="shared" si="1"/>
        <v>2087</v>
      </c>
      <c r="C210" s="135">
        <f>[16]С2.5!$BT$11</f>
        <v>0</v>
      </c>
    </row>
    <row r="211" spans="2:3" hidden="1">
      <c r="B211" s="104">
        <f t="shared" si="1"/>
        <v>2088</v>
      </c>
      <c r="C211" s="135">
        <f>[16]С2.5!$BU$11</f>
        <v>0</v>
      </c>
    </row>
    <row r="212" spans="2:3" hidden="1">
      <c r="B212" s="104">
        <f t="shared" si="1"/>
        <v>2089</v>
      </c>
      <c r="C212" s="135">
        <f>[16]С2.5!$BV$11</f>
        <v>0</v>
      </c>
    </row>
    <row r="213" spans="2:3" hidden="1">
      <c r="B213" s="104">
        <f t="shared" si="1"/>
        <v>2090</v>
      </c>
      <c r="C213" s="135">
        <f>[16]С2.5!$BW$11</f>
        <v>0</v>
      </c>
    </row>
    <row r="214" spans="2:3" hidden="1">
      <c r="B214" s="104">
        <f t="shared" si="1"/>
        <v>2091</v>
      </c>
      <c r="C214" s="135">
        <f>[16]С2.5!$BX$11</f>
        <v>0</v>
      </c>
    </row>
    <row r="215" spans="2:3" hidden="1">
      <c r="B215" s="104">
        <f t="shared" si="1"/>
        <v>2092</v>
      </c>
      <c r="C215" s="135">
        <f>[16]С2.5!$BY$11</f>
        <v>0</v>
      </c>
    </row>
    <row r="216" spans="2:3" hidden="1">
      <c r="B216" s="104">
        <f t="shared" si="1"/>
        <v>2093</v>
      </c>
      <c r="C216" s="135">
        <f>[16]С2.5!$BZ$11</f>
        <v>0</v>
      </c>
    </row>
    <row r="217" spans="2:3" hidden="1">
      <c r="B217" s="104">
        <f t="shared" si="1"/>
        <v>2094</v>
      </c>
      <c r="C217" s="135">
        <f>[16]С2.5!$CA$11</f>
        <v>0</v>
      </c>
    </row>
    <row r="218" spans="2:3" hidden="1">
      <c r="B218" s="104">
        <f t="shared" si="1"/>
        <v>2095</v>
      </c>
      <c r="C218" s="135">
        <f>[16]С2.5!$CB$11</f>
        <v>0</v>
      </c>
    </row>
    <row r="219" spans="2:3" hidden="1">
      <c r="B219" s="104">
        <f t="shared" si="1"/>
        <v>2096</v>
      </c>
      <c r="C219" s="135">
        <f>[16]С2.5!$CC$11</f>
        <v>0</v>
      </c>
    </row>
    <row r="220" spans="2:3" hidden="1">
      <c r="B220" s="104">
        <f t="shared" si="1"/>
        <v>2097</v>
      </c>
      <c r="C220" s="135">
        <f>[16]С2.5!$CD$11</f>
        <v>0</v>
      </c>
    </row>
    <row r="221" spans="2:3" hidden="1">
      <c r="B221" s="104">
        <f t="shared" si="1"/>
        <v>2098</v>
      </c>
      <c r="C221" s="135">
        <f>[16]С2.5!$CE$11</f>
        <v>0</v>
      </c>
    </row>
    <row r="222" spans="2:3" hidden="1">
      <c r="B222" s="104">
        <f t="shared" si="1"/>
        <v>2099</v>
      </c>
      <c r="C222" s="135">
        <f>[16]С2.5!$CF$11</f>
        <v>0</v>
      </c>
    </row>
    <row r="223" spans="2:3" ht="13.5" hidden="1" thickBot="1">
      <c r="B223" s="106">
        <f t="shared" si="1"/>
        <v>2100</v>
      </c>
      <c r="C223" s="136">
        <f>[16]С2.5!$CG$11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2529" r:id="rId3" name="Button 1">
              <controlPr defaultSize="0" print="0" autoFill="0" autoPict="0" macro="[17]!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2530" r:id="rId4" name="Button 2">
              <controlPr defaultSize="0" print="0" autoFill="0" autoPict="0" macro="[1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[18]И1!D13</f>
        <v>Субъект Российской Федерации</v>
      </c>
      <c r="C4" s="9" t="str">
        <f>[18]И1!E13</f>
        <v>Новосибирская область</v>
      </c>
    </row>
    <row r="5" spans="1:3" ht="46.9" customHeight="1">
      <c r="A5" s="7"/>
      <c r="B5" s="8" t="str">
        <f>[18]И1!D14</f>
        <v>Тип муниципального образования (выберите из списка)</v>
      </c>
      <c r="C5" s="9" t="str">
        <f>[18]И1!E14</f>
        <v>поселок Дивинка, Болотнинский муниципальный район</v>
      </c>
    </row>
    <row r="6" spans="1:3">
      <c r="A6" s="7"/>
      <c r="B6" s="8" t="str">
        <f>IF([18]И1!E15="","",[18]И1!D15)</f>
        <v/>
      </c>
      <c r="C6" s="9" t="str">
        <f>IF([18]И1!E15="","",[18]И1!E15)</f>
        <v/>
      </c>
    </row>
    <row r="7" spans="1:3">
      <c r="A7" s="7"/>
      <c r="B7" s="8" t="str">
        <f>[18]И1!D16</f>
        <v>Код ОКТМО</v>
      </c>
      <c r="C7" s="10" t="str">
        <f>[18]И1!E16</f>
        <v>50606413101</v>
      </c>
    </row>
    <row r="8" spans="1:3">
      <c r="A8" s="7"/>
      <c r="B8" s="11" t="str">
        <f>[18]И1!D17</f>
        <v>Система теплоснабжения</v>
      </c>
      <c r="C8" s="12">
        <f>[18]И1!E17</f>
        <v>0</v>
      </c>
    </row>
    <row r="9" spans="1:3">
      <c r="A9" s="7"/>
      <c r="B9" s="8" t="str">
        <f>[18]И1!D8</f>
        <v>Период регулирования (i)-й</v>
      </c>
      <c r="C9" s="13">
        <f>[18]И1!E8</f>
        <v>2024</v>
      </c>
    </row>
    <row r="10" spans="1:3">
      <c r="A10" s="7"/>
      <c r="B10" s="8" t="str">
        <f>[18]И1!D9</f>
        <v>Период регулирования (i-1)-й</v>
      </c>
      <c r="C10" s="13">
        <f>[18]И1!E9</f>
        <v>2023</v>
      </c>
    </row>
    <row r="11" spans="1:3">
      <c r="A11" s="7"/>
      <c r="B11" s="8" t="str">
        <f>[18]И1!D10</f>
        <v>Период регулирования (i-2)-й</v>
      </c>
      <c r="C11" s="13">
        <f>[18]И1!E10</f>
        <v>2022</v>
      </c>
    </row>
    <row r="12" spans="1:3">
      <c r="A12" s="7"/>
      <c r="B12" s="8" t="str">
        <f>[18]И1!D11</f>
        <v>Базовый год (б)</v>
      </c>
      <c r="C12" s="13">
        <f>[18]И1!E11</f>
        <v>2019</v>
      </c>
    </row>
    <row r="13" spans="1:3" ht="38.25">
      <c r="A13" s="7"/>
      <c r="B13" s="8" t="str">
        <f>[18]И1!D18</f>
        <v>Вид топлива, использование которого преобладает в системе теплоснабжения</v>
      </c>
      <c r="C13" s="14" t="str">
        <f>[18]С1.1!E13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3655.2820024247267</v>
      </c>
    </row>
    <row r="18" spans="1:3" ht="42.75">
      <c r="A18" s="21" t="s">
        <v>8</v>
      </c>
      <c r="B18" s="24" t="s">
        <v>9</v>
      </c>
      <c r="C18" s="25">
        <f>[18]С1!F12</f>
        <v>676.60152105220402</v>
      </c>
    </row>
    <row r="19" spans="1:3" ht="42.75">
      <c r="A19" s="21" t="s">
        <v>10</v>
      </c>
      <c r="B19" s="24" t="s">
        <v>11</v>
      </c>
      <c r="C19" s="25">
        <f>[18]С2!F12</f>
        <v>1993.3494362887216</v>
      </c>
    </row>
    <row r="20" spans="1:3" ht="30">
      <c r="A20" s="21" t="s">
        <v>12</v>
      </c>
      <c r="B20" s="24" t="s">
        <v>13</v>
      </c>
      <c r="C20" s="25">
        <f>[18]С3!F12</f>
        <v>473.85859951490778</v>
      </c>
    </row>
    <row r="21" spans="1:3" ht="42.75">
      <c r="A21" s="21" t="s">
        <v>14</v>
      </c>
      <c r="B21" s="24" t="s">
        <v>226</v>
      </c>
      <c r="C21" s="25">
        <f>[18]С4!F12</f>
        <v>439.80024944291841</v>
      </c>
    </row>
    <row r="22" spans="1:3" ht="30">
      <c r="A22" s="21" t="s">
        <v>16</v>
      </c>
      <c r="B22" s="24" t="s">
        <v>227</v>
      </c>
      <c r="C22" s="25">
        <f>[18]С5!F12</f>
        <v>71.672196125975034</v>
      </c>
    </row>
    <row r="23" spans="1:3" ht="43.5" thickBot="1">
      <c r="A23" s="26" t="s">
        <v>18</v>
      </c>
      <c r="B23" s="140" t="s">
        <v>228</v>
      </c>
      <c r="C23" s="27" t="str">
        <f>[18]С6!F12</f>
        <v>-</v>
      </c>
    </row>
    <row r="24" spans="1:3" ht="13.5" thickBot="1">
      <c r="A24" s="1"/>
    </row>
    <row r="25" spans="1:3">
      <c r="A25" s="15" t="s">
        <v>4</v>
      </c>
      <c r="B25" s="28" t="s">
        <v>5</v>
      </c>
      <c r="C25" s="16" t="s">
        <v>6</v>
      </c>
    </row>
    <row r="26" spans="1:3">
      <c r="A26" s="18">
        <v>1</v>
      </c>
      <c r="B26" s="29">
        <v>2</v>
      </c>
      <c r="C26" s="30">
        <v>3</v>
      </c>
    </row>
    <row r="27" spans="1:3" ht="36" customHeight="1">
      <c r="A27" s="21">
        <v>1</v>
      </c>
      <c r="B27" s="144" t="s">
        <v>20</v>
      </c>
      <c r="C27" s="144"/>
    </row>
    <row r="28" spans="1:3">
      <c r="A28" s="21" t="s">
        <v>8</v>
      </c>
      <c r="B28" s="31" t="s">
        <v>229</v>
      </c>
      <c r="C28" s="32">
        <f>[18]С1.1!E16</f>
        <v>5100</v>
      </c>
    </row>
    <row r="29" spans="1:3" ht="42.75">
      <c r="A29" s="21" t="s">
        <v>10</v>
      </c>
      <c r="B29" s="31" t="s">
        <v>230</v>
      </c>
      <c r="C29" s="32">
        <f>[18]С1.1!E27</f>
        <v>3040</v>
      </c>
    </row>
    <row r="30" spans="1:3" ht="17.25">
      <c r="A30" s="21" t="s">
        <v>12</v>
      </c>
      <c r="B30" s="31" t="s">
        <v>29</v>
      </c>
      <c r="C30" s="34">
        <f>[18]С1.1!E19</f>
        <v>-0.19900000000000001</v>
      </c>
    </row>
    <row r="31" spans="1:3" ht="17.25">
      <c r="A31" s="21" t="s">
        <v>14</v>
      </c>
      <c r="B31" s="31" t="s">
        <v>30</v>
      </c>
      <c r="C31" s="34">
        <f>[18]С1.1!E20</f>
        <v>5.7000000000000002E-2</v>
      </c>
    </row>
    <row r="32" spans="1:3" ht="30">
      <c r="A32" s="21" t="s">
        <v>16</v>
      </c>
      <c r="B32" s="35" t="s">
        <v>231</v>
      </c>
      <c r="C32" s="117">
        <f>[18]С1!F13</f>
        <v>176.4</v>
      </c>
    </row>
    <row r="33" spans="1:3">
      <c r="A33" s="21" t="s">
        <v>18</v>
      </c>
      <c r="B33" s="35" t="s">
        <v>32</v>
      </c>
      <c r="C33" s="37">
        <f>[18]С1!F16</f>
        <v>7000</v>
      </c>
    </row>
    <row r="34" spans="1:3" ht="14.25">
      <c r="A34" s="21" t="s">
        <v>33</v>
      </c>
      <c r="B34" s="39" t="s">
        <v>232</v>
      </c>
      <c r="C34" s="40">
        <f>[18]С1!F17</f>
        <v>0.72857142857142854</v>
      </c>
    </row>
    <row r="35" spans="1:3" ht="15.75">
      <c r="A35" s="118" t="s">
        <v>35</v>
      </c>
      <c r="B35" s="42" t="s">
        <v>36</v>
      </c>
      <c r="C35" s="40">
        <f>[18]С1!F20</f>
        <v>21.588411179999994</v>
      </c>
    </row>
    <row r="36" spans="1:3" ht="15.75">
      <c r="A36" s="118" t="s">
        <v>37</v>
      </c>
      <c r="B36" s="43" t="s">
        <v>38</v>
      </c>
      <c r="C36" s="40">
        <f>[18]С1!F21</f>
        <v>20.818139999999996</v>
      </c>
    </row>
    <row r="37" spans="1:3" ht="14.25">
      <c r="A37" s="118" t="s">
        <v>39</v>
      </c>
      <c r="B37" s="44" t="s">
        <v>40</v>
      </c>
      <c r="C37" s="40">
        <f>[18]С1!F22</f>
        <v>1.0369999999999999</v>
      </c>
    </row>
    <row r="38" spans="1:3" ht="53.25" thickBot="1">
      <c r="A38" s="26" t="s">
        <v>41</v>
      </c>
      <c r="B38" s="45" t="s">
        <v>42</v>
      </c>
      <c r="C38" s="46">
        <f>[18]С1!F23</f>
        <v>1.0469999999999999</v>
      </c>
    </row>
    <row r="39" spans="1:3" ht="13.5" thickBot="1">
      <c r="A39" s="47"/>
      <c r="B39" s="119"/>
      <c r="C39" s="120"/>
    </row>
    <row r="40" spans="1:3" ht="39" customHeight="1">
      <c r="A40" s="49" t="s">
        <v>43</v>
      </c>
      <c r="B40" s="145" t="s">
        <v>44</v>
      </c>
      <c r="C40" s="145"/>
    </row>
    <row r="41" spans="1:3" ht="25.5">
      <c r="A41" s="21" t="s">
        <v>45</v>
      </c>
      <c r="B41" s="35" t="s">
        <v>46</v>
      </c>
      <c r="C41" s="50" t="str">
        <f>[18]С2.1!E12</f>
        <v>V</v>
      </c>
    </row>
    <row r="42" spans="1:3" ht="25.5">
      <c r="A42" s="21" t="s">
        <v>47</v>
      </c>
      <c r="B42" s="31" t="s">
        <v>48</v>
      </c>
      <c r="C42" s="50" t="str">
        <f>[18]С2.1!E13</f>
        <v>6 и менее баллов</v>
      </c>
    </row>
    <row r="43" spans="1:3" ht="25.5">
      <c r="A43" s="21" t="s">
        <v>49</v>
      </c>
      <c r="B43" s="31" t="s">
        <v>233</v>
      </c>
      <c r="C43" s="50" t="str">
        <f>[18]С2.1!E14</f>
        <v>от 200 до 500</v>
      </c>
    </row>
    <row r="44" spans="1:3" ht="25.5">
      <c r="A44" s="21" t="s">
        <v>51</v>
      </c>
      <c r="B44" s="31" t="s">
        <v>234</v>
      </c>
      <c r="C44" s="51" t="str">
        <f>[18]С2.1!E15</f>
        <v>нет</v>
      </c>
    </row>
    <row r="45" spans="1:3" ht="30">
      <c r="A45" s="21" t="s">
        <v>53</v>
      </c>
      <c r="B45" s="31" t="s">
        <v>54</v>
      </c>
      <c r="C45" s="32">
        <f>[18]С2!F18</f>
        <v>35106.652004551666</v>
      </c>
    </row>
    <row r="46" spans="1:3" ht="30">
      <c r="A46" s="21" t="s">
        <v>55</v>
      </c>
      <c r="B46" s="52" t="s">
        <v>56</v>
      </c>
      <c r="C46" s="32">
        <f>IF([18]С2!F19&gt;0,[18]С2!F19,[18]С2!F20)</f>
        <v>23441.524932855718</v>
      </c>
    </row>
    <row r="47" spans="1:3" ht="25.5">
      <c r="A47" s="21" t="s">
        <v>57</v>
      </c>
      <c r="B47" s="53" t="s">
        <v>58</v>
      </c>
      <c r="C47" s="32">
        <f>[18]С2.1!E19</f>
        <v>-38</v>
      </c>
    </row>
    <row r="48" spans="1:3" ht="25.5">
      <c r="A48" s="21" t="s">
        <v>59</v>
      </c>
      <c r="B48" s="53" t="s">
        <v>60</v>
      </c>
      <c r="C48" s="32" t="str">
        <f>[18]С2.1!E22</f>
        <v>нет</v>
      </c>
    </row>
    <row r="49" spans="1:3" ht="38.25">
      <c r="A49" s="21" t="s">
        <v>61</v>
      </c>
      <c r="B49" s="54" t="s">
        <v>62</v>
      </c>
      <c r="C49" s="32">
        <f>[18]С2.2!E10</f>
        <v>1287</v>
      </c>
    </row>
    <row r="50" spans="1:3" ht="25.5">
      <c r="A50" s="21" t="s">
        <v>63</v>
      </c>
      <c r="B50" s="55" t="s">
        <v>64</v>
      </c>
      <c r="C50" s="32">
        <f>[18]С2.2!E12</f>
        <v>5.97</v>
      </c>
    </row>
    <row r="51" spans="1:3" ht="52.5">
      <c r="A51" s="21" t="s">
        <v>65</v>
      </c>
      <c r="B51" s="56" t="s">
        <v>66</v>
      </c>
      <c r="C51" s="32">
        <f>[18]С2.2!E13</f>
        <v>1</v>
      </c>
    </row>
    <row r="52" spans="1:3" ht="27.75">
      <c r="A52" s="21" t="s">
        <v>67</v>
      </c>
      <c r="B52" s="55" t="s">
        <v>68</v>
      </c>
      <c r="C52" s="32">
        <f>[18]С2.2!E14</f>
        <v>12104</v>
      </c>
    </row>
    <row r="53" spans="1:3" ht="25.5">
      <c r="A53" s="21" t="s">
        <v>69</v>
      </c>
      <c r="B53" s="56" t="s">
        <v>70</v>
      </c>
      <c r="C53" s="34">
        <f>[18]С2.2!E15</f>
        <v>4.8000000000000001E-2</v>
      </c>
    </row>
    <row r="54" spans="1:3">
      <c r="A54" s="21" t="s">
        <v>71</v>
      </c>
      <c r="B54" s="56" t="s">
        <v>72</v>
      </c>
      <c r="C54" s="32">
        <f>[18]С2.2!E16</f>
        <v>1</v>
      </c>
    </row>
    <row r="55" spans="1:3" ht="15.75">
      <c r="A55" s="21" t="s">
        <v>73</v>
      </c>
      <c r="B55" s="58" t="s">
        <v>74</v>
      </c>
      <c r="C55" s="32">
        <f>[18]С2!F21</f>
        <v>1</v>
      </c>
    </row>
    <row r="56" spans="1:3" ht="30">
      <c r="A56" s="59" t="s">
        <v>75</v>
      </c>
      <c r="B56" s="31" t="s">
        <v>235</v>
      </c>
      <c r="C56" s="32">
        <f>[18]С2!F13</f>
        <v>183796.83936385796</v>
      </c>
    </row>
    <row r="57" spans="1:3" ht="30">
      <c r="A57" s="59" t="s">
        <v>77</v>
      </c>
      <c r="B57" s="58" t="s">
        <v>236</v>
      </c>
      <c r="C57" s="32">
        <f>[18]С2!F14</f>
        <v>113455</v>
      </c>
    </row>
    <row r="58" spans="1:3" ht="15.75">
      <c r="A58" s="59" t="s">
        <v>79</v>
      </c>
      <c r="B58" s="60" t="s">
        <v>80</v>
      </c>
      <c r="C58" s="40">
        <f>[18]С2!F15</f>
        <v>1.071</v>
      </c>
    </row>
    <row r="59" spans="1:3" ht="15.75">
      <c r="A59" s="59" t="s">
        <v>81</v>
      </c>
      <c r="B59" s="60" t="s">
        <v>82</v>
      </c>
      <c r="C59" s="40">
        <f>[18]С2!F16</f>
        <v>1</v>
      </c>
    </row>
    <row r="60" spans="1:3" ht="17.25">
      <c r="A60" s="59" t="s">
        <v>83</v>
      </c>
      <c r="B60" s="58" t="s">
        <v>84</v>
      </c>
      <c r="C60" s="32">
        <f>[18]С2!F17</f>
        <v>1.01</v>
      </c>
    </row>
    <row r="61" spans="1:3" s="65" customFormat="1" ht="14.25">
      <c r="A61" s="59" t="s">
        <v>85</v>
      </c>
      <c r="B61" s="63" t="s">
        <v>86</v>
      </c>
      <c r="C61" s="64">
        <f>[18]С2!F33</f>
        <v>10</v>
      </c>
    </row>
    <row r="62" spans="1:3" ht="30">
      <c r="A62" s="59" t="s">
        <v>87</v>
      </c>
      <c r="B62" s="66" t="s">
        <v>88</v>
      </c>
      <c r="C62" s="32">
        <f>[18]С2!F26</f>
        <v>1867.194948000021</v>
      </c>
    </row>
    <row r="63" spans="1:3" ht="17.25">
      <c r="A63" s="59" t="s">
        <v>89</v>
      </c>
      <c r="B63" s="52" t="s">
        <v>237</v>
      </c>
      <c r="C63" s="32">
        <f>[18]С2!F27</f>
        <v>0.29684983999999998</v>
      </c>
    </row>
    <row r="64" spans="1:3" ht="17.25">
      <c r="A64" s="59" t="s">
        <v>91</v>
      </c>
      <c r="B64" s="58" t="s">
        <v>238</v>
      </c>
      <c r="C64" s="64">
        <f>[18]С2!F28</f>
        <v>4200</v>
      </c>
    </row>
    <row r="65" spans="1:3" ht="42.75">
      <c r="A65" s="59" t="s">
        <v>93</v>
      </c>
      <c r="B65" s="31" t="s">
        <v>239</v>
      </c>
      <c r="C65" s="32">
        <f>[18]С2!F22</f>
        <v>38698.422798410109</v>
      </c>
    </row>
    <row r="66" spans="1:3" ht="30">
      <c r="A66" s="59" t="s">
        <v>95</v>
      </c>
      <c r="B66" s="60" t="s">
        <v>240</v>
      </c>
      <c r="C66" s="32">
        <f>[18]С2!F23</f>
        <v>1990</v>
      </c>
    </row>
    <row r="67" spans="1:3" ht="30">
      <c r="A67" s="59" t="s">
        <v>97</v>
      </c>
      <c r="B67" s="52" t="s">
        <v>98</v>
      </c>
      <c r="C67" s="32">
        <f>[18]С2.1!E27</f>
        <v>14307.876789999998</v>
      </c>
    </row>
    <row r="68" spans="1:3" ht="38.25">
      <c r="A68" s="59" t="s">
        <v>99</v>
      </c>
      <c r="B68" s="67" t="s">
        <v>100</v>
      </c>
      <c r="C68" s="51">
        <f>[18]С2.3!E21</f>
        <v>0</v>
      </c>
    </row>
    <row r="69" spans="1:3" ht="25.5">
      <c r="A69" s="59" t="s">
        <v>101</v>
      </c>
      <c r="B69" s="68" t="s">
        <v>102</v>
      </c>
      <c r="C69" s="69">
        <f>[18]С2.3!E11</f>
        <v>9.89</v>
      </c>
    </row>
    <row r="70" spans="1:3" ht="25.5">
      <c r="A70" s="59" t="s">
        <v>103</v>
      </c>
      <c r="B70" s="68" t="s">
        <v>104</v>
      </c>
      <c r="C70" s="64">
        <f>[18]С2.3!E13</f>
        <v>300</v>
      </c>
    </row>
    <row r="71" spans="1:3" ht="25.5">
      <c r="A71" s="59" t="s">
        <v>105</v>
      </c>
      <c r="B71" s="67" t="s">
        <v>106</v>
      </c>
      <c r="C71" s="70">
        <f>IF([18]С2.3!E22&gt;0,[18]С2.3!E22,[18]С2.3!E14)</f>
        <v>61211</v>
      </c>
    </row>
    <row r="72" spans="1:3" ht="38.25">
      <c r="A72" s="59" t="s">
        <v>107</v>
      </c>
      <c r="B72" s="67" t="s">
        <v>108</v>
      </c>
      <c r="C72" s="70">
        <f>IF([18]С2.3!E23&gt;0,[18]С2.3!E23,[18]С2.3!E15)</f>
        <v>45675</v>
      </c>
    </row>
    <row r="73" spans="1:3" ht="30">
      <c r="A73" s="59" t="s">
        <v>109</v>
      </c>
      <c r="B73" s="52" t="s">
        <v>110</v>
      </c>
      <c r="C73" s="32">
        <f>[18]С2.1!E28</f>
        <v>9541.9567200000001</v>
      </c>
    </row>
    <row r="74" spans="1:3" ht="38.25">
      <c r="A74" s="59" t="s">
        <v>111</v>
      </c>
      <c r="B74" s="67" t="s">
        <v>112</v>
      </c>
      <c r="C74" s="51">
        <f>[18]С2.3!E25</f>
        <v>0</v>
      </c>
    </row>
    <row r="75" spans="1:3" ht="25.5">
      <c r="A75" s="59" t="s">
        <v>113</v>
      </c>
      <c r="B75" s="68" t="s">
        <v>114</v>
      </c>
      <c r="C75" s="69">
        <f>[18]С2.3!E12</f>
        <v>0.56000000000000005</v>
      </c>
    </row>
    <row r="76" spans="1:3" ht="25.5">
      <c r="A76" s="59" t="s">
        <v>115</v>
      </c>
      <c r="B76" s="68" t="s">
        <v>104</v>
      </c>
      <c r="C76" s="64">
        <f>[18]С2.3!E13</f>
        <v>300</v>
      </c>
    </row>
    <row r="77" spans="1:3" ht="25.5">
      <c r="A77" s="59" t="s">
        <v>116</v>
      </c>
      <c r="B77" s="71" t="s">
        <v>117</v>
      </c>
      <c r="C77" s="70">
        <f>IF([18]С2.3!E26&gt;0,[18]С2.3!E26,[18]С2.3!E16)</f>
        <v>65637</v>
      </c>
    </row>
    <row r="78" spans="1:3" ht="38.25">
      <c r="A78" s="59" t="s">
        <v>118</v>
      </c>
      <c r="B78" s="71" t="s">
        <v>119</v>
      </c>
      <c r="C78" s="70">
        <f>IF([18]С2.3!E27&gt;0,[18]С2.3!E27,[18]С2.3!E17)</f>
        <v>31684</v>
      </c>
    </row>
    <row r="79" spans="1:3" ht="17.25">
      <c r="A79" s="59" t="s">
        <v>122</v>
      </c>
      <c r="B79" s="31" t="s">
        <v>123</v>
      </c>
      <c r="C79" s="34">
        <f>[18]С2!F29</f>
        <v>9.5962865259740182E-2</v>
      </c>
    </row>
    <row r="80" spans="1:3" ht="30">
      <c r="A80" s="59" t="s">
        <v>124</v>
      </c>
      <c r="B80" s="52" t="s">
        <v>125</v>
      </c>
      <c r="C80" s="72">
        <f>[18]С2!F30</f>
        <v>8.4029304029304031E-2</v>
      </c>
    </row>
    <row r="81" spans="1:3" ht="17.25">
      <c r="A81" s="59" t="s">
        <v>126</v>
      </c>
      <c r="B81" s="73" t="s">
        <v>127</v>
      </c>
      <c r="C81" s="34">
        <f>[18]С2!F31</f>
        <v>0.13880000000000001</v>
      </c>
    </row>
    <row r="82" spans="1:3" s="65" customFormat="1" ht="18" thickBot="1">
      <c r="A82" s="74" t="s">
        <v>128</v>
      </c>
      <c r="B82" s="75" t="s">
        <v>129</v>
      </c>
      <c r="C82" s="76">
        <f>[18]С2!F32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[18]С3!F14</f>
        <v>6081.0916722812572</v>
      </c>
    </row>
    <row r="86" spans="1:3" s="65" customFormat="1" ht="42.75">
      <c r="A86" s="78" t="s">
        <v>134</v>
      </c>
      <c r="B86" s="52" t="s">
        <v>135</v>
      </c>
      <c r="C86" s="79">
        <f>[18]С3!F15</f>
        <v>0.2</v>
      </c>
    </row>
    <row r="87" spans="1:3" s="65" customFormat="1" ht="14.25">
      <c r="A87" s="78" t="s">
        <v>136</v>
      </c>
      <c r="B87" s="80" t="s">
        <v>137</v>
      </c>
      <c r="C87" s="64">
        <f>[18]С3!F18</f>
        <v>15</v>
      </c>
    </row>
    <row r="88" spans="1:3" s="65" customFormat="1" ht="17.25">
      <c r="A88" s="78" t="s">
        <v>138</v>
      </c>
      <c r="B88" s="31" t="s">
        <v>139</v>
      </c>
      <c r="C88" s="32">
        <f>[18]С3!F19</f>
        <v>3778.1614077800232</v>
      </c>
    </row>
    <row r="89" spans="1:3" s="65" customFormat="1" ht="55.5">
      <c r="A89" s="78" t="s">
        <v>140</v>
      </c>
      <c r="B89" s="52" t="s">
        <v>141</v>
      </c>
      <c r="C89" s="81">
        <f>[18]С3!F20</f>
        <v>2.1999999999999999E-2</v>
      </c>
    </row>
    <row r="90" spans="1:3" s="65" customFormat="1" ht="14.25">
      <c r="A90" s="78" t="s">
        <v>142</v>
      </c>
      <c r="B90" s="58" t="s">
        <v>86</v>
      </c>
      <c r="C90" s="64">
        <f>[18]С3!F21</f>
        <v>10</v>
      </c>
    </row>
    <row r="91" spans="1:3" s="65" customFormat="1" ht="17.25">
      <c r="A91" s="78" t="s">
        <v>143</v>
      </c>
      <c r="B91" s="31" t="s">
        <v>144</v>
      </c>
      <c r="C91" s="32">
        <f>[18]С3!F22</f>
        <v>5.6015848440000635</v>
      </c>
    </row>
    <row r="92" spans="1:3" s="65" customFormat="1" ht="55.5">
      <c r="A92" s="78" t="s">
        <v>145</v>
      </c>
      <c r="B92" s="52" t="s">
        <v>146</v>
      </c>
      <c r="C92" s="81">
        <f>[18]С3!F23</f>
        <v>3.0000000000000001E-3</v>
      </c>
    </row>
    <row r="93" spans="1:3" s="65" customFormat="1" ht="27.75" thickBot="1">
      <c r="A93" s="82" t="s">
        <v>147</v>
      </c>
      <c r="B93" s="83" t="s">
        <v>241</v>
      </c>
      <c r="C93" s="84">
        <f>[18]С3!F24</f>
        <v>1867.194948000021</v>
      </c>
    </row>
    <row r="94" spans="1:3" ht="13.5" thickBot="1">
      <c r="A94" s="47"/>
      <c r="B94" s="48"/>
      <c r="C94" s="14"/>
    </row>
    <row r="95" spans="1:3" ht="39.75" customHeight="1">
      <c r="A95" s="85" t="s">
        <v>148</v>
      </c>
      <c r="B95" s="145" t="s">
        <v>149</v>
      </c>
      <c r="C95" s="145"/>
    </row>
    <row r="96" spans="1:3" ht="30">
      <c r="A96" s="59" t="s">
        <v>150</v>
      </c>
      <c r="B96" s="31" t="s">
        <v>242</v>
      </c>
      <c r="C96" s="32">
        <f>[18]С4!F16</f>
        <v>1652.5</v>
      </c>
    </row>
    <row r="97" spans="1:3" ht="30">
      <c r="A97" s="59" t="s">
        <v>152</v>
      </c>
      <c r="B97" s="58" t="s">
        <v>243</v>
      </c>
      <c r="C97" s="32">
        <f>[18]С4!F17</f>
        <v>73547</v>
      </c>
    </row>
    <row r="98" spans="1:3" ht="17.25">
      <c r="A98" s="59" t="s">
        <v>154</v>
      </c>
      <c r="B98" s="58" t="s">
        <v>155</v>
      </c>
      <c r="C98" s="40">
        <f>[18]С4!F18</f>
        <v>0.02</v>
      </c>
    </row>
    <row r="99" spans="1:3" ht="30">
      <c r="A99" s="59" t="s">
        <v>156</v>
      </c>
      <c r="B99" s="58" t="s">
        <v>157</v>
      </c>
      <c r="C99" s="32">
        <f>[18]С4!F19</f>
        <v>12104</v>
      </c>
    </row>
    <row r="100" spans="1:3" ht="31.5">
      <c r="A100" s="59" t="s">
        <v>158</v>
      </c>
      <c r="B100" s="58" t="s">
        <v>159</v>
      </c>
      <c r="C100" s="40">
        <f>[18]С4!F20</f>
        <v>1.4999999999999999E-2</v>
      </c>
    </row>
    <row r="101" spans="1:3" ht="30">
      <c r="A101" s="59" t="s">
        <v>160</v>
      </c>
      <c r="B101" s="31" t="s">
        <v>244</v>
      </c>
      <c r="C101" s="32">
        <f>[18]С4!F21</f>
        <v>1933.1949342509995</v>
      </c>
    </row>
    <row r="102" spans="1:3" ht="24" customHeight="1">
      <c r="A102" s="59" t="s">
        <v>162</v>
      </c>
      <c r="B102" s="52" t="s">
        <v>163</v>
      </c>
      <c r="C102" s="33">
        <f>IF([18]С4.2!F8="да",[18]С4.2!D21,[18]С4.2!D15)</f>
        <v>0</v>
      </c>
    </row>
    <row r="103" spans="1:3" ht="68.25">
      <c r="A103" s="59" t="s">
        <v>164</v>
      </c>
      <c r="B103" s="52" t="s">
        <v>165</v>
      </c>
      <c r="C103" s="32">
        <f>[18]С4!F22</f>
        <v>3.6112641666666665</v>
      </c>
    </row>
    <row r="104" spans="1:3" ht="30">
      <c r="A104" s="59" t="s">
        <v>166</v>
      </c>
      <c r="B104" s="58" t="s">
        <v>245</v>
      </c>
      <c r="C104" s="32">
        <f>[18]С4!F23</f>
        <v>180</v>
      </c>
    </row>
    <row r="105" spans="1:3" ht="14.25">
      <c r="A105" s="59" t="s">
        <v>168</v>
      </c>
      <c r="B105" s="52" t="s">
        <v>169</v>
      </c>
      <c r="C105" s="32">
        <f>[18]С4!F24</f>
        <v>8497.1999999999989</v>
      </c>
    </row>
    <row r="106" spans="1:3" ht="14.25">
      <c r="A106" s="59" t="s">
        <v>170</v>
      </c>
      <c r="B106" s="58" t="s">
        <v>171</v>
      </c>
      <c r="C106" s="40">
        <f>[18]С4!F25</f>
        <v>0.35</v>
      </c>
    </row>
    <row r="107" spans="1:3" ht="17.25">
      <c r="A107" s="59" t="s">
        <v>172</v>
      </c>
      <c r="B107" s="31" t="s">
        <v>173</v>
      </c>
      <c r="C107" s="32">
        <f>[18]С4!F26</f>
        <v>85.988129999999998</v>
      </c>
    </row>
    <row r="108" spans="1:3" ht="25.5">
      <c r="A108" s="59" t="s">
        <v>174</v>
      </c>
      <c r="B108" s="52" t="s">
        <v>100</v>
      </c>
      <c r="C108" s="33">
        <f>[18]С4.3!E16</f>
        <v>0</v>
      </c>
    </row>
    <row r="109" spans="1:3" ht="25.5">
      <c r="A109" s="59" t="s">
        <v>175</v>
      </c>
      <c r="B109" s="52" t="s">
        <v>176</v>
      </c>
      <c r="C109" s="32">
        <f>[18]С4.3!E17</f>
        <v>20.350000000000001</v>
      </c>
    </row>
    <row r="110" spans="1:3" ht="38.25">
      <c r="A110" s="59" t="s">
        <v>177</v>
      </c>
      <c r="B110" s="52" t="s">
        <v>112</v>
      </c>
      <c r="C110" s="33">
        <f>[18]С4.3!E18</f>
        <v>0</v>
      </c>
    </row>
    <row r="111" spans="1:3">
      <c r="A111" s="59" t="s">
        <v>178</v>
      </c>
      <c r="B111" s="52" t="s">
        <v>179</v>
      </c>
      <c r="C111" s="32">
        <f>[18]С4.3!E19</f>
        <v>71.67</v>
      </c>
    </row>
    <row r="112" spans="1:3">
      <c r="A112" s="59" t="s">
        <v>180</v>
      </c>
      <c r="B112" s="58" t="s">
        <v>181</v>
      </c>
      <c r="C112" s="32">
        <f>[18]С4.3!E11</f>
        <v>1871</v>
      </c>
    </row>
    <row r="113" spans="1:3">
      <c r="A113" s="59" t="s">
        <v>182</v>
      </c>
      <c r="B113" s="58" t="s">
        <v>183</v>
      </c>
      <c r="C113" s="51">
        <f>[18]С4.3!E12</f>
        <v>1636</v>
      </c>
    </row>
    <row r="114" spans="1:3">
      <c r="A114" s="59" t="s">
        <v>184</v>
      </c>
      <c r="B114" s="58" t="s">
        <v>185</v>
      </c>
      <c r="C114" s="51">
        <f>[18]С4.3!E13</f>
        <v>204</v>
      </c>
    </row>
    <row r="115" spans="1:3" ht="30">
      <c r="A115" s="59" t="s">
        <v>186</v>
      </c>
      <c r="B115" s="31" t="s">
        <v>246</v>
      </c>
      <c r="C115" s="32">
        <f>[18]С4!F27</f>
        <v>1291.2863994686898</v>
      </c>
    </row>
    <row r="116" spans="1:3" ht="25.5">
      <c r="A116" s="59" t="s">
        <v>188</v>
      </c>
      <c r="B116" s="52" t="s">
        <v>247</v>
      </c>
      <c r="C116" s="32">
        <f>[18]С4!F28</f>
        <v>991.77142816335618</v>
      </c>
    </row>
    <row r="117" spans="1:3" ht="42.75">
      <c r="A117" s="59" t="s">
        <v>190</v>
      </c>
      <c r="B117" s="52" t="s">
        <v>191</v>
      </c>
      <c r="C117" s="32">
        <f>[18]С4!F29</f>
        <v>299.51497130533357</v>
      </c>
    </row>
    <row r="118" spans="1:3" ht="30">
      <c r="A118" s="59" t="s">
        <v>192</v>
      </c>
      <c r="B118" s="39" t="s">
        <v>193</v>
      </c>
      <c r="C118" s="32">
        <f>[18]С4!F30</f>
        <v>1723.1479285318933</v>
      </c>
    </row>
    <row r="119" spans="1:3" ht="42.75">
      <c r="A119" s="59" t="s">
        <v>248</v>
      </c>
      <c r="B119" s="89" t="s">
        <v>249</v>
      </c>
      <c r="C119" s="32">
        <f>[18]С4!F33</f>
        <v>1003.031644263441</v>
      </c>
    </row>
    <row r="120" spans="1:3" ht="30">
      <c r="A120" s="59" t="s">
        <v>250</v>
      </c>
      <c r="B120" s="121" t="s">
        <v>251</v>
      </c>
      <c r="C120" s="32">
        <f>[18]С4!F35</f>
        <v>17.040680999999999</v>
      </c>
    </row>
    <row r="121" spans="1:3" ht="14.25">
      <c r="A121" s="59" t="s">
        <v>252</v>
      </c>
      <c r="B121" s="55" t="s">
        <v>253</v>
      </c>
      <c r="C121" s="32">
        <f>[18]С4!F36</f>
        <v>14319.9</v>
      </c>
    </row>
    <row r="122" spans="1:3" ht="28.5" thickBot="1">
      <c r="A122" s="74" t="s">
        <v>254</v>
      </c>
      <c r="B122" s="122" t="s">
        <v>255</v>
      </c>
      <c r="C122" s="84">
        <f>[18]С4!F37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[18]С5!F17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[18]С2!F37</f>
        <v>20.818139999999996</v>
      </c>
    </row>
    <row r="136" spans="1:4" ht="14.25">
      <c r="A136" s="59" t="s">
        <v>214</v>
      </c>
      <c r="B136" s="128" t="s">
        <v>215</v>
      </c>
      <c r="C136" s="32">
        <f>[18]С2!F38</f>
        <v>7</v>
      </c>
    </row>
    <row r="137" spans="1:4" ht="17.25">
      <c r="A137" s="59" t="s">
        <v>216</v>
      </c>
      <c r="B137" s="128" t="s">
        <v>217</v>
      </c>
      <c r="C137" s="32">
        <f>[18]С2!F40</f>
        <v>0.97</v>
      </c>
    </row>
    <row r="138" spans="1:4" ht="15" thickBot="1">
      <c r="A138" s="74" t="s">
        <v>218</v>
      </c>
      <c r="B138" s="129" t="s">
        <v>219</v>
      </c>
      <c r="C138" s="46">
        <f>[18]С2!F42</f>
        <v>0.35</v>
      </c>
    </row>
    <row r="139" spans="1:4" s="87" customFormat="1" ht="13.5" thickBot="1">
      <c r="A139" s="47"/>
      <c r="B139" s="48"/>
      <c r="C139" s="14"/>
    </row>
    <row r="140" spans="1:4" ht="30">
      <c r="A140" s="85" t="s">
        <v>220</v>
      </c>
      <c r="B140" s="95" t="s">
        <v>258</v>
      </c>
      <c r="C140" s="130">
        <f>[18]С2!F35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[18]С2.5!$E$11</f>
        <v>-2.9000000000000026E-2</v>
      </c>
      <c r="D143" s="87"/>
    </row>
    <row r="144" spans="1:4">
      <c r="A144" s="97"/>
      <c r="B144" s="104">
        <f>B143+1</f>
        <v>2021</v>
      </c>
      <c r="C144" s="135">
        <f>[18]С2.5!$F$11</f>
        <v>0.245</v>
      </c>
      <c r="D144" s="87"/>
    </row>
    <row r="145" spans="1:4">
      <c r="A145" s="97"/>
      <c r="B145" s="104">
        <f t="shared" ref="B145:B208" si="0">B144+1</f>
        <v>2022</v>
      </c>
      <c r="C145" s="135">
        <f>[18]С2.5!$G$11</f>
        <v>0.114</v>
      </c>
      <c r="D145" s="87"/>
    </row>
    <row r="146" spans="1:4" ht="13.5" thickBot="1">
      <c r="A146" s="97"/>
      <c r="B146" s="106">
        <f t="shared" si="0"/>
        <v>2023</v>
      </c>
      <c r="C146" s="136">
        <f>[18]С2.5!$H$11</f>
        <v>2.4E-2</v>
      </c>
      <c r="D146" s="87"/>
    </row>
    <row r="147" spans="1:4" ht="12.75" hidden="1" customHeight="1">
      <c r="A147" s="97"/>
      <c r="B147" s="137">
        <f t="shared" si="0"/>
        <v>2024</v>
      </c>
      <c r="C147" s="138">
        <f>[18]С2.5!$I$11</f>
        <v>8.5999999999999993E-2</v>
      </c>
      <c r="D147" s="87"/>
    </row>
    <row r="148" spans="1:4" hidden="1">
      <c r="A148" s="97"/>
      <c r="B148" s="104">
        <f t="shared" si="0"/>
        <v>2025</v>
      </c>
      <c r="C148" s="135">
        <f>[18]С2.5!$J$11</f>
        <v>0.21215960863291</v>
      </c>
      <c r="D148" s="87"/>
    </row>
    <row r="149" spans="1:4" hidden="1">
      <c r="A149" s="97"/>
      <c r="B149" s="104">
        <f t="shared" si="0"/>
        <v>2026</v>
      </c>
      <c r="C149" s="135">
        <f>[18]С2.5!$K$11</f>
        <v>3.5813361771260002E-2</v>
      </c>
      <c r="D149" s="87"/>
    </row>
    <row r="150" spans="1:4" hidden="1">
      <c r="A150" s="97"/>
      <c r="B150" s="104">
        <f t="shared" si="0"/>
        <v>2027</v>
      </c>
      <c r="C150" s="135">
        <f>[18]С2.5!$L$11</f>
        <v>3.2682303599220003E-2</v>
      </c>
      <c r="D150" s="87"/>
    </row>
    <row r="151" spans="1:4" hidden="1">
      <c r="A151" s="97"/>
      <c r="B151" s="104">
        <f t="shared" si="0"/>
        <v>2028</v>
      </c>
      <c r="C151" s="135">
        <f>[18]С2.5!$M$11</f>
        <v>0</v>
      </c>
      <c r="D151" s="87"/>
    </row>
    <row r="152" spans="1:4" hidden="1">
      <c r="A152" s="97"/>
      <c r="B152" s="104">
        <f t="shared" si="0"/>
        <v>2029</v>
      </c>
      <c r="C152" s="135">
        <f>[18]С2.5!$N$11</f>
        <v>0</v>
      </c>
      <c r="D152" s="87"/>
    </row>
    <row r="153" spans="1:4" hidden="1">
      <c r="A153" s="97"/>
      <c r="B153" s="104">
        <f t="shared" si="0"/>
        <v>2030</v>
      </c>
      <c r="C153" s="135">
        <f>[18]С2.5!$O$11</f>
        <v>0</v>
      </c>
      <c r="D153" s="87"/>
    </row>
    <row r="154" spans="1:4" hidden="1">
      <c r="A154" s="97"/>
      <c r="B154" s="104">
        <f t="shared" si="0"/>
        <v>2031</v>
      </c>
      <c r="C154" s="135">
        <f>[18]С2.5!$P$11</f>
        <v>0</v>
      </c>
      <c r="D154" s="87"/>
    </row>
    <row r="155" spans="1:4" hidden="1">
      <c r="A155" s="87"/>
      <c r="B155" s="104">
        <f t="shared" si="0"/>
        <v>2032</v>
      </c>
      <c r="C155" s="135">
        <f>[18]С2.5!$Q$11</f>
        <v>0</v>
      </c>
      <c r="D155" s="87"/>
    </row>
    <row r="156" spans="1:4" hidden="1">
      <c r="A156" s="87"/>
      <c r="B156" s="104">
        <f t="shared" si="0"/>
        <v>2033</v>
      </c>
      <c r="C156" s="135">
        <f>[18]С2.5!$R$11</f>
        <v>0</v>
      </c>
      <c r="D156" s="87"/>
    </row>
    <row r="157" spans="1:4" hidden="1">
      <c r="B157" s="104">
        <f t="shared" si="0"/>
        <v>2034</v>
      </c>
      <c r="C157" s="135">
        <f>[18]С2.5!$S$11</f>
        <v>0</v>
      </c>
    </row>
    <row r="158" spans="1:4" hidden="1">
      <c r="B158" s="104">
        <f t="shared" si="0"/>
        <v>2035</v>
      </c>
      <c r="C158" s="135">
        <f>[18]С2.5!$T$11</f>
        <v>0</v>
      </c>
    </row>
    <row r="159" spans="1:4" hidden="1">
      <c r="B159" s="104">
        <f t="shared" si="0"/>
        <v>2036</v>
      </c>
      <c r="C159" s="135">
        <f>[18]С2.5!$U$11</f>
        <v>0</v>
      </c>
    </row>
    <row r="160" spans="1:4" hidden="1">
      <c r="B160" s="104">
        <f t="shared" si="0"/>
        <v>2037</v>
      </c>
      <c r="C160" s="135">
        <f>[18]С2.5!$V$11</f>
        <v>0</v>
      </c>
    </row>
    <row r="161" spans="2:3" hidden="1">
      <c r="B161" s="104">
        <f t="shared" si="0"/>
        <v>2038</v>
      </c>
      <c r="C161" s="135">
        <f>[18]С2.5!$W$11</f>
        <v>0</v>
      </c>
    </row>
    <row r="162" spans="2:3" hidden="1">
      <c r="B162" s="104">
        <f t="shared" si="0"/>
        <v>2039</v>
      </c>
      <c r="C162" s="135">
        <f>[18]С2.5!$X$11</f>
        <v>0</v>
      </c>
    </row>
    <row r="163" spans="2:3" hidden="1">
      <c r="B163" s="104">
        <f t="shared" si="0"/>
        <v>2040</v>
      </c>
      <c r="C163" s="135">
        <f>[18]С2.5!$Y$11</f>
        <v>0</v>
      </c>
    </row>
    <row r="164" spans="2:3" hidden="1">
      <c r="B164" s="104">
        <f t="shared" si="0"/>
        <v>2041</v>
      </c>
      <c r="C164" s="135">
        <f>[18]С2.5!$Z$11</f>
        <v>0</v>
      </c>
    </row>
    <row r="165" spans="2:3" hidden="1">
      <c r="B165" s="104">
        <f t="shared" si="0"/>
        <v>2042</v>
      </c>
      <c r="C165" s="135">
        <f>[18]С2.5!$AA$11</f>
        <v>0</v>
      </c>
    </row>
    <row r="166" spans="2:3" hidden="1">
      <c r="B166" s="104">
        <f t="shared" si="0"/>
        <v>2043</v>
      </c>
      <c r="C166" s="135">
        <f>[18]С2.5!$AB$11</f>
        <v>0</v>
      </c>
    </row>
    <row r="167" spans="2:3" hidden="1">
      <c r="B167" s="104">
        <f t="shared" si="0"/>
        <v>2044</v>
      </c>
      <c r="C167" s="135">
        <f>[18]С2.5!$AC$11</f>
        <v>0</v>
      </c>
    </row>
    <row r="168" spans="2:3" hidden="1">
      <c r="B168" s="104">
        <f t="shared" si="0"/>
        <v>2045</v>
      </c>
      <c r="C168" s="135">
        <f>[18]С2.5!$AD$11</f>
        <v>0</v>
      </c>
    </row>
    <row r="169" spans="2:3" hidden="1">
      <c r="B169" s="104">
        <f t="shared" si="0"/>
        <v>2046</v>
      </c>
      <c r="C169" s="135">
        <f>[18]С2.5!$AE$11</f>
        <v>0</v>
      </c>
    </row>
    <row r="170" spans="2:3" hidden="1">
      <c r="B170" s="104">
        <f t="shared" si="0"/>
        <v>2047</v>
      </c>
      <c r="C170" s="135">
        <f>[18]С2.5!$AF$11</f>
        <v>0</v>
      </c>
    </row>
    <row r="171" spans="2:3" hidden="1">
      <c r="B171" s="104">
        <f t="shared" si="0"/>
        <v>2048</v>
      </c>
      <c r="C171" s="135">
        <f>[18]С2.5!$AG$11</f>
        <v>0</v>
      </c>
    </row>
    <row r="172" spans="2:3" hidden="1">
      <c r="B172" s="104">
        <f t="shared" si="0"/>
        <v>2049</v>
      </c>
      <c r="C172" s="135">
        <f>[18]С2.5!$AH$11</f>
        <v>0</v>
      </c>
    </row>
    <row r="173" spans="2:3" hidden="1">
      <c r="B173" s="104">
        <f t="shared" si="0"/>
        <v>2050</v>
      </c>
      <c r="C173" s="135">
        <f>[18]С2.5!$AI$11</f>
        <v>0</v>
      </c>
    </row>
    <row r="174" spans="2:3" hidden="1">
      <c r="B174" s="104">
        <f t="shared" si="0"/>
        <v>2051</v>
      </c>
      <c r="C174" s="135">
        <f>[18]С2.5!$AJ$11</f>
        <v>0</v>
      </c>
    </row>
    <row r="175" spans="2:3" hidden="1">
      <c r="B175" s="104">
        <f t="shared" si="0"/>
        <v>2052</v>
      </c>
      <c r="C175" s="135">
        <f>[18]С2.5!$AK$11</f>
        <v>0</v>
      </c>
    </row>
    <row r="176" spans="2:3" hidden="1">
      <c r="B176" s="104">
        <f t="shared" si="0"/>
        <v>2053</v>
      </c>
      <c r="C176" s="135">
        <f>[18]С2.5!$AL$11</f>
        <v>0</v>
      </c>
    </row>
    <row r="177" spans="2:3" hidden="1">
      <c r="B177" s="104">
        <f t="shared" si="0"/>
        <v>2054</v>
      </c>
      <c r="C177" s="135">
        <f>[18]С2.5!$AM$11</f>
        <v>0</v>
      </c>
    </row>
    <row r="178" spans="2:3" hidden="1">
      <c r="B178" s="104">
        <f t="shared" si="0"/>
        <v>2055</v>
      </c>
      <c r="C178" s="135">
        <f>[18]С2.5!$AN$11</f>
        <v>0</v>
      </c>
    </row>
    <row r="179" spans="2:3" hidden="1">
      <c r="B179" s="104">
        <f t="shared" si="0"/>
        <v>2056</v>
      </c>
      <c r="C179" s="135">
        <f>[18]С2.5!$AO$11</f>
        <v>0</v>
      </c>
    </row>
    <row r="180" spans="2:3" hidden="1">
      <c r="B180" s="104">
        <f t="shared" si="0"/>
        <v>2057</v>
      </c>
      <c r="C180" s="135">
        <f>[18]С2.5!$AP$11</f>
        <v>0</v>
      </c>
    </row>
    <row r="181" spans="2:3" hidden="1">
      <c r="B181" s="104">
        <f t="shared" si="0"/>
        <v>2058</v>
      </c>
      <c r="C181" s="135">
        <f>[18]С2.5!$AQ$11</f>
        <v>0</v>
      </c>
    </row>
    <row r="182" spans="2:3" hidden="1">
      <c r="B182" s="104">
        <f t="shared" si="0"/>
        <v>2059</v>
      </c>
      <c r="C182" s="135">
        <f>[18]С2.5!$AR$11</f>
        <v>0</v>
      </c>
    </row>
    <row r="183" spans="2:3" hidden="1">
      <c r="B183" s="104">
        <f t="shared" si="0"/>
        <v>2060</v>
      </c>
      <c r="C183" s="135">
        <f>[18]С2.5!$AS$11</f>
        <v>0</v>
      </c>
    </row>
    <row r="184" spans="2:3" hidden="1">
      <c r="B184" s="104">
        <f t="shared" si="0"/>
        <v>2061</v>
      </c>
      <c r="C184" s="135">
        <f>[18]С2.5!$AT$11</f>
        <v>0</v>
      </c>
    </row>
    <row r="185" spans="2:3" hidden="1">
      <c r="B185" s="104">
        <f t="shared" si="0"/>
        <v>2062</v>
      </c>
      <c r="C185" s="135">
        <f>[18]С2.5!$AU$11</f>
        <v>0</v>
      </c>
    </row>
    <row r="186" spans="2:3" hidden="1">
      <c r="B186" s="104">
        <f t="shared" si="0"/>
        <v>2063</v>
      </c>
      <c r="C186" s="135">
        <f>[18]С2.5!$AV$11</f>
        <v>0</v>
      </c>
    </row>
    <row r="187" spans="2:3" hidden="1">
      <c r="B187" s="104">
        <f t="shared" si="0"/>
        <v>2064</v>
      </c>
      <c r="C187" s="135">
        <f>[18]С2.5!$AW$11</f>
        <v>0</v>
      </c>
    </row>
    <row r="188" spans="2:3" hidden="1">
      <c r="B188" s="104">
        <f t="shared" si="0"/>
        <v>2065</v>
      </c>
      <c r="C188" s="135">
        <f>[18]С2.5!$AX$11</f>
        <v>0</v>
      </c>
    </row>
    <row r="189" spans="2:3" hidden="1">
      <c r="B189" s="104">
        <f t="shared" si="0"/>
        <v>2066</v>
      </c>
      <c r="C189" s="135">
        <f>[18]С2.5!$AY$11</f>
        <v>0</v>
      </c>
    </row>
    <row r="190" spans="2:3" hidden="1">
      <c r="B190" s="104">
        <f t="shared" si="0"/>
        <v>2067</v>
      </c>
      <c r="C190" s="135">
        <f>[18]С2.5!$AZ$11</f>
        <v>0</v>
      </c>
    </row>
    <row r="191" spans="2:3" hidden="1">
      <c r="B191" s="104">
        <f t="shared" si="0"/>
        <v>2068</v>
      </c>
      <c r="C191" s="135">
        <f>[18]С2.5!$BA$11</f>
        <v>0</v>
      </c>
    </row>
    <row r="192" spans="2:3" hidden="1">
      <c r="B192" s="104">
        <f t="shared" si="0"/>
        <v>2069</v>
      </c>
      <c r="C192" s="135">
        <f>[18]С2.5!$BB$11</f>
        <v>0</v>
      </c>
    </row>
    <row r="193" spans="2:3" hidden="1">
      <c r="B193" s="104">
        <f t="shared" si="0"/>
        <v>2070</v>
      </c>
      <c r="C193" s="135">
        <f>[18]С2.5!$BC$11</f>
        <v>0</v>
      </c>
    </row>
    <row r="194" spans="2:3" hidden="1">
      <c r="B194" s="104">
        <f t="shared" si="0"/>
        <v>2071</v>
      </c>
      <c r="C194" s="135">
        <f>[18]С2.5!$BD$11</f>
        <v>0</v>
      </c>
    </row>
    <row r="195" spans="2:3" hidden="1">
      <c r="B195" s="104">
        <f t="shared" si="0"/>
        <v>2072</v>
      </c>
      <c r="C195" s="135">
        <f>[18]С2.5!$BE$11</f>
        <v>0</v>
      </c>
    </row>
    <row r="196" spans="2:3" hidden="1">
      <c r="B196" s="104">
        <f t="shared" si="0"/>
        <v>2073</v>
      </c>
      <c r="C196" s="135">
        <f>[18]С2.5!$BF$11</f>
        <v>0</v>
      </c>
    </row>
    <row r="197" spans="2:3" hidden="1">
      <c r="B197" s="104">
        <f t="shared" si="0"/>
        <v>2074</v>
      </c>
      <c r="C197" s="135">
        <f>[18]С2.5!$BG$11</f>
        <v>0</v>
      </c>
    </row>
    <row r="198" spans="2:3" hidden="1">
      <c r="B198" s="104">
        <f t="shared" si="0"/>
        <v>2075</v>
      </c>
      <c r="C198" s="135">
        <f>[18]С2.5!$BH$11</f>
        <v>0</v>
      </c>
    </row>
    <row r="199" spans="2:3" hidden="1">
      <c r="B199" s="104">
        <f t="shared" si="0"/>
        <v>2076</v>
      </c>
      <c r="C199" s="135">
        <f>[18]С2.5!$BI$11</f>
        <v>0</v>
      </c>
    </row>
    <row r="200" spans="2:3" hidden="1">
      <c r="B200" s="104">
        <f t="shared" si="0"/>
        <v>2077</v>
      </c>
      <c r="C200" s="135">
        <f>[18]С2.5!$BJ$11</f>
        <v>0</v>
      </c>
    </row>
    <row r="201" spans="2:3" hidden="1">
      <c r="B201" s="104">
        <f t="shared" si="0"/>
        <v>2078</v>
      </c>
      <c r="C201" s="135">
        <f>[18]С2.5!$BK$11</f>
        <v>0</v>
      </c>
    </row>
    <row r="202" spans="2:3" hidden="1">
      <c r="B202" s="104">
        <f t="shared" si="0"/>
        <v>2079</v>
      </c>
      <c r="C202" s="135">
        <f>[18]С2.5!$BL$11</f>
        <v>0</v>
      </c>
    </row>
    <row r="203" spans="2:3" hidden="1">
      <c r="B203" s="104">
        <f t="shared" si="0"/>
        <v>2080</v>
      </c>
      <c r="C203" s="135">
        <f>[18]С2.5!$BM$11</f>
        <v>0</v>
      </c>
    </row>
    <row r="204" spans="2:3" hidden="1">
      <c r="B204" s="104">
        <f t="shared" si="0"/>
        <v>2081</v>
      </c>
      <c r="C204" s="135">
        <f>[18]С2.5!$BN$11</f>
        <v>0</v>
      </c>
    </row>
    <row r="205" spans="2:3" hidden="1">
      <c r="B205" s="104">
        <f t="shared" si="0"/>
        <v>2082</v>
      </c>
      <c r="C205" s="135">
        <f>[18]С2.5!$BO$11</f>
        <v>0</v>
      </c>
    </row>
    <row r="206" spans="2:3" hidden="1">
      <c r="B206" s="104">
        <f t="shared" si="0"/>
        <v>2083</v>
      </c>
      <c r="C206" s="135">
        <f>[18]С2.5!$BP$11</f>
        <v>0</v>
      </c>
    </row>
    <row r="207" spans="2:3" hidden="1">
      <c r="B207" s="104">
        <f t="shared" si="0"/>
        <v>2084</v>
      </c>
      <c r="C207" s="135">
        <f>[18]С2.5!$BQ$11</f>
        <v>0</v>
      </c>
    </row>
    <row r="208" spans="2:3" hidden="1">
      <c r="B208" s="104">
        <f t="shared" si="0"/>
        <v>2085</v>
      </c>
      <c r="C208" s="135">
        <f>[18]С2.5!$BR$11</f>
        <v>0</v>
      </c>
    </row>
    <row r="209" spans="2:3" hidden="1">
      <c r="B209" s="104">
        <f t="shared" ref="B209:B223" si="1">B208+1</f>
        <v>2086</v>
      </c>
      <c r="C209" s="135">
        <f>[18]С2.5!$BS$11</f>
        <v>0</v>
      </c>
    </row>
    <row r="210" spans="2:3" hidden="1">
      <c r="B210" s="104">
        <f t="shared" si="1"/>
        <v>2087</v>
      </c>
      <c r="C210" s="135">
        <f>[18]С2.5!$BT$11</f>
        <v>0</v>
      </c>
    </row>
    <row r="211" spans="2:3" hidden="1">
      <c r="B211" s="104">
        <f t="shared" si="1"/>
        <v>2088</v>
      </c>
      <c r="C211" s="135">
        <f>[18]С2.5!$BU$11</f>
        <v>0</v>
      </c>
    </row>
    <row r="212" spans="2:3" hidden="1">
      <c r="B212" s="104">
        <f t="shared" si="1"/>
        <v>2089</v>
      </c>
      <c r="C212" s="135">
        <f>[18]С2.5!$BV$11</f>
        <v>0</v>
      </c>
    </row>
    <row r="213" spans="2:3" hidden="1">
      <c r="B213" s="104">
        <f t="shared" si="1"/>
        <v>2090</v>
      </c>
      <c r="C213" s="135">
        <f>[18]С2.5!$BW$11</f>
        <v>0</v>
      </c>
    </row>
    <row r="214" spans="2:3" hidden="1">
      <c r="B214" s="104">
        <f t="shared" si="1"/>
        <v>2091</v>
      </c>
      <c r="C214" s="135">
        <f>[18]С2.5!$BX$11</f>
        <v>0</v>
      </c>
    </row>
    <row r="215" spans="2:3" hidden="1">
      <c r="B215" s="104">
        <f t="shared" si="1"/>
        <v>2092</v>
      </c>
      <c r="C215" s="135">
        <f>[18]С2.5!$BY$11</f>
        <v>0</v>
      </c>
    </row>
    <row r="216" spans="2:3" hidden="1">
      <c r="B216" s="104">
        <f t="shared" si="1"/>
        <v>2093</v>
      </c>
      <c r="C216" s="135">
        <f>[18]С2.5!$BZ$11</f>
        <v>0</v>
      </c>
    </row>
    <row r="217" spans="2:3" hidden="1">
      <c r="B217" s="104">
        <f t="shared" si="1"/>
        <v>2094</v>
      </c>
      <c r="C217" s="135">
        <f>[18]С2.5!$CA$11</f>
        <v>0</v>
      </c>
    </row>
    <row r="218" spans="2:3" hidden="1">
      <c r="B218" s="104">
        <f t="shared" si="1"/>
        <v>2095</v>
      </c>
      <c r="C218" s="135">
        <f>[18]С2.5!$CB$11</f>
        <v>0</v>
      </c>
    </row>
    <row r="219" spans="2:3" hidden="1">
      <c r="B219" s="104">
        <f t="shared" si="1"/>
        <v>2096</v>
      </c>
      <c r="C219" s="135">
        <f>[18]С2.5!$CC$11</f>
        <v>0</v>
      </c>
    </row>
    <row r="220" spans="2:3" hidden="1">
      <c r="B220" s="104">
        <f t="shared" si="1"/>
        <v>2097</v>
      </c>
      <c r="C220" s="135">
        <f>[18]С2.5!$CD$11</f>
        <v>0</v>
      </c>
    </row>
    <row r="221" spans="2:3" hidden="1">
      <c r="B221" s="104">
        <f t="shared" si="1"/>
        <v>2098</v>
      </c>
      <c r="C221" s="135">
        <f>[18]С2.5!$CE$11</f>
        <v>0</v>
      </c>
    </row>
    <row r="222" spans="2:3" hidden="1">
      <c r="B222" s="104">
        <f t="shared" si="1"/>
        <v>2099</v>
      </c>
      <c r="C222" s="135">
        <f>[18]С2.5!$CF$11</f>
        <v>0</v>
      </c>
    </row>
    <row r="223" spans="2:3" ht="13.5" hidden="1" thickBot="1">
      <c r="B223" s="106">
        <f t="shared" si="1"/>
        <v>2100</v>
      </c>
      <c r="C223" s="136">
        <f>[18]С2.5!$CG$11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3553" r:id="rId3" name="Button 1">
              <controlPr defaultSize="0" print="0" autoFill="0" autoPict="0" macro="[19]!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3554" r:id="rId4" name="Button 2">
              <controlPr defaultSize="0" print="0" autoFill="0" autoPict="0" macro="[1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[20]И1!D13</f>
        <v>Субъект Российской Федерации</v>
      </c>
      <c r="C4" s="9" t="str">
        <f>[20]И1!E13</f>
        <v>Новосибирская область</v>
      </c>
    </row>
    <row r="5" spans="1:3" ht="46.9" customHeight="1">
      <c r="A5" s="7"/>
      <c r="B5" s="8" t="str">
        <f>[20]И1!D14</f>
        <v>Тип муниципального образования (выберите из списка)</v>
      </c>
      <c r="C5" s="9" t="str">
        <f>[20]И1!E14</f>
        <v>село Егоровка, Болотнинский муниципальный район</v>
      </c>
    </row>
    <row r="6" spans="1:3">
      <c r="A6" s="7"/>
      <c r="B6" s="8" t="str">
        <f>IF([20]И1!E15="","",[20]И1!D15)</f>
        <v/>
      </c>
      <c r="C6" s="9" t="str">
        <f>IF([20]И1!E15="","",[20]И1!E15)</f>
        <v/>
      </c>
    </row>
    <row r="7" spans="1:3">
      <c r="A7" s="7"/>
      <c r="B7" s="8" t="str">
        <f>[20]И1!D16</f>
        <v>Код ОКТМО</v>
      </c>
      <c r="C7" s="10" t="str">
        <f>[20]И1!E16</f>
        <v>50606413101</v>
      </c>
    </row>
    <row r="8" spans="1:3">
      <c r="A8" s="7"/>
      <c r="B8" s="11" t="str">
        <f>[20]И1!D17</f>
        <v>Система теплоснабжения</v>
      </c>
      <c r="C8" s="12">
        <f>[20]И1!E17</f>
        <v>0</v>
      </c>
    </row>
    <row r="9" spans="1:3">
      <c r="A9" s="7"/>
      <c r="B9" s="8" t="str">
        <f>[20]И1!D8</f>
        <v>Период регулирования (i)-й</v>
      </c>
      <c r="C9" s="13">
        <f>[20]И1!E8</f>
        <v>2024</v>
      </c>
    </row>
    <row r="10" spans="1:3">
      <c r="A10" s="7"/>
      <c r="B10" s="8" t="str">
        <f>[20]И1!D9</f>
        <v>Период регулирования (i-1)-й</v>
      </c>
      <c r="C10" s="13">
        <f>[20]И1!E9</f>
        <v>2023</v>
      </c>
    </row>
    <row r="11" spans="1:3">
      <c r="A11" s="7"/>
      <c r="B11" s="8" t="str">
        <f>[20]И1!D10</f>
        <v>Период регулирования (i-2)-й</v>
      </c>
      <c r="C11" s="13">
        <f>[20]И1!E10</f>
        <v>2022</v>
      </c>
    </row>
    <row r="12" spans="1:3">
      <c r="A12" s="7"/>
      <c r="B12" s="8" t="str">
        <f>[20]И1!D11</f>
        <v>Базовый год (б)</v>
      </c>
      <c r="C12" s="13">
        <f>[20]И1!E11</f>
        <v>2019</v>
      </c>
    </row>
    <row r="13" spans="1:3" ht="38.25">
      <c r="A13" s="7"/>
      <c r="B13" s="8" t="str">
        <f>[20]И1!D18</f>
        <v>Вид топлива, использование которого преобладает в системе теплоснабжения</v>
      </c>
      <c r="C13" s="14" t="str">
        <f>[20]С1.1!E13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3655.4471804418495</v>
      </c>
    </row>
    <row r="18" spans="1:3" ht="42.75">
      <c r="A18" s="21" t="s">
        <v>8</v>
      </c>
      <c r="B18" s="24" t="s">
        <v>9</v>
      </c>
      <c r="C18" s="25">
        <f>[20]С1!F12</f>
        <v>676.75286612928141</v>
      </c>
    </row>
    <row r="19" spans="1:3" ht="42.75">
      <c r="A19" s="21" t="s">
        <v>10</v>
      </c>
      <c r="B19" s="24" t="s">
        <v>11</v>
      </c>
      <c r="C19" s="25">
        <f>[20]С2!F12</f>
        <v>1993.3494362887216</v>
      </c>
    </row>
    <row r="20" spans="1:3" ht="30">
      <c r="A20" s="21" t="s">
        <v>12</v>
      </c>
      <c r="B20" s="24" t="s">
        <v>13</v>
      </c>
      <c r="C20" s="25">
        <f>[20]С3!F12</f>
        <v>473.85859951490778</v>
      </c>
    </row>
    <row r="21" spans="1:3" ht="42.75">
      <c r="A21" s="21" t="s">
        <v>14</v>
      </c>
      <c r="B21" s="24" t="s">
        <v>226</v>
      </c>
      <c r="C21" s="25">
        <f>[20]С4!F12</f>
        <v>439.81084359831385</v>
      </c>
    </row>
    <row r="22" spans="1:3" ht="30">
      <c r="A22" s="21" t="s">
        <v>16</v>
      </c>
      <c r="B22" s="24" t="s">
        <v>227</v>
      </c>
      <c r="C22" s="25">
        <f>[20]С5!F12</f>
        <v>71.675434910624503</v>
      </c>
    </row>
    <row r="23" spans="1:3" ht="43.5" thickBot="1">
      <c r="A23" s="26" t="s">
        <v>18</v>
      </c>
      <c r="B23" s="140" t="s">
        <v>228</v>
      </c>
      <c r="C23" s="27" t="str">
        <f>[20]С6!F12</f>
        <v>-</v>
      </c>
    </row>
    <row r="24" spans="1:3" ht="13.5" thickBot="1">
      <c r="A24" s="1"/>
    </row>
    <row r="25" spans="1:3">
      <c r="A25" s="15" t="s">
        <v>4</v>
      </c>
      <c r="B25" s="28" t="s">
        <v>5</v>
      </c>
      <c r="C25" s="16" t="s">
        <v>6</v>
      </c>
    </row>
    <row r="26" spans="1:3">
      <c r="A26" s="18">
        <v>1</v>
      </c>
      <c r="B26" s="29">
        <v>2</v>
      </c>
      <c r="C26" s="30">
        <v>3</v>
      </c>
    </row>
    <row r="27" spans="1:3" ht="30" customHeight="1">
      <c r="A27" s="21">
        <v>1</v>
      </c>
      <c r="B27" s="144" t="s">
        <v>20</v>
      </c>
      <c r="C27" s="144"/>
    </row>
    <row r="28" spans="1:3">
      <c r="A28" s="21" t="s">
        <v>8</v>
      </c>
      <c r="B28" s="31" t="s">
        <v>229</v>
      </c>
      <c r="C28" s="32">
        <f>[20]С1.1!E16</f>
        <v>5100</v>
      </c>
    </row>
    <row r="29" spans="1:3" ht="42.75">
      <c r="A29" s="21" t="s">
        <v>10</v>
      </c>
      <c r="B29" s="31" t="s">
        <v>230</v>
      </c>
      <c r="C29" s="32">
        <f>[20]С1.1!E27</f>
        <v>3040.68</v>
      </c>
    </row>
    <row r="30" spans="1:3" ht="17.25">
      <c r="A30" s="21" t="s">
        <v>12</v>
      </c>
      <c r="B30" s="31" t="s">
        <v>29</v>
      </c>
      <c r="C30" s="34">
        <f>[20]С1.1!E19</f>
        <v>-0.19900000000000001</v>
      </c>
    </row>
    <row r="31" spans="1:3" ht="17.25">
      <c r="A31" s="21" t="s">
        <v>14</v>
      </c>
      <c r="B31" s="31" t="s">
        <v>30</v>
      </c>
      <c r="C31" s="34">
        <f>[20]С1.1!E20</f>
        <v>5.7000000000000002E-2</v>
      </c>
    </row>
    <row r="32" spans="1:3" ht="30">
      <c r="A32" s="21" t="s">
        <v>16</v>
      </c>
      <c r="B32" s="35" t="s">
        <v>231</v>
      </c>
      <c r="C32" s="117">
        <f>[20]С1!F13</f>
        <v>176.4</v>
      </c>
    </row>
    <row r="33" spans="1:3">
      <c r="A33" s="21" t="s">
        <v>18</v>
      </c>
      <c r="B33" s="35" t="s">
        <v>32</v>
      </c>
      <c r="C33" s="37">
        <f>[20]С1!F16</f>
        <v>7000</v>
      </c>
    </row>
    <row r="34" spans="1:3" ht="14.25">
      <c r="A34" s="21" t="s">
        <v>33</v>
      </c>
      <c r="B34" s="39" t="s">
        <v>232</v>
      </c>
      <c r="C34" s="40">
        <f>[20]С1!F17</f>
        <v>0.72857142857142854</v>
      </c>
    </row>
    <row r="35" spans="1:3" ht="15.75">
      <c r="A35" s="118" t="s">
        <v>35</v>
      </c>
      <c r="B35" s="42" t="s">
        <v>36</v>
      </c>
      <c r="C35" s="40">
        <f>[20]С1!F20</f>
        <v>21.588411179999994</v>
      </c>
    </row>
    <row r="36" spans="1:3" ht="15.75">
      <c r="A36" s="118" t="s">
        <v>37</v>
      </c>
      <c r="B36" s="43" t="s">
        <v>38</v>
      </c>
      <c r="C36" s="40">
        <f>[20]С1!F21</f>
        <v>20.818139999999996</v>
      </c>
    </row>
    <row r="37" spans="1:3" ht="14.25">
      <c r="A37" s="118" t="s">
        <v>39</v>
      </c>
      <c r="B37" s="44" t="s">
        <v>40</v>
      </c>
      <c r="C37" s="40">
        <f>[20]С1!F22</f>
        <v>1.0369999999999999</v>
      </c>
    </row>
    <row r="38" spans="1:3" ht="53.25" thickBot="1">
      <c r="A38" s="26" t="s">
        <v>41</v>
      </c>
      <c r="B38" s="45" t="s">
        <v>42</v>
      </c>
      <c r="C38" s="46">
        <f>[20]С1!F23</f>
        <v>1.0469999999999999</v>
      </c>
    </row>
    <row r="39" spans="1:3" ht="13.5" thickBot="1">
      <c r="A39" s="47"/>
      <c r="B39" s="119"/>
      <c r="C39" s="120"/>
    </row>
    <row r="40" spans="1:3" ht="30" customHeight="1">
      <c r="A40" s="49" t="s">
        <v>43</v>
      </c>
      <c r="B40" s="145" t="s">
        <v>44</v>
      </c>
      <c r="C40" s="145"/>
    </row>
    <row r="41" spans="1:3" ht="25.5">
      <c r="A41" s="21" t="s">
        <v>45</v>
      </c>
      <c r="B41" s="35" t="s">
        <v>46</v>
      </c>
      <c r="C41" s="50" t="str">
        <f>[20]С2.1!E12</f>
        <v>V</v>
      </c>
    </row>
    <row r="42" spans="1:3" ht="25.5">
      <c r="A42" s="21" t="s">
        <v>47</v>
      </c>
      <c r="B42" s="31" t="s">
        <v>48</v>
      </c>
      <c r="C42" s="50" t="str">
        <f>[20]С2.1!E13</f>
        <v>6 и менее баллов</v>
      </c>
    </row>
    <row r="43" spans="1:3" ht="25.5">
      <c r="A43" s="21" t="s">
        <v>49</v>
      </c>
      <c r="B43" s="31" t="s">
        <v>233</v>
      </c>
      <c r="C43" s="50" t="str">
        <f>[20]С2.1!E14</f>
        <v>от 200 до 500</v>
      </c>
    </row>
    <row r="44" spans="1:3" ht="25.5">
      <c r="A44" s="21" t="s">
        <v>51</v>
      </c>
      <c r="B44" s="31" t="s">
        <v>234</v>
      </c>
      <c r="C44" s="51" t="str">
        <f>[20]С2.1!E15</f>
        <v>нет</v>
      </c>
    </row>
    <row r="45" spans="1:3" ht="30">
      <c r="A45" s="21" t="s">
        <v>53</v>
      </c>
      <c r="B45" s="31" t="s">
        <v>54</v>
      </c>
      <c r="C45" s="32">
        <f>[20]С2!F18</f>
        <v>35106.652004551666</v>
      </c>
    </row>
    <row r="46" spans="1:3" ht="30">
      <c r="A46" s="21" t="s">
        <v>55</v>
      </c>
      <c r="B46" s="52" t="s">
        <v>56</v>
      </c>
      <c r="C46" s="32">
        <f>IF([20]С2!F19&gt;0,[20]С2!F19,[20]С2!F20)</f>
        <v>23441.524932855718</v>
      </c>
    </row>
    <row r="47" spans="1:3" ht="25.5">
      <c r="A47" s="21" t="s">
        <v>57</v>
      </c>
      <c r="B47" s="53" t="s">
        <v>58</v>
      </c>
      <c r="C47" s="32">
        <f>[20]С2.1!E19</f>
        <v>-38</v>
      </c>
    </row>
    <row r="48" spans="1:3" ht="25.5">
      <c r="A48" s="21" t="s">
        <v>59</v>
      </c>
      <c r="B48" s="53" t="s">
        <v>60</v>
      </c>
      <c r="C48" s="32" t="str">
        <f>[20]С2.1!E22</f>
        <v>нет</v>
      </c>
    </row>
    <row r="49" spans="1:3" ht="38.25">
      <c r="A49" s="21" t="s">
        <v>61</v>
      </c>
      <c r="B49" s="54" t="s">
        <v>62</v>
      </c>
      <c r="C49" s="32">
        <f>[20]С2.2!E10</f>
        <v>1287</v>
      </c>
    </row>
    <row r="50" spans="1:3" ht="25.5">
      <c r="A50" s="21" t="s">
        <v>63</v>
      </c>
      <c r="B50" s="55" t="s">
        <v>64</v>
      </c>
      <c r="C50" s="32">
        <f>[20]С2.2!E12</f>
        <v>5.97</v>
      </c>
    </row>
    <row r="51" spans="1:3" ht="52.5">
      <c r="A51" s="21" t="s">
        <v>65</v>
      </c>
      <c r="B51" s="56" t="s">
        <v>66</v>
      </c>
      <c r="C51" s="32">
        <f>[20]С2.2!E13</f>
        <v>1</v>
      </c>
    </row>
    <row r="52" spans="1:3" ht="27.75">
      <c r="A52" s="21" t="s">
        <v>67</v>
      </c>
      <c r="B52" s="55" t="s">
        <v>68</v>
      </c>
      <c r="C52" s="32">
        <f>[20]С2.2!E14</f>
        <v>12104</v>
      </c>
    </row>
    <row r="53" spans="1:3" ht="25.5">
      <c r="A53" s="21" t="s">
        <v>69</v>
      </c>
      <c r="B53" s="56" t="s">
        <v>70</v>
      </c>
      <c r="C53" s="34">
        <f>[20]С2.2!E15</f>
        <v>4.8000000000000001E-2</v>
      </c>
    </row>
    <row r="54" spans="1:3">
      <c r="A54" s="21" t="s">
        <v>71</v>
      </c>
      <c r="B54" s="56" t="s">
        <v>72</v>
      </c>
      <c r="C54" s="32">
        <f>[20]С2.2!E16</f>
        <v>1</v>
      </c>
    </row>
    <row r="55" spans="1:3" ht="15.75">
      <c r="A55" s="21" t="s">
        <v>73</v>
      </c>
      <c r="B55" s="58" t="s">
        <v>74</v>
      </c>
      <c r="C55" s="32">
        <f>[20]С2!F21</f>
        <v>1</v>
      </c>
    </row>
    <row r="56" spans="1:3" ht="30">
      <c r="A56" s="59" t="s">
        <v>75</v>
      </c>
      <c r="B56" s="31" t="s">
        <v>235</v>
      </c>
      <c r="C56" s="32">
        <f>[20]С2!F13</f>
        <v>183796.83936385796</v>
      </c>
    </row>
    <row r="57" spans="1:3" ht="30">
      <c r="A57" s="59" t="s">
        <v>77</v>
      </c>
      <c r="B57" s="58" t="s">
        <v>236</v>
      </c>
      <c r="C57" s="32">
        <f>[20]С2!F14</f>
        <v>113455</v>
      </c>
    </row>
    <row r="58" spans="1:3" ht="15.75">
      <c r="A58" s="59" t="s">
        <v>79</v>
      </c>
      <c r="B58" s="60" t="s">
        <v>80</v>
      </c>
      <c r="C58" s="40">
        <f>[20]С2!F15</f>
        <v>1.071</v>
      </c>
    </row>
    <row r="59" spans="1:3" ht="15.75">
      <c r="A59" s="59" t="s">
        <v>81</v>
      </c>
      <c r="B59" s="60" t="s">
        <v>82</v>
      </c>
      <c r="C59" s="40">
        <f>[20]С2!F16</f>
        <v>1</v>
      </c>
    </row>
    <row r="60" spans="1:3" ht="17.25">
      <c r="A60" s="59" t="s">
        <v>83</v>
      </c>
      <c r="B60" s="58" t="s">
        <v>84</v>
      </c>
      <c r="C60" s="32">
        <f>[20]С2!F17</f>
        <v>1.01</v>
      </c>
    </row>
    <row r="61" spans="1:3" s="65" customFormat="1" ht="14.25">
      <c r="A61" s="59" t="s">
        <v>85</v>
      </c>
      <c r="B61" s="63" t="s">
        <v>86</v>
      </c>
      <c r="C61" s="64">
        <f>[20]С2!F33</f>
        <v>10</v>
      </c>
    </row>
    <row r="62" spans="1:3" ht="30">
      <c r="A62" s="59" t="s">
        <v>87</v>
      </c>
      <c r="B62" s="66" t="s">
        <v>88</v>
      </c>
      <c r="C62" s="32">
        <f>[20]С2!F26</f>
        <v>1867.194948000021</v>
      </c>
    </row>
    <row r="63" spans="1:3" ht="17.25">
      <c r="A63" s="59" t="s">
        <v>89</v>
      </c>
      <c r="B63" s="52" t="s">
        <v>237</v>
      </c>
      <c r="C63" s="32">
        <f>[20]С2!F27</f>
        <v>0.29684983999999998</v>
      </c>
    </row>
    <row r="64" spans="1:3" ht="17.25">
      <c r="A64" s="59" t="s">
        <v>91</v>
      </c>
      <c r="B64" s="58" t="s">
        <v>238</v>
      </c>
      <c r="C64" s="64">
        <f>[20]С2!F28</f>
        <v>4200</v>
      </c>
    </row>
    <row r="65" spans="1:3" ht="42.75">
      <c r="A65" s="59" t="s">
        <v>93</v>
      </c>
      <c r="B65" s="31" t="s">
        <v>239</v>
      </c>
      <c r="C65" s="32">
        <f>[20]С2!F22</f>
        <v>38698.422798410109</v>
      </c>
    </row>
    <row r="66" spans="1:3" ht="30">
      <c r="A66" s="59" t="s">
        <v>95</v>
      </c>
      <c r="B66" s="60" t="s">
        <v>240</v>
      </c>
      <c r="C66" s="32">
        <f>[20]С2!F23</f>
        <v>1990</v>
      </c>
    </row>
    <row r="67" spans="1:3" ht="30">
      <c r="A67" s="59" t="s">
        <v>97</v>
      </c>
      <c r="B67" s="52" t="s">
        <v>98</v>
      </c>
      <c r="C67" s="32">
        <f>[20]С2.1!E27</f>
        <v>14307.876789999998</v>
      </c>
    </row>
    <row r="68" spans="1:3" ht="38.25">
      <c r="A68" s="59" t="s">
        <v>99</v>
      </c>
      <c r="B68" s="67" t="s">
        <v>100</v>
      </c>
      <c r="C68" s="51">
        <f>[20]С2.3!E21</f>
        <v>0</v>
      </c>
    </row>
    <row r="69" spans="1:3" ht="25.5">
      <c r="A69" s="59" t="s">
        <v>101</v>
      </c>
      <c r="B69" s="68" t="s">
        <v>102</v>
      </c>
      <c r="C69" s="69">
        <f>[20]С2.3!E11</f>
        <v>9.89</v>
      </c>
    </row>
    <row r="70" spans="1:3" ht="25.5">
      <c r="A70" s="59" t="s">
        <v>103</v>
      </c>
      <c r="B70" s="68" t="s">
        <v>104</v>
      </c>
      <c r="C70" s="64">
        <f>[20]С2.3!E13</f>
        <v>300</v>
      </c>
    </row>
    <row r="71" spans="1:3" ht="25.5">
      <c r="A71" s="59" t="s">
        <v>105</v>
      </c>
      <c r="B71" s="67" t="s">
        <v>106</v>
      </c>
      <c r="C71" s="70">
        <f>IF([20]С2.3!E22&gt;0,[20]С2.3!E22,[20]С2.3!E14)</f>
        <v>61211</v>
      </c>
    </row>
    <row r="72" spans="1:3" ht="38.25">
      <c r="A72" s="59" t="s">
        <v>107</v>
      </c>
      <c r="B72" s="67" t="s">
        <v>108</v>
      </c>
      <c r="C72" s="70">
        <f>IF([20]С2.3!E23&gt;0,[20]С2.3!E23,[20]С2.3!E15)</f>
        <v>45675</v>
      </c>
    </row>
    <row r="73" spans="1:3" ht="30">
      <c r="A73" s="59" t="s">
        <v>109</v>
      </c>
      <c r="B73" s="52" t="s">
        <v>110</v>
      </c>
      <c r="C73" s="32">
        <f>[20]С2.1!E28</f>
        <v>9541.9567200000001</v>
      </c>
    </row>
    <row r="74" spans="1:3" ht="38.25">
      <c r="A74" s="59" t="s">
        <v>111</v>
      </c>
      <c r="B74" s="67" t="s">
        <v>112</v>
      </c>
      <c r="C74" s="51">
        <f>[20]С2.3!E25</f>
        <v>0</v>
      </c>
    </row>
    <row r="75" spans="1:3" ht="25.5">
      <c r="A75" s="59" t="s">
        <v>113</v>
      </c>
      <c r="B75" s="68" t="s">
        <v>114</v>
      </c>
      <c r="C75" s="69">
        <f>[20]С2.3!E12</f>
        <v>0.56000000000000005</v>
      </c>
    </row>
    <row r="76" spans="1:3" ht="25.5">
      <c r="A76" s="59" t="s">
        <v>115</v>
      </c>
      <c r="B76" s="68" t="s">
        <v>104</v>
      </c>
      <c r="C76" s="64">
        <f>[20]С2.3!E13</f>
        <v>300</v>
      </c>
    </row>
    <row r="77" spans="1:3" ht="25.5">
      <c r="A77" s="59" t="s">
        <v>116</v>
      </c>
      <c r="B77" s="71" t="s">
        <v>117</v>
      </c>
      <c r="C77" s="70">
        <f>IF([20]С2.3!E26&gt;0,[20]С2.3!E26,[20]С2.3!E16)</f>
        <v>65637</v>
      </c>
    </row>
    <row r="78" spans="1:3" ht="38.25">
      <c r="A78" s="59" t="s">
        <v>118</v>
      </c>
      <c r="B78" s="71" t="s">
        <v>119</v>
      </c>
      <c r="C78" s="70">
        <f>IF([20]С2.3!E27&gt;0,[20]С2.3!E27,[20]С2.3!E17)</f>
        <v>31684</v>
      </c>
    </row>
    <row r="79" spans="1:3" ht="17.25">
      <c r="A79" s="59" t="s">
        <v>122</v>
      </c>
      <c r="B79" s="31" t="s">
        <v>123</v>
      </c>
      <c r="C79" s="34">
        <f>[20]С2!F29</f>
        <v>9.5962865259740182E-2</v>
      </c>
    </row>
    <row r="80" spans="1:3" ht="30">
      <c r="A80" s="59" t="s">
        <v>124</v>
      </c>
      <c r="B80" s="52" t="s">
        <v>125</v>
      </c>
      <c r="C80" s="72">
        <f>[20]С2!F30</f>
        <v>8.4029304029304031E-2</v>
      </c>
    </row>
    <row r="81" spans="1:3" ht="17.25">
      <c r="A81" s="59" t="s">
        <v>126</v>
      </c>
      <c r="B81" s="73" t="s">
        <v>127</v>
      </c>
      <c r="C81" s="34">
        <f>[20]С2!F31</f>
        <v>0.13880000000000001</v>
      </c>
    </row>
    <row r="82" spans="1:3" s="65" customFormat="1" ht="18" thickBot="1">
      <c r="A82" s="74" t="s">
        <v>128</v>
      </c>
      <c r="B82" s="75" t="s">
        <v>129</v>
      </c>
      <c r="C82" s="76">
        <f>[20]С2!F32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[20]С3!F14</f>
        <v>6081.0916722812572</v>
      </c>
    </row>
    <row r="86" spans="1:3" s="65" customFormat="1" ht="42.75">
      <c r="A86" s="78" t="s">
        <v>134</v>
      </c>
      <c r="B86" s="52" t="s">
        <v>135</v>
      </c>
      <c r="C86" s="79">
        <f>[20]С3!F15</f>
        <v>0.2</v>
      </c>
    </row>
    <row r="87" spans="1:3" s="65" customFormat="1" ht="14.25">
      <c r="A87" s="78" t="s">
        <v>136</v>
      </c>
      <c r="B87" s="80" t="s">
        <v>137</v>
      </c>
      <c r="C87" s="64">
        <f>[20]С3!F18</f>
        <v>15</v>
      </c>
    </row>
    <row r="88" spans="1:3" s="65" customFormat="1" ht="17.25">
      <c r="A88" s="78" t="s">
        <v>138</v>
      </c>
      <c r="B88" s="31" t="s">
        <v>139</v>
      </c>
      <c r="C88" s="32">
        <f>[20]С3!F19</f>
        <v>3778.1614077800232</v>
      </c>
    </row>
    <row r="89" spans="1:3" s="65" customFormat="1" ht="55.5">
      <c r="A89" s="78" t="s">
        <v>140</v>
      </c>
      <c r="B89" s="52" t="s">
        <v>141</v>
      </c>
      <c r="C89" s="81">
        <f>[20]С3!F20</f>
        <v>2.1999999999999999E-2</v>
      </c>
    </row>
    <row r="90" spans="1:3" s="65" customFormat="1" ht="14.25">
      <c r="A90" s="78" t="s">
        <v>142</v>
      </c>
      <c r="B90" s="58" t="s">
        <v>86</v>
      </c>
      <c r="C90" s="64">
        <f>[20]С3!F21</f>
        <v>10</v>
      </c>
    </row>
    <row r="91" spans="1:3" s="65" customFormat="1" ht="17.25">
      <c r="A91" s="78" t="s">
        <v>143</v>
      </c>
      <c r="B91" s="31" t="s">
        <v>144</v>
      </c>
      <c r="C91" s="32">
        <f>[20]С3!F22</f>
        <v>5.6015848440000635</v>
      </c>
    </row>
    <row r="92" spans="1:3" s="65" customFormat="1" ht="55.5">
      <c r="A92" s="78" t="s">
        <v>145</v>
      </c>
      <c r="B92" s="52" t="s">
        <v>146</v>
      </c>
      <c r="C92" s="81">
        <f>[20]С3!F23</f>
        <v>3.0000000000000001E-3</v>
      </c>
    </row>
    <row r="93" spans="1:3" s="65" customFormat="1" ht="27.75" thickBot="1">
      <c r="A93" s="82" t="s">
        <v>147</v>
      </c>
      <c r="B93" s="83" t="s">
        <v>241</v>
      </c>
      <c r="C93" s="84">
        <f>[20]С3!F24</f>
        <v>1867.194948000021</v>
      </c>
    </row>
    <row r="94" spans="1:3" ht="13.5" thickBot="1">
      <c r="A94" s="47"/>
      <c r="B94" s="48"/>
      <c r="C94" s="14"/>
    </row>
    <row r="95" spans="1:3" ht="43.5" customHeight="1">
      <c r="A95" s="85" t="s">
        <v>148</v>
      </c>
      <c r="B95" s="145" t="s">
        <v>149</v>
      </c>
      <c r="C95" s="145"/>
    </row>
    <row r="96" spans="1:3" ht="30">
      <c r="A96" s="59" t="s">
        <v>150</v>
      </c>
      <c r="B96" s="31" t="s">
        <v>242</v>
      </c>
      <c r="C96" s="32">
        <f>[20]С4!F16</f>
        <v>1652.5</v>
      </c>
    </row>
    <row r="97" spans="1:3" ht="30">
      <c r="A97" s="59" t="s">
        <v>152</v>
      </c>
      <c r="B97" s="58" t="s">
        <v>243</v>
      </c>
      <c r="C97" s="32">
        <f>[20]С4!F17</f>
        <v>73547</v>
      </c>
    </row>
    <row r="98" spans="1:3" ht="17.25">
      <c r="A98" s="59" t="s">
        <v>154</v>
      </c>
      <c r="B98" s="58" t="s">
        <v>155</v>
      </c>
      <c r="C98" s="40">
        <f>[20]С4!F18</f>
        <v>0.02</v>
      </c>
    </row>
    <row r="99" spans="1:3" ht="30">
      <c r="A99" s="59" t="s">
        <v>156</v>
      </c>
      <c r="B99" s="58" t="s">
        <v>157</v>
      </c>
      <c r="C99" s="32">
        <f>[20]С4!F19</f>
        <v>12104</v>
      </c>
    </row>
    <row r="100" spans="1:3" ht="31.5">
      <c r="A100" s="59" t="s">
        <v>158</v>
      </c>
      <c r="B100" s="58" t="s">
        <v>159</v>
      </c>
      <c r="C100" s="40">
        <f>[20]С4!F20</f>
        <v>1.4999999999999999E-2</v>
      </c>
    </row>
    <row r="101" spans="1:3" ht="30">
      <c r="A101" s="59" t="s">
        <v>160</v>
      </c>
      <c r="B101" s="31" t="s">
        <v>244</v>
      </c>
      <c r="C101" s="32">
        <f>[20]С4!F21</f>
        <v>1933.1949342509995</v>
      </c>
    </row>
    <row r="102" spans="1:3" ht="24" customHeight="1">
      <c r="A102" s="59" t="s">
        <v>162</v>
      </c>
      <c r="B102" s="52" t="s">
        <v>163</v>
      </c>
      <c r="C102" s="33">
        <f>IF([20]С4.2!F8="да",[20]С4.2!D21,[20]С4.2!D15)</f>
        <v>0</v>
      </c>
    </row>
    <row r="103" spans="1:3" ht="68.25">
      <c r="A103" s="59" t="s">
        <v>164</v>
      </c>
      <c r="B103" s="52" t="s">
        <v>165</v>
      </c>
      <c r="C103" s="32">
        <f>[20]С4!F22</f>
        <v>3.6112641666666665</v>
      </c>
    </row>
    <row r="104" spans="1:3" ht="30">
      <c r="A104" s="59" t="s">
        <v>166</v>
      </c>
      <c r="B104" s="58" t="s">
        <v>245</v>
      </c>
      <c r="C104" s="32">
        <f>[20]С4!F23</f>
        <v>180</v>
      </c>
    </row>
    <row r="105" spans="1:3" ht="14.25">
      <c r="A105" s="59" t="s">
        <v>168</v>
      </c>
      <c r="B105" s="52" t="s">
        <v>169</v>
      </c>
      <c r="C105" s="32">
        <f>[20]С4!F24</f>
        <v>8497.1999999999989</v>
      </c>
    </row>
    <row r="106" spans="1:3" ht="14.25">
      <c r="A106" s="59" t="s">
        <v>170</v>
      </c>
      <c r="B106" s="58" t="s">
        <v>171</v>
      </c>
      <c r="C106" s="40">
        <f>[20]С4!F25</f>
        <v>0.35</v>
      </c>
    </row>
    <row r="107" spans="1:3" ht="17.25">
      <c r="A107" s="59" t="s">
        <v>172</v>
      </c>
      <c r="B107" s="31" t="s">
        <v>173</v>
      </c>
      <c r="C107" s="32">
        <f>[20]С4!F26</f>
        <v>85.988129999999998</v>
      </c>
    </row>
    <row r="108" spans="1:3" ht="25.5">
      <c r="A108" s="59" t="s">
        <v>174</v>
      </c>
      <c r="B108" s="52" t="s">
        <v>100</v>
      </c>
      <c r="C108" s="33">
        <f>[20]С4.3!E16</f>
        <v>0</v>
      </c>
    </row>
    <row r="109" spans="1:3" ht="25.5">
      <c r="A109" s="59" t="s">
        <v>175</v>
      </c>
      <c r="B109" s="52" t="s">
        <v>176</v>
      </c>
      <c r="C109" s="32">
        <f>[20]С4.3!E17</f>
        <v>20.350000000000001</v>
      </c>
    </row>
    <row r="110" spans="1:3" ht="38.25">
      <c r="A110" s="59" t="s">
        <v>177</v>
      </c>
      <c r="B110" s="52" t="s">
        <v>112</v>
      </c>
      <c r="C110" s="33">
        <f>[20]С4.3!E18</f>
        <v>0</v>
      </c>
    </row>
    <row r="111" spans="1:3">
      <c r="A111" s="59" t="s">
        <v>178</v>
      </c>
      <c r="B111" s="52" t="s">
        <v>179</v>
      </c>
      <c r="C111" s="32">
        <f>[20]С4.3!E19</f>
        <v>71.67</v>
      </c>
    </row>
    <row r="112" spans="1:3">
      <c r="A112" s="59" t="s">
        <v>180</v>
      </c>
      <c r="B112" s="58" t="s">
        <v>181</v>
      </c>
      <c r="C112" s="32">
        <f>[20]С4.3!E11</f>
        <v>1871</v>
      </c>
    </row>
    <row r="113" spans="1:3">
      <c r="A113" s="59" t="s">
        <v>182</v>
      </c>
      <c r="B113" s="58" t="s">
        <v>183</v>
      </c>
      <c r="C113" s="51">
        <f>[20]С4.3!E12</f>
        <v>1636</v>
      </c>
    </row>
    <row r="114" spans="1:3">
      <c r="A114" s="59" t="s">
        <v>184</v>
      </c>
      <c r="B114" s="58" t="s">
        <v>185</v>
      </c>
      <c r="C114" s="51">
        <f>[20]С4.3!E13</f>
        <v>204</v>
      </c>
    </row>
    <row r="115" spans="1:3" ht="30">
      <c r="A115" s="59" t="s">
        <v>186</v>
      </c>
      <c r="B115" s="31" t="s">
        <v>246</v>
      </c>
      <c r="C115" s="32">
        <f>[20]С4!F27</f>
        <v>1291.2863994686898</v>
      </c>
    </row>
    <row r="116" spans="1:3" ht="25.5">
      <c r="A116" s="59" t="s">
        <v>188</v>
      </c>
      <c r="B116" s="52" t="s">
        <v>247</v>
      </c>
      <c r="C116" s="32">
        <f>[20]С4!F28</f>
        <v>991.77142816335618</v>
      </c>
    </row>
    <row r="117" spans="1:3" ht="42.75">
      <c r="A117" s="59" t="s">
        <v>190</v>
      </c>
      <c r="B117" s="52" t="s">
        <v>191</v>
      </c>
      <c r="C117" s="32">
        <f>[20]С4!F29</f>
        <v>299.51497130533357</v>
      </c>
    </row>
    <row r="118" spans="1:3" ht="30">
      <c r="A118" s="59" t="s">
        <v>192</v>
      </c>
      <c r="B118" s="39" t="s">
        <v>193</v>
      </c>
      <c r="C118" s="32">
        <f>[20]С4!F30</f>
        <v>1723.3684791420967</v>
      </c>
    </row>
    <row r="119" spans="1:3" ht="42.75">
      <c r="A119" s="59" t="s">
        <v>248</v>
      </c>
      <c r="B119" s="89" t="s">
        <v>249</v>
      </c>
      <c r="C119" s="32">
        <f>[20]С4!F33</f>
        <v>1003.2521948736445</v>
      </c>
    </row>
    <row r="120" spans="1:3" ht="30">
      <c r="A120" s="59" t="s">
        <v>250</v>
      </c>
      <c r="B120" s="121" t="s">
        <v>251</v>
      </c>
      <c r="C120" s="32">
        <f>[20]С4!F35</f>
        <v>17.040680999999999</v>
      </c>
    </row>
    <row r="121" spans="1:3" ht="14.25">
      <c r="A121" s="59" t="s">
        <v>252</v>
      </c>
      <c r="B121" s="55" t="s">
        <v>253</v>
      </c>
      <c r="C121" s="32">
        <f>[20]С4!F36</f>
        <v>14319.9</v>
      </c>
    </row>
    <row r="122" spans="1:3" ht="28.5" thickBot="1">
      <c r="A122" s="74" t="s">
        <v>254</v>
      </c>
      <c r="B122" s="122" t="s">
        <v>255</v>
      </c>
      <c r="C122" s="84">
        <f>[20]С4!F37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[20]С5!F17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[20]С2!F37</f>
        <v>20.818139999999996</v>
      </c>
    </row>
    <row r="136" spans="1:4" ht="14.25">
      <c r="A136" s="59" t="s">
        <v>214</v>
      </c>
      <c r="B136" s="128" t="s">
        <v>215</v>
      </c>
      <c r="C136" s="32">
        <f>[20]С2!F38</f>
        <v>7</v>
      </c>
    </row>
    <row r="137" spans="1:4" ht="17.25">
      <c r="A137" s="59" t="s">
        <v>216</v>
      </c>
      <c r="B137" s="128" t="s">
        <v>217</v>
      </c>
      <c r="C137" s="32">
        <f>[20]С2!F40</f>
        <v>0.97</v>
      </c>
    </row>
    <row r="138" spans="1:4" ht="15" thickBot="1">
      <c r="A138" s="74" t="s">
        <v>218</v>
      </c>
      <c r="B138" s="129" t="s">
        <v>219</v>
      </c>
      <c r="C138" s="46">
        <f>[20]С2!F42</f>
        <v>0.35</v>
      </c>
    </row>
    <row r="139" spans="1:4" s="87" customFormat="1" ht="13.5" thickBot="1">
      <c r="A139" s="47"/>
      <c r="B139" s="48"/>
      <c r="C139" s="14"/>
    </row>
    <row r="140" spans="1:4" ht="30">
      <c r="A140" s="85" t="s">
        <v>220</v>
      </c>
      <c r="B140" s="95" t="s">
        <v>258</v>
      </c>
      <c r="C140" s="130">
        <f>[20]С2!F35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[20]С2.5!$E$11</f>
        <v>-2.9000000000000026E-2</v>
      </c>
      <c r="D143" s="87"/>
    </row>
    <row r="144" spans="1:4">
      <c r="A144" s="97"/>
      <c r="B144" s="104">
        <f>B143+1</f>
        <v>2021</v>
      </c>
      <c r="C144" s="135">
        <f>[20]С2.5!$F$11</f>
        <v>0.245</v>
      </c>
      <c r="D144" s="87"/>
    </row>
    <row r="145" spans="1:4">
      <c r="A145" s="97"/>
      <c r="B145" s="104">
        <f t="shared" ref="B145:B208" si="0">B144+1</f>
        <v>2022</v>
      </c>
      <c r="C145" s="135">
        <f>[20]С2.5!$G$11</f>
        <v>0.114</v>
      </c>
      <c r="D145" s="87"/>
    </row>
    <row r="146" spans="1:4" ht="13.5" thickBot="1">
      <c r="A146" s="97"/>
      <c r="B146" s="106">
        <f t="shared" si="0"/>
        <v>2023</v>
      </c>
      <c r="C146" s="136">
        <f>[20]С2.5!$H$11</f>
        <v>2.4E-2</v>
      </c>
      <c r="D146" s="87"/>
    </row>
    <row r="147" spans="1:4">
      <c r="A147" s="97"/>
      <c r="B147" s="137">
        <f t="shared" si="0"/>
        <v>2024</v>
      </c>
      <c r="C147" s="138">
        <f>[20]С2.5!$I$11</f>
        <v>8.5999999999999993E-2</v>
      </c>
      <c r="D147" s="87"/>
    </row>
    <row r="148" spans="1:4" hidden="1">
      <c r="A148" s="97"/>
      <c r="B148" s="104">
        <f t="shared" si="0"/>
        <v>2025</v>
      </c>
      <c r="C148" s="135">
        <f>[20]С2.5!$J$11</f>
        <v>0.21215960863291</v>
      </c>
      <c r="D148" s="87"/>
    </row>
    <row r="149" spans="1:4" hidden="1">
      <c r="A149" s="97"/>
      <c r="B149" s="104">
        <f t="shared" si="0"/>
        <v>2026</v>
      </c>
      <c r="C149" s="135">
        <f>[20]С2.5!$K$11</f>
        <v>3.5813361771260002E-2</v>
      </c>
      <c r="D149" s="87"/>
    </row>
    <row r="150" spans="1:4" hidden="1">
      <c r="A150" s="97"/>
      <c r="B150" s="104">
        <f t="shared" si="0"/>
        <v>2027</v>
      </c>
      <c r="C150" s="135">
        <f>[20]С2.5!$L$11</f>
        <v>3.2682303599220003E-2</v>
      </c>
      <c r="D150" s="87"/>
    </row>
    <row r="151" spans="1:4" hidden="1">
      <c r="A151" s="97"/>
      <c r="B151" s="104">
        <f t="shared" si="0"/>
        <v>2028</v>
      </c>
      <c r="C151" s="135">
        <f>[20]С2.5!$M$11</f>
        <v>0</v>
      </c>
      <c r="D151" s="87"/>
    </row>
    <row r="152" spans="1:4" hidden="1">
      <c r="A152" s="97"/>
      <c r="B152" s="104">
        <f t="shared" si="0"/>
        <v>2029</v>
      </c>
      <c r="C152" s="135">
        <f>[20]С2.5!$N$11</f>
        <v>0</v>
      </c>
      <c r="D152" s="87"/>
    </row>
    <row r="153" spans="1:4" hidden="1">
      <c r="A153" s="97"/>
      <c r="B153" s="104">
        <f t="shared" si="0"/>
        <v>2030</v>
      </c>
      <c r="C153" s="135">
        <f>[20]С2.5!$O$11</f>
        <v>0</v>
      </c>
      <c r="D153" s="87"/>
    </row>
    <row r="154" spans="1:4" hidden="1">
      <c r="A154" s="97"/>
      <c r="B154" s="104">
        <f t="shared" si="0"/>
        <v>2031</v>
      </c>
      <c r="C154" s="135">
        <f>[20]С2.5!$P$11</f>
        <v>0</v>
      </c>
      <c r="D154" s="87"/>
    </row>
    <row r="155" spans="1:4" hidden="1">
      <c r="A155" s="87"/>
      <c r="B155" s="104">
        <f t="shared" si="0"/>
        <v>2032</v>
      </c>
      <c r="C155" s="135">
        <f>[20]С2.5!$Q$11</f>
        <v>0</v>
      </c>
      <c r="D155" s="87"/>
    </row>
    <row r="156" spans="1:4" hidden="1">
      <c r="A156" s="87"/>
      <c r="B156" s="104">
        <f t="shared" si="0"/>
        <v>2033</v>
      </c>
      <c r="C156" s="135">
        <f>[20]С2.5!$R$11</f>
        <v>0</v>
      </c>
      <c r="D156" s="87"/>
    </row>
    <row r="157" spans="1:4" hidden="1">
      <c r="B157" s="104">
        <f t="shared" si="0"/>
        <v>2034</v>
      </c>
      <c r="C157" s="135">
        <f>[20]С2.5!$S$11</f>
        <v>0</v>
      </c>
    </row>
    <row r="158" spans="1:4" hidden="1">
      <c r="B158" s="104">
        <f t="shared" si="0"/>
        <v>2035</v>
      </c>
      <c r="C158" s="135">
        <f>[20]С2.5!$T$11</f>
        <v>0</v>
      </c>
    </row>
    <row r="159" spans="1:4" hidden="1">
      <c r="B159" s="104">
        <f t="shared" si="0"/>
        <v>2036</v>
      </c>
      <c r="C159" s="135">
        <f>[20]С2.5!$U$11</f>
        <v>0</v>
      </c>
    </row>
    <row r="160" spans="1:4" hidden="1">
      <c r="B160" s="104">
        <f t="shared" si="0"/>
        <v>2037</v>
      </c>
      <c r="C160" s="135">
        <f>[20]С2.5!$V$11</f>
        <v>0</v>
      </c>
    </row>
    <row r="161" spans="2:3" hidden="1">
      <c r="B161" s="104">
        <f t="shared" si="0"/>
        <v>2038</v>
      </c>
      <c r="C161" s="135">
        <f>[20]С2.5!$W$11</f>
        <v>0</v>
      </c>
    </row>
    <row r="162" spans="2:3" hidden="1">
      <c r="B162" s="104">
        <f t="shared" si="0"/>
        <v>2039</v>
      </c>
      <c r="C162" s="135">
        <f>[20]С2.5!$X$11</f>
        <v>0</v>
      </c>
    </row>
    <row r="163" spans="2:3" hidden="1">
      <c r="B163" s="104">
        <f t="shared" si="0"/>
        <v>2040</v>
      </c>
      <c r="C163" s="135">
        <f>[20]С2.5!$Y$11</f>
        <v>0</v>
      </c>
    </row>
    <row r="164" spans="2:3" hidden="1">
      <c r="B164" s="104">
        <f t="shared" si="0"/>
        <v>2041</v>
      </c>
      <c r="C164" s="135">
        <f>[20]С2.5!$Z$11</f>
        <v>0</v>
      </c>
    </row>
    <row r="165" spans="2:3" hidden="1">
      <c r="B165" s="104">
        <f t="shared" si="0"/>
        <v>2042</v>
      </c>
      <c r="C165" s="135">
        <f>[20]С2.5!$AA$11</f>
        <v>0</v>
      </c>
    </row>
    <row r="166" spans="2:3" hidden="1">
      <c r="B166" s="104">
        <f t="shared" si="0"/>
        <v>2043</v>
      </c>
      <c r="C166" s="135">
        <f>[20]С2.5!$AB$11</f>
        <v>0</v>
      </c>
    </row>
    <row r="167" spans="2:3" hidden="1">
      <c r="B167" s="104">
        <f t="shared" si="0"/>
        <v>2044</v>
      </c>
      <c r="C167" s="135">
        <f>[20]С2.5!$AC$11</f>
        <v>0</v>
      </c>
    </row>
    <row r="168" spans="2:3" hidden="1">
      <c r="B168" s="104">
        <f t="shared" si="0"/>
        <v>2045</v>
      </c>
      <c r="C168" s="135">
        <f>[20]С2.5!$AD$11</f>
        <v>0</v>
      </c>
    </row>
    <row r="169" spans="2:3" hidden="1">
      <c r="B169" s="104">
        <f t="shared" si="0"/>
        <v>2046</v>
      </c>
      <c r="C169" s="135">
        <f>[20]С2.5!$AE$11</f>
        <v>0</v>
      </c>
    </row>
    <row r="170" spans="2:3" hidden="1">
      <c r="B170" s="104">
        <f t="shared" si="0"/>
        <v>2047</v>
      </c>
      <c r="C170" s="135">
        <f>[20]С2.5!$AF$11</f>
        <v>0</v>
      </c>
    </row>
    <row r="171" spans="2:3" hidden="1">
      <c r="B171" s="104">
        <f t="shared" si="0"/>
        <v>2048</v>
      </c>
      <c r="C171" s="135">
        <f>[20]С2.5!$AG$11</f>
        <v>0</v>
      </c>
    </row>
    <row r="172" spans="2:3" hidden="1">
      <c r="B172" s="104">
        <f t="shared" si="0"/>
        <v>2049</v>
      </c>
      <c r="C172" s="135">
        <f>[20]С2.5!$AH$11</f>
        <v>0</v>
      </c>
    </row>
    <row r="173" spans="2:3" hidden="1">
      <c r="B173" s="104">
        <f t="shared" si="0"/>
        <v>2050</v>
      </c>
      <c r="C173" s="135">
        <f>[20]С2.5!$AI$11</f>
        <v>0</v>
      </c>
    </row>
    <row r="174" spans="2:3" hidden="1">
      <c r="B174" s="104">
        <f t="shared" si="0"/>
        <v>2051</v>
      </c>
      <c r="C174" s="135">
        <f>[20]С2.5!$AJ$11</f>
        <v>0</v>
      </c>
    </row>
    <row r="175" spans="2:3" hidden="1">
      <c r="B175" s="104">
        <f t="shared" si="0"/>
        <v>2052</v>
      </c>
      <c r="C175" s="135">
        <f>[20]С2.5!$AK$11</f>
        <v>0</v>
      </c>
    </row>
    <row r="176" spans="2:3" hidden="1">
      <c r="B176" s="104">
        <f t="shared" si="0"/>
        <v>2053</v>
      </c>
      <c r="C176" s="135">
        <f>[20]С2.5!$AL$11</f>
        <v>0</v>
      </c>
    </row>
    <row r="177" spans="2:3" hidden="1">
      <c r="B177" s="104">
        <f t="shared" si="0"/>
        <v>2054</v>
      </c>
      <c r="C177" s="135">
        <f>[20]С2.5!$AM$11</f>
        <v>0</v>
      </c>
    </row>
    <row r="178" spans="2:3" hidden="1">
      <c r="B178" s="104">
        <f t="shared" si="0"/>
        <v>2055</v>
      </c>
      <c r="C178" s="135">
        <f>[20]С2.5!$AN$11</f>
        <v>0</v>
      </c>
    </row>
    <row r="179" spans="2:3" hidden="1">
      <c r="B179" s="104">
        <f t="shared" si="0"/>
        <v>2056</v>
      </c>
      <c r="C179" s="135">
        <f>[20]С2.5!$AO$11</f>
        <v>0</v>
      </c>
    </row>
    <row r="180" spans="2:3" hidden="1">
      <c r="B180" s="104">
        <f t="shared" si="0"/>
        <v>2057</v>
      </c>
      <c r="C180" s="135">
        <f>[20]С2.5!$AP$11</f>
        <v>0</v>
      </c>
    </row>
    <row r="181" spans="2:3" hidden="1">
      <c r="B181" s="104">
        <f t="shared" si="0"/>
        <v>2058</v>
      </c>
      <c r="C181" s="135">
        <f>[20]С2.5!$AQ$11</f>
        <v>0</v>
      </c>
    </row>
    <row r="182" spans="2:3" hidden="1">
      <c r="B182" s="104">
        <f t="shared" si="0"/>
        <v>2059</v>
      </c>
      <c r="C182" s="135">
        <f>[20]С2.5!$AR$11</f>
        <v>0</v>
      </c>
    </row>
    <row r="183" spans="2:3" hidden="1">
      <c r="B183" s="104">
        <f t="shared" si="0"/>
        <v>2060</v>
      </c>
      <c r="C183" s="135">
        <f>[20]С2.5!$AS$11</f>
        <v>0</v>
      </c>
    </row>
    <row r="184" spans="2:3" hidden="1">
      <c r="B184" s="104">
        <f t="shared" si="0"/>
        <v>2061</v>
      </c>
      <c r="C184" s="135">
        <f>[20]С2.5!$AT$11</f>
        <v>0</v>
      </c>
    </row>
    <row r="185" spans="2:3" hidden="1">
      <c r="B185" s="104">
        <f t="shared" si="0"/>
        <v>2062</v>
      </c>
      <c r="C185" s="135">
        <f>[20]С2.5!$AU$11</f>
        <v>0</v>
      </c>
    </row>
    <row r="186" spans="2:3" hidden="1">
      <c r="B186" s="104">
        <f t="shared" si="0"/>
        <v>2063</v>
      </c>
      <c r="C186" s="135">
        <f>[20]С2.5!$AV$11</f>
        <v>0</v>
      </c>
    </row>
    <row r="187" spans="2:3" hidden="1">
      <c r="B187" s="104">
        <f t="shared" si="0"/>
        <v>2064</v>
      </c>
      <c r="C187" s="135">
        <f>[20]С2.5!$AW$11</f>
        <v>0</v>
      </c>
    </row>
    <row r="188" spans="2:3" hidden="1">
      <c r="B188" s="104">
        <f t="shared" si="0"/>
        <v>2065</v>
      </c>
      <c r="C188" s="135">
        <f>[20]С2.5!$AX$11</f>
        <v>0</v>
      </c>
    </row>
    <row r="189" spans="2:3" hidden="1">
      <c r="B189" s="104">
        <f t="shared" si="0"/>
        <v>2066</v>
      </c>
      <c r="C189" s="135">
        <f>[20]С2.5!$AY$11</f>
        <v>0</v>
      </c>
    </row>
    <row r="190" spans="2:3" hidden="1">
      <c r="B190" s="104">
        <f t="shared" si="0"/>
        <v>2067</v>
      </c>
      <c r="C190" s="135">
        <f>[20]С2.5!$AZ$11</f>
        <v>0</v>
      </c>
    </row>
    <row r="191" spans="2:3" hidden="1">
      <c r="B191" s="104">
        <f t="shared" si="0"/>
        <v>2068</v>
      </c>
      <c r="C191" s="135">
        <f>[20]С2.5!$BA$11</f>
        <v>0</v>
      </c>
    </row>
    <row r="192" spans="2:3" hidden="1">
      <c r="B192" s="104">
        <f t="shared" si="0"/>
        <v>2069</v>
      </c>
      <c r="C192" s="135">
        <f>[20]С2.5!$BB$11</f>
        <v>0</v>
      </c>
    </row>
    <row r="193" spans="2:3" hidden="1">
      <c r="B193" s="104">
        <f t="shared" si="0"/>
        <v>2070</v>
      </c>
      <c r="C193" s="135">
        <f>[20]С2.5!$BC$11</f>
        <v>0</v>
      </c>
    </row>
    <row r="194" spans="2:3" hidden="1">
      <c r="B194" s="104">
        <f t="shared" si="0"/>
        <v>2071</v>
      </c>
      <c r="C194" s="135">
        <f>[20]С2.5!$BD$11</f>
        <v>0</v>
      </c>
    </row>
    <row r="195" spans="2:3" hidden="1">
      <c r="B195" s="104">
        <f t="shared" si="0"/>
        <v>2072</v>
      </c>
      <c r="C195" s="135">
        <f>[20]С2.5!$BE$11</f>
        <v>0</v>
      </c>
    </row>
    <row r="196" spans="2:3" hidden="1">
      <c r="B196" s="104">
        <f t="shared" si="0"/>
        <v>2073</v>
      </c>
      <c r="C196" s="135">
        <f>[20]С2.5!$BF$11</f>
        <v>0</v>
      </c>
    </row>
    <row r="197" spans="2:3" hidden="1">
      <c r="B197" s="104">
        <f t="shared" si="0"/>
        <v>2074</v>
      </c>
      <c r="C197" s="135">
        <f>[20]С2.5!$BG$11</f>
        <v>0</v>
      </c>
    </row>
    <row r="198" spans="2:3" hidden="1">
      <c r="B198" s="104">
        <f t="shared" si="0"/>
        <v>2075</v>
      </c>
      <c r="C198" s="135">
        <f>[20]С2.5!$BH$11</f>
        <v>0</v>
      </c>
    </row>
    <row r="199" spans="2:3" hidden="1">
      <c r="B199" s="104">
        <f t="shared" si="0"/>
        <v>2076</v>
      </c>
      <c r="C199" s="135">
        <f>[20]С2.5!$BI$11</f>
        <v>0</v>
      </c>
    </row>
    <row r="200" spans="2:3" hidden="1">
      <c r="B200" s="104">
        <f t="shared" si="0"/>
        <v>2077</v>
      </c>
      <c r="C200" s="135">
        <f>[20]С2.5!$BJ$11</f>
        <v>0</v>
      </c>
    </row>
    <row r="201" spans="2:3" hidden="1">
      <c r="B201" s="104">
        <f t="shared" si="0"/>
        <v>2078</v>
      </c>
      <c r="C201" s="135">
        <f>[20]С2.5!$BK$11</f>
        <v>0</v>
      </c>
    </row>
    <row r="202" spans="2:3" hidden="1">
      <c r="B202" s="104">
        <f t="shared" si="0"/>
        <v>2079</v>
      </c>
      <c r="C202" s="135">
        <f>[20]С2.5!$BL$11</f>
        <v>0</v>
      </c>
    </row>
    <row r="203" spans="2:3" hidden="1">
      <c r="B203" s="104">
        <f t="shared" si="0"/>
        <v>2080</v>
      </c>
      <c r="C203" s="135">
        <f>[20]С2.5!$BM$11</f>
        <v>0</v>
      </c>
    </row>
    <row r="204" spans="2:3" hidden="1">
      <c r="B204" s="104">
        <f t="shared" si="0"/>
        <v>2081</v>
      </c>
      <c r="C204" s="135">
        <f>[20]С2.5!$BN$11</f>
        <v>0</v>
      </c>
    </row>
    <row r="205" spans="2:3" hidden="1">
      <c r="B205" s="104">
        <f t="shared" si="0"/>
        <v>2082</v>
      </c>
      <c r="C205" s="135">
        <f>[20]С2.5!$BO$11</f>
        <v>0</v>
      </c>
    </row>
    <row r="206" spans="2:3" hidden="1">
      <c r="B206" s="104">
        <f t="shared" si="0"/>
        <v>2083</v>
      </c>
      <c r="C206" s="135">
        <f>[20]С2.5!$BP$11</f>
        <v>0</v>
      </c>
    </row>
    <row r="207" spans="2:3" hidden="1">
      <c r="B207" s="104">
        <f t="shared" si="0"/>
        <v>2084</v>
      </c>
      <c r="C207" s="135">
        <f>[20]С2.5!$BQ$11</f>
        <v>0</v>
      </c>
    </row>
    <row r="208" spans="2:3" hidden="1">
      <c r="B208" s="104">
        <f t="shared" si="0"/>
        <v>2085</v>
      </c>
      <c r="C208" s="135">
        <f>[20]С2.5!$BR$11</f>
        <v>0</v>
      </c>
    </row>
    <row r="209" spans="2:3" hidden="1">
      <c r="B209" s="104">
        <f t="shared" ref="B209:B223" si="1">B208+1</f>
        <v>2086</v>
      </c>
      <c r="C209" s="135">
        <f>[20]С2.5!$BS$11</f>
        <v>0</v>
      </c>
    </row>
    <row r="210" spans="2:3" hidden="1">
      <c r="B210" s="104">
        <f t="shared" si="1"/>
        <v>2087</v>
      </c>
      <c r="C210" s="135">
        <f>[20]С2.5!$BT$11</f>
        <v>0</v>
      </c>
    </row>
    <row r="211" spans="2:3" hidden="1">
      <c r="B211" s="104">
        <f t="shared" si="1"/>
        <v>2088</v>
      </c>
      <c r="C211" s="135">
        <f>[20]С2.5!$BU$11</f>
        <v>0</v>
      </c>
    </row>
    <row r="212" spans="2:3" hidden="1">
      <c r="B212" s="104">
        <f t="shared" si="1"/>
        <v>2089</v>
      </c>
      <c r="C212" s="135">
        <f>[20]С2.5!$BV$11</f>
        <v>0</v>
      </c>
    </row>
    <row r="213" spans="2:3" hidden="1">
      <c r="B213" s="104">
        <f t="shared" si="1"/>
        <v>2090</v>
      </c>
      <c r="C213" s="135">
        <f>[20]С2.5!$BW$11</f>
        <v>0</v>
      </c>
    </row>
    <row r="214" spans="2:3" hidden="1">
      <c r="B214" s="104">
        <f t="shared" si="1"/>
        <v>2091</v>
      </c>
      <c r="C214" s="135">
        <f>[20]С2.5!$BX$11</f>
        <v>0</v>
      </c>
    </row>
    <row r="215" spans="2:3" hidden="1">
      <c r="B215" s="104">
        <f t="shared" si="1"/>
        <v>2092</v>
      </c>
      <c r="C215" s="135">
        <f>[20]С2.5!$BY$11</f>
        <v>0</v>
      </c>
    </row>
    <row r="216" spans="2:3" hidden="1">
      <c r="B216" s="104">
        <f t="shared" si="1"/>
        <v>2093</v>
      </c>
      <c r="C216" s="135">
        <f>[20]С2.5!$BZ$11</f>
        <v>0</v>
      </c>
    </row>
    <row r="217" spans="2:3" hidden="1">
      <c r="B217" s="104">
        <f t="shared" si="1"/>
        <v>2094</v>
      </c>
      <c r="C217" s="135">
        <f>[20]С2.5!$CA$11</f>
        <v>0</v>
      </c>
    </row>
    <row r="218" spans="2:3" hidden="1">
      <c r="B218" s="104">
        <f t="shared" si="1"/>
        <v>2095</v>
      </c>
      <c r="C218" s="135">
        <f>[20]С2.5!$CB$11</f>
        <v>0</v>
      </c>
    </row>
    <row r="219" spans="2:3" hidden="1">
      <c r="B219" s="104">
        <f t="shared" si="1"/>
        <v>2096</v>
      </c>
      <c r="C219" s="135">
        <f>[20]С2.5!$CC$11</f>
        <v>0</v>
      </c>
    </row>
    <row r="220" spans="2:3" hidden="1">
      <c r="B220" s="104">
        <f t="shared" si="1"/>
        <v>2097</v>
      </c>
      <c r="C220" s="135">
        <f>[20]С2.5!$CD$11</f>
        <v>0</v>
      </c>
    </row>
    <row r="221" spans="2:3" hidden="1">
      <c r="B221" s="104">
        <f t="shared" si="1"/>
        <v>2098</v>
      </c>
      <c r="C221" s="135">
        <f>[20]С2.5!$CE$11</f>
        <v>0</v>
      </c>
    </row>
    <row r="222" spans="2:3" hidden="1">
      <c r="B222" s="104">
        <f t="shared" si="1"/>
        <v>2099</v>
      </c>
      <c r="C222" s="135">
        <f>[20]С2.5!$CF$11</f>
        <v>0</v>
      </c>
    </row>
    <row r="223" spans="2:3" ht="13.5" hidden="1" thickBot="1">
      <c r="B223" s="106">
        <f t="shared" si="1"/>
        <v>2100</v>
      </c>
      <c r="C223" s="136">
        <f>[20]С2.5!$CG$11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4577" r:id="rId3" name="Button 1">
              <controlPr defaultSize="0" print="0" autoFill="0" autoPict="0" macro="[21]!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4578" r:id="rId4" name="Button 2">
              <controlPr defaultSize="0" print="0" autoFill="0" autoPict="0" macro="[2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[22]И1!D13</f>
        <v>Субъект Российской Федерации</v>
      </c>
      <c r="C4" s="9" t="str">
        <f>[22]И1!E13</f>
        <v>Новосибирская область</v>
      </c>
    </row>
    <row r="5" spans="1:3" ht="46.9" customHeight="1">
      <c r="A5" s="7"/>
      <c r="B5" s="8" t="str">
        <f>[22]И1!D14</f>
        <v>Тип муниципального образования (выберите из списка)</v>
      </c>
      <c r="C5" s="9" t="str">
        <f>[22]И1!E14</f>
        <v xml:space="preserve">село Зудово, Болотнинский муниципальный район </v>
      </c>
    </row>
    <row r="6" spans="1:3">
      <c r="A6" s="7"/>
      <c r="B6" s="8" t="str">
        <f>IF([22]И1!E15="","",[22]И1!D15)</f>
        <v/>
      </c>
      <c r="C6" s="9" t="str">
        <f>IF([22]И1!E15="","",[22]И1!E15)</f>
        <v/>
      </c>
    </row>
    <row r="7" spans="1:3">
      <c r="A7" s="7"/>
      <c r="B7" s="8" t="str">
        <f>[22]И1!D16</f>
        <v>Код ОКТМО</v>
      </c>
      <c r="C7" s="10" t="str">
        <f>[22]И1!E16</f>
        <v>50606419101</v>
      </c>
    </row>
    <row r="8" spans="1:3">
      <c r="A8" s="7"/>
      <c r="B8" s="11" t="str">
        <f>[22]И1!D17</f>
        <v>Система теплоснабжения</v>
      </c>
      <c r="C8" s="12">
        <f>[22]И1!E17</f>
        <v>0</v>
      </c>
    </row>
    <row r="9" spans="1:3">
      <c r="A9" s="7"/>
      <c r="B9" s="8" t="str">
        <f>[22]И1!D8</f>
        <v>Период регулирования (i)-й</v>
      </c>
      <c r="C9" s="13">
        <f>[22]И1!E8</f>
        <v>2024</v>
      </c>
    </row>
    <row r="10" spans="1:3">
      <c r="A10" s="7"/>
      <c r="B10" s="8" t="str">
        <f>[22]И1!D9</f>
        <v>Период регулирования (i-1)-й</v>
      </c>
      <c r="C10" s="13">
        <f>[22]И1!E9</f>
        <v>2023</v>
      </c>
    </row>
    <row r="11" spans="1:3">
      <c r="A11" s="7"/>
      <c r="B11" s="8" t="str">
        <f>[22]И1!D10</f>
        <v>Период регулирования (i-2)-й</v>
      </c>
      <c r="C11" s="13">
        <f>[22]И1!E10</f>
        <v>2022</v>
      </c>
    </row>
    <row r="12" spans="1:3">
      <c r="A12" s="7"/>
      <c r="B12" s="8" t="str">
        <f>[22]И1!D11</f>
        <v>Базовый год (б)</v>
      </c>
      <c r="C12" s="13">
        <f>[22]И1!E11</f>
        <v>2019</v>
      </c>
    </row>
    <row r="13" spans="1:3" ht="38.25">
      <c r="A13" s="7"/>
      <c r="B13" s="8" t="str">
        <f>[22]И1!D18</f>
        <v>Вид топлива, использование которого преобладает в системе теплоснабжения</v>
      </c>
      <c r="C13" s="14" t="str">
        <f>[22]С1.1!E13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3655.4471804418495</v>
      </c>
    </row>
    <row r="18" spans="1:3" ht="42.75">
      <c r="A18" s="21" t="s">
        <v>8</v>
      </c>
      <c r="B18" s="24" t="s">
        <v>9</v>
      </c>
      <c r="C18" s="25">
        <f>[22]С1!F12</f>
        <v>676.75286612928141</v>
      </c>
    </row>
    <row r="19" spans="1:3" ht="42.75">
      <c r="A19" s="21" t="s">
        <v>10</v>
      </c>
      <c r="B19" s="24" t="s">
        <v>11</v>
      </c>
      <c r="C19" s="25">
        <f>[22]С2!F12</f>
        <v>1993.3494362887216</v>
      </c>
    </row>
    <row r="20" spans="1:3" ht="30">
      <c r="A20" s="21" t="s">
        <v>12</v>
      </c>
      <c r="B20" s="24" t="s">
        <v>13</v>
      </c>
      <c r="C20" s="25">
        <f>[22]С3!F12</f>
        <v>473.85859951490778</v>
      </c>
    </row>
    <row r="21" spans="1:3" ht="42.75">
      <c r="A21" s="21" t="s">
        <v>14</v>
      </c>
      <c r="B21" s="24" t="s">
        <v>226</v>
      </c>
      <c r="C21" s="25">
        <f>[22]С4!F12</f>
        <v>439.81084359831385</v>
      </c>
    </row>
    <row r="22" spans="1:3" ht="30">
      <c r="A22" s="21" t="s">
        <v>16</v>
      </c>
      <c r="B22" s="24" t="s">
        <v>227</v>
      </c>
      <c r="C22" s="25">
        <f>[22]С5!F12</f>
        <v>71.675434910624503</v>
      </c>
    </row>
    <row r="23" spans="1:3" ht="43.5" thickBot="1">
      <c r="A23" s="26" t="s">
        <v>18</v>
      </c>
      <c r="B23" s="140" t="s">
        <v>228</v>
      </c>
      <c r="C23" s="27" t="str">
        <f>[22]С6!F12</f>
        <v>-</v>
      </c>
    </row>
    <row r="24" spans="1:3" ht="13.5" thickBot="1">
      <c r="A24" s="1"/>
    </row>
    <row r="25" spans="1:3">
      <c r="A25" s="15" t="s">
        <v>4</v>
      </c>
      <c r="B25" s="28" t="s">
        <v>5</v>
      </c>
      <c r="C25" s="16" t="s">
        <v>6</v>
      </c>
    </row>
    <row r="26" spans="1:3">
      <c r="A26" s="18">
        <v>1</v>
      </c>
      <c r="B26" s="29">
        <v>2</v>
      </c>
      <c r="C26" s="30">
        <v>3</v>
      </c>
    </row>
    <row r="27" spans="1:3" ht="40.5" customHeight="1">
      <c r="A27" s="21">
        <v>1</v>
      </c>
      <c r="B27" s="144" t="s">
        <v>20</v>
      </c>
      <c r="C27" s="144"/>
    </row>
    <row r="28" spans="1:3">
      <c r="A28" s="21" t="s">
        <v>8</v>
      </c>
      <c r="B28" s="31" t="s">
        <v>229</v>
      </c>
      <c r="C28" s="32">
        <f>[22]С1.1!E16</f>
        <v>5100</v>
      </c>
    </row>
    <row r="29" spans="1:3" ht="42.75">
      <c r="A29" s="21" t="s">
        <v>10</v>
      </c>
      <c r="B29" s="31" t="s">
        <v>230</v>
      </c>
      <c r="C29" s="32">
        <f>[22]С1.1!E27</f>
        <v>3040.68</v>
      </c>
    </row>
    <row r="30" spans="1:3" ht="17.25">
      <c r="A30" s="21" t="s">
        <v>12</v>
      </c>
      <c r="B30" s="31" t="s">
        <v>29</v>
      </c>
      <c r="C30" s="34">
        <f>[22]С1.1!E19</f>
        <v>-0.19900000000000001</v>
      </c>
    </row>
    <row r="31" spans="1:3" ht="17.25">
      <c r="A31" s="21" t="s">
        <v>14</v>
      </c>
      <c r="B31" s="31" t="s">
        <v>30</v>
      </c>
      <c r="C31" s="34">
        <f>[22]С1.1!E20</f>
        <v>5.7000000000000002E-2</v>
      </c>
    </row>
    <row r="32" spans="1:3" ht="30">
      <c r="A32" s="21" t="s">
        <v>16</v>
      </c>
      <c r="B32" s="35" t="s">
        <v>231</v>
      </c>
      <c r="C32" s="117">
        <f>[22]С1!F13</f>
        <v>176.4</v>
      </c>
    </row>
    <row r="33" spans="1:3">
      <c r="A33" s="21" t="s">
        <v>18</v>
      </c>
      <c r="B33" s="35" t="s">
        <v>32</v>
      </c>
      <c r="C33" s="37">
        <f>[22]С1!F16</f>
        <v>7000</v>
      </c>
    </row>
    <row r="34" spans="1:3" ht="14.25">
      <c r="A34" s="21" t="s">
        <v>33</v>
      </c>
      <c r="B34" s="39" t="s">
        <v>232</v>
      </c>
      <c r="C34" s="40">
        <f>[22]С1!F17</f>
        <v>0.72857142857142854</v>
      </c>
    </row>
    <row r="35" spans="1:3" ht="15.75">
      <c r="A35" s="118" t="s">
        <v>35</v>
      </c>
      <c r="B35" s="42" t="s">
        <v>36</v>
      </c>
      <c r="C35" s="40">
        <f>[22]С1!F20</f>
        <v>21.588411179999994</v>
      </c>
    </row>
    <row r="36" spans="1:3" ht="15.75">
      <c r="A36" s="118" t="s">
        <v>37</v>
      </c>
      <c r="B36" s="43" t="s">
        <v>38</v>
      </c>
      <c r="C36" s="40">
        <f>[22]С1!F21</f>
        <v>20.818139999999996</v>
      </c>
    </row>
    <row r="37" spans="1:3" ht="14.25">
      <c r="A37" s="118" t="s">
        <v>39</v>
      </c>
      <c r="B37" s="44" t="s">
        <v>40</v>
      </c>
      <c r="C37" s="40">
        <f>[22]С1!F22</f>
        <v>1.0369999999999999</v>
      </c>
    </row>
    <row r="38" spans="1:3" ht="53.25" thickBot="1">
      <c r="A38" s="26" t="s">
        <v>41</v>
      </c>
      <c r="B38" s="45" t="s">
        <v>42</v>
      </c>
      <c r="C38" s="46">
        <f>[22]С1!F23</f>
        <v>1.0469999999999999</v>
      </c>
    </row>
    <row r="39" spans="1:3" ht="13.5" thickBot="1">
      <c r="A39" s="47"/>
      <c r="B39" s="119"/>
      <c r="C39" s="120"/>
    </row>
    <row r="40" spans="1:3" ht="40.5" customHeight="1">
      <c r="A40" s="49" t="s">
        <v>43</v>
      </c>
      <c r="B40" s="145" t="s">
        <v>44</v>
      </c>
      <c r="C40" s="145"/>
    </row>
    <row r="41" spans="1:3" ht="25.5">
      <c r="A41" s="21" t="s">
        <v>45</v>
      </c>
      <c r="B41" s="35" t="s">
        <v>46</v>
      </c>
      <c r="C41" s="50" t="str">
        <f>[22]С2.1!E12</f>
        <v>V</v>
      </c>
    </row>
    <row r="42" spans="1:3" ht="25.5">
      <c r="A42" s="21" t="s">
        <v>47</v>
      </c>
      <c r="B42" s="31" t="s">
        <v>48</v>
      </c>
      <c r="C42" s="50" t="str">
        <f>[22]С2.1!E13</f>
        <v>6 и менее баллов</v>
      </c>
    </row>
    <row r="43" spans="1:3" ht="25.5">
      <c r="A43" s="21" t="s">
        <v>49</v>
      </c>
      <c r="B43" s="31" t="s">
        <v>233</v>
      </c>
      <c r="C43" s="50" t="str">
        <f>[22]С2.1!E14</f>
        <v>от 200 до 500</v>
      </c>
    </row>
    <row r="44" spans="1:3" ht="25.5">
      <c r="A44" s="21" t="s">
        <v>51</v>
      </c>
      <c r="B44" s="31" t="s">
        <v>234</v>
      </c>
      <c r="C44" s="51" t="str">
        <f>[22]С2.1!E15</f>
        <v>нет</v>
      </c>
    </row>
    <row r="45" spans="1:3" ht="30">
      <c r="A45" s="21" t="s">
        <v>53</v>
      </c>
      <c r="B45" s="31" t="s">
        <v>54</v>
      </c>
      <c r="C45" s="32">
        <f>[22]С2!F18</f>
        <v>35106.652004551666</v>
      </c>
    </row>
    <row r="46" spans="1:3" ht="30">
      <c r="A46" s="21" t="s">
        <v>55</v>
      </c>
      <c r="B46" s="52" t="s">
        <v>56</v>
      </c>
      <c r="C46" s="32">
        <f>IF([22]С2!F19&gt;0,[22]С2!F19,[22]С2!F20)</f>
        <v>23441.524932855718</v>
      </c>
    </row>
    <row r="47" spans="1:3" ht="25.5">
      <c r="A47" s="21" t="s">
        <v>57</v>
      </c>
      <c r="B47" s="53" t="s">
        <v>58</v>
      </c>
      <c r="C47" s="32">
        <f>[22]С2.1!E19</f>
        <v>-38</v>
      </c>
    </row>
    <row r="48" spans="1:3" ht="25.5">
      <c r="A48" s="21" t="s">
        <v>59</v>
      </c>
      <c r="B48" s="53" t="s">
        <v>60</v>
      </c>
      <c r="C48" s="32" t="str">
        <f>[22]С2.1!E22</f>
        <v>нет</v>
      </c>
    </row>
    <row r="49" spans="1:3" ht="38.25">
      <c r="A49" s="21" t="s">
        <v>61</v>
      </c>
      <c r="B49" s="54" t="s">
        <v>62</v>
      </c>
      <c r="C49" s="32">
        <f>[22]С2.2!E10</f>
        <v>1287</v>
      </c>
    </row>
    <row r="50" spans="1:3" ht="25.5">
      <c r="A50" s="21" t="s">
        <v>63</v>
      </c>
      <c r="B50" s="55" t="s">
        <v>64</v>
      </c>
      <c r="C50" s="32">
        <f>[22]С2.2!E12</f>
        <v>5.97</v>
      </c>
    </row>
    <row r="51" spans="1:3" ht="52.5">
      <c r="A51" s="21" t="s">
        <v>65</v>
      </c>
      <c r="B51" s="56" t="s">
        <v>66</v>
      </c>
      <c r="C51" s="32">
        <f>[22]С2.2!E13</f>
        <v>1</v>
      </c>
    </row>
    <row r="52" spans="1:3" ht="27.75">
      <c r="A52" s="21" t="s">
        <v>67</v>
      </c>
      <c r="B52" s="55" t="s">
        <v>68</v>
      </c>
      <c r="C52" s="32">
        <f>[22]С2.2!E14</f>
        <v>12104</v>
      </c>
    </row>
    <row r="53" spans="1:3" ht="25.5">
      <c r="A53" s="21" t="s">
        <v>69</v>
      </c>
      <c r="B53" s="56" t="s">
        <v>70</v>
      </c>
      <c r="C53" s="34">
        <f>[22]С2.2!E15</f>
        <v>4.8000000000000001E-2</v>
      </c>
    </row>
    <row r="54" spans="1:3">
      <c r="A54" s="21" t="s">
        <v>71</v>
      </c>
      <c r="B54" s="56" t="s">
        <v>72</v>
      </c>
      <c r="C54" s="32">
        <f>[22]С2.2!E16</f>
        <v>1</v>
      </c>
    </row>
    <row r="55" spans="1:3" ht="15.75">
      <c r="A55" s="21" t="s">
        <v>73</v>
      </c>
      <c r="B55" s="58" t="s">
        <v>74</v>
      </c>
      <c r="C55" s="32">
        <f>[22]С2!F21</f>
        <v>1</v>
      </c>
    </row>
    <row r="56" spans="1:3" ht="30">
      <c r="A56" s="59" t="s">
        <v>75</v>
      </c>
      <c r="B56" s="31" t="s">
        <v>235</v>
      </c>
      <c r="C56" s="32">
        <f>[22]С2!F13</f>
        <v>183796.83936385796</v>
      </c>
    </row>
    <row r="57" spans="1:3" ht="30">
      <c r="A57" s="59" t="s">
        <v>77</v>
      </c>
      <c r="B57" s="58" t="s">
        <v>236</v>
      </c>
      <c r="C57" s="32">
        <f>[22]С2!F14</f>
        <v>113455</v>
      </c>
    </row>
    <row r="58" spans="1:3" ht="15.75">
      <c r="A58" s="59" t="s">
        <v>79</v>
      </c>
      <c r="B58" s="60" t="s">
        <v>80</v>
      </c>
      <c r="C58" s="40">
        <f>[22]С2!F15</f>
        <v>1.071</v>
      </c>
    </row>
    <row r="59" spans="1:3" ht="15.75">
      <c r="A59" s="59" t="s">
        <v>81</v>
      </c>
      <c r="B59" s="60" t="s">
        <v>82</v>
      </c>
      <c r="C59" s="40">
        <f>[22]С2!F16</f>
        <v>1</v>
      </c>
    </row>
    <row r="60" spans="1:3" ht="17.25">
      <c r="A60" s="59" t="s">
        <v>83</v>
      </c>
      <c r="B60" s="58" t="s">
        <v>84</v>
      </c>
      <c r="C60" s="32">
        <f>[22]С2!F17</f>
        <v>1.01</v>
      </c>
    </row>
    <row r="61" spans="1:3" s="65" customFormat="1" ht="14.25">
      <c r="A61" s="59" t="s">
        <v>85</v>
      </c>
      <c r="B61" s="63" t="s">
        <v>86</v>
      </c>
      <c r="C61" s="64">
        <f>[22]С2!F33</f>
        <v>10</v>
      </c>
    </row>
    <row r="62" spans="1:3" ht="30">
      <c r="A62" s="59" t="s">
        <v>87</v>
      </c>
      <c r="B62" s="66" t="s">
        <v>88</v>
      </c>
      <c r="C62" s="32">
        <f>[22]С2!F26</f>
        <v>1867.194948000021</v>
      </c>
    </row>
    <row r="63" spans="1:3" ht="17.25">
      <c r="A63" s="59" t="s">
        <v>89</v>
      </c>
      <c r="B63" s="52" t="s">
        <v>237</v>
      </c>
      <c r="C63" s="32">
        <f>[22]С2!F27</f>
        <v>0.29684983999999998</v>
      </c>
    </row>
    <row r="64" spans="1:3" ht="17.25">
      <c r="A64" s="59" t="s">
        <v>91</v>
      </c>
      <c r="B64" s="58" t="s">
        <v>238</v>
      </c>
      <c r="C64" s="64">
        <f>[22]С2!F28</f>
        <v>4200</v>
      </c>
    </row>
    <row r="65" spans="1:3" ht="42.75">
      <c r="A65" s="59" t="s">
        <v>93</v>
      </c>
      <c r="B65" s="31" t="s">
        <v>239</v>
      </c>
      <c r="C65" s="32">
        <f>[22]С2!F22</f>
        <v>38698.422798410109</v>
      </c>
    </row>
    <row r="66" spans="1:3" ht="30">
      <c r="A66" s="59" t="s">
        <v>95</v>
      </c>
      <c r="B66" s="60" t="s">
        <v>240</v>
      </c>
      <c r="C66" s="32">
        <f>[22]С2!F23</f>
        <v>1990</v>
      </c>
    </row>
    <row r="67" spans="1:3" ht="30">
      <c r="A67" s="59" t="s">
        <v>97</v>
      </c>
      <c r="B67" s="52" t="s">
        <v>98</v>
      </c>
      <c r="C67" s="32">
        <f>[22]С2.1!E27</f>
        <v>14307.876789999998</v>
      </c>
    </row>
    <row r="68" spans="1:3" ht="38.25">
      <c r="A68" s="59" t="s">
        <v>99</v>
      </c>
      <c r="B68" s="67" t="s">
        <v>100</v>
      </c>
      <c r="C68" s="51">
        <f>[22]С2.3!E21</f>
        <v>0</v>
      </c>
    </row>
    <row r="69" spans="1:3" ht="25.5">
      <c r="A69" s="59" t="s">
        <v>101</v>
      </c>
      <c r="B69" s="68" t="s">
        <v>102</v>
      </c>
      <c r="C69" s="69">
        <f>[22]С2.3!E11</f>
        <v>9.89</v>
      </c>
    </row>
    <row r="70" spans="1:3" ht="25.5">
      <c r="A70" s="59" t="s">
        <v>103</v>
      </c>
      <c r="B70" s="68" t="s">
        <v>104</v>
      </c>
      <c r="C70" s="64">
        <f>[22]С2.3!E13</f>
        <v>300</v>
      </c>
    </row>
    <row r="71" spans="1:3" ht="25.5">
      <c r="A71" s="59" t="s">
        <v>105</v>
      </c>
      <c r="B71" s="67" t="s">
        <v>106</v>
      </c>
      <c r="C71" s="70">
        <f>IF([22]С2.3!E22&gt;0,[22]С2.3!E22,[22]С2.3!E14)</f>
        <v>61211</v>
      </c>
    </row>
    <row r="72" spans="1:3" ht="38.25">
      <c r="A72" s="59" t="s">
        <v>107</v>
      </c>
      <c r="B72" s="67" t="s">
        <v>108</v>
      </c>
      <c r="C72" s="70">
        <f>IF([22]С2.3!E23&gt;0,[22]С2.3!E23,[22]С2.3!E15)</f>
        <v>45675</v>
      </c>
    </row>
    <row r="73" spans="1:3" ht="30">
      <c r="A73" s="59" t="s">
        <v>109</v>
      </c>
      <c r="B73" s="52" t="s">
        <v>110</v>
      </c>
      <c r="C73" s="32">
        <f>[22]С2.1!E28</f>
        <v>9541.9567200000001</v>
      </c>
    </row>
    <row r="74" spans="1:3" ht="38.25">
      <c r="A74" s="59" t="s">
        <v>111</v>
      </c>
      <c r="B74" s="67" t="s">
        <v>112</v>
      </c>
      <c r="C74" s="51">
        <f>[22]С2.3!E25</f>
        <v>0</v>
      </c>
    </row>
    <row r="75" spans="1:3" ht="25.5">
      <c r="A75" s="59" t="s">
        <v>113</v>
      </c>
      <c r="B75" s="68" t="s">
        <v>114</v>
      </c>
      <c r="C75" s="69">
        <f>[22]С2.3!E12</f>
        <v>0.56000000000000005</v>
      </c>
    </row>
    <row r="76" spans="1:3" ht="25.5">
      <c r="A76" s="59" t="s">
        <v>115</v>
      </c>
      <c r="B76" s="68" t="s">
        <v>104</v>
      </c>
      <c r="C76" s="64">
        <f>[22]С2.3!E13</f>
        <v>300</v>
      </c>
    </row>
    <row r="77" spans="1:3" ht="25.5">
      <c r="A77" s="59" t="s">
        <v>116</v>
      </c>
      <c r="B77" s="71" t="s">
        <v>117</v>
      </c>
      <c r="C77" s="70">
        <f>IF([22]С2.3!E26&gt;0,[22]С2.3!E26,[22]С2.3!E16)</f>
        <v>65637</v>
      </c>
    </row>
    <row r="78" spans="1:3" ht="38.25">
      <c r="A78" s="59" t="s">
        <v>118</v>
      </c>
      <c r="B78" s="71" t="s">
        <v>119</v>
      </c>
      <c r="C78" s="70">
        <f>IF([22]С2.3!E27&gt;0,[22]С2.3!E27,[22]С2.3!E17)</f>
        <v>31684</v>
      </c>
    </row>
    <row r="79" spans="1:3" ht="17.25">
      <c r="A79" s="59" t="s">
        <v>122</v>
      </c>
      <c r="B79" s="31" t="s">
        <v>123</v>
      </c>
      <c r="C79" s="34">
        <f>[22]С2!F29</f>
        <v>9.5962865259740182E-2</v>
      </c>
    </row>
    <row r="80" spans="1:3" ht="30">
      <c r="A80" s="59" t="s">
        <v>124</v>
      </c>
      <c r="B80" s="52" t="s">
        <v>125</v>
      </c>
      <c r="C80" s="72">
        <f>[22]С2!F30</f>
        <v>8.4029304029304031E-2</v>
      </c>
    </row>
    <row r="81" spans="1:3" ht="17.25">
      <c r="A81" s="59" t="s">
        <v>126</v>
      </c>
      <c r="B81" s="73" t="s">
        <v>127</v>
      </c>
      <c r="C81" s="34">
        <f>[22]С2!F31</f>
        <v>0.13880000000000001</v>
      </c>
    </row>
    <row r="82" spans="1:3" s="65" customFormat="1" ht="18" thickBot="1">
      <c r="A82" s="74" t="s">
        <v>128</v>
      </c>
      <c r="B82" s="75" t="s">
        <v>129</v>
      </c>
      <c r="C82" s="76">
        <f>[22]С2!F32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[22]С3!F14</f>
        <v>6081.0916722812572</v>
      </c>
    </row>
    <row r="86" spans="1:3" s="65" customFormat="1" ht="42.75">
      <c r="A86" s="78" t="s">
        <v>134</v>
      </c>
      <c r="B86" s="52" t="s">
        <v>135</v>
      </c>
      <c r="C86" s="79">
        <f>[22]С3!F15</f>
        <v>0.2</v>
      </c>
    </row>
    <row r="87" spans="1:3" s="65" customFormat="1" ht="14.25">
      <c r="A87" s="78" t="s">
        <v>136</v>
      </c>
      <c r="B87" s="80" t="s">
        <v>137</v>
      </c>
      <c r="C87" s="64">
        <f>[22]С3!F18</f>
        <v>15</v>
      </c>
    </row>
    <row r="88" spans="1:3" s="65" customFormat="1" ht="17.25">
      <c r="A88" s="78" t="s">
        <v>138</v>
      </c>
      <c r="B88" s="31" t="s">
        <v>139</v>
      </c>
      <c r="C88" s="32">
        <f>[22]С3!F19</f>
        <v>3778.1614077800232</v>
      </c>
    </row>
    <row r="89" spans="1:3" s="65" customFormat="1" ht="55.5">
      <c r="A89" s="78" t="s">
        <v>140</v>
      </c>
      <c r="B89" s="52" t="s">
        <v>141</v>
      </c>
      <c r="C89" s="81">
        <f>[22]С3!F20</f>
        <v>2.1999999999999999E-2</v>
      </c>
    </row>
    <row r="90" spans="1:3" s="65" customFormat="1" ht="14.25">
      <c r="A90" s="78" t="s">
        <v>142</v>
      </c>
      <c r="B90" s="58" t="s">
        <v>86</v>
      </c>
      <c r="C90" s="64">
        <f>[22]С3!F21</f>
        <v>10</v>
      </c>
    </row>
    <row r="91" spans="1:3" s="65" customFormat="1" ht="17.25">
      <c r="A91" s="78" t="s">
        <v>143</v>
      </c>
      <c r="B91" s="31" t="s">
        <v>144</v>
      </c>
      <c r="C91" s="32">
        <f>[22]С3!F22</f>
        <v>5.6015848440000635</v>
      </c>
    </row>
    <row r="92" spans="1:3" s="65" customFormat="1" ht="55.5">
      <c r="A92" s="78" t="s">
        <v>145</v>
      </c>
      <c r="B92" s="52" t="s">
        <v>146</v>
      </c>
      <c r="C92" s="81">
        <f>[22]С3!F23</f>
        <v>3.0000000000000001E-3</v>
      </c>
    </row>
    <row r="93" spans="1:3" s="65" customFormat="1" ht="27.75" thickBot="1">
      <c r="A93" s="82" t="s">
        <v>147</v>
      </c>
      <c r="B93" s="83" t="s">
        <v>241</v>
      </c>
      <c r="C93" s="84">
        <f>[22]С3!F24</f>
        <v>1867.194948000021</v>
      </c>
    </row>
    <row r="94" spans="1:3" ht="13.5" thickBot="1">
      <c r="A94" s="47"/>
      <c r="B94" s="48"/>
      <c r="C94" s="14"/>
    </row>
    <row r="95" spans="1:3" ht="30" customHeight="1">
      <c r="A95" s="85" t="s">
        <v>148</v>
      </c>
      <c r="B95" s="145" t="s">
        <v>149</v>
      </c>
      <c r="C95" s="145"/>
    </row>
    <row r="96" spans="1:3" ht="30">
      <c r="A96" s="59" t="s">
        <v>150</v>
      </c>
      <c r="B96" s="31" t="s">
        <v>242</v>
      </c>
      <c r="C96" s="32">
        <f>[22]С4!F16</f>
        <v>1652.5</v>
      </c>
    </row>
    <row r="97" spans="1:3" ht="30">
      <c r="A97" s="59" t="s">
        <v>152</v>
      </c>
      <c r="B97" s="58" t="s">
        <v>243</v>
      </c>
      <c r="C97" s="32">
        <f>[22]С4!F17</f>
        <v>73547</v>
      </c>
    </row>
    <row r="98" spans="1:3" ht="17.25">
      <c r="A98" s="59" t="s">
        <v>154</v>
      </c>
      <c r="B98" s="58" t="s">
        <v>155</v>
      </c>
      <c r="C98" s="40">
        <f>[22]С4!F18</f>
        <v>0.02</v>
      </c>
    </row>
    <row r="99" spans="1:3" ht="30">
      <c r="A99" s="59" t="s">
        <v>156</v>
      </c>
      <c r="B99" s="58" t="s">
        <v>157</v>
      </c>
      <c r="C99" s="32">
        <f>[22]С4!F19</f>
        <v>12104</v>
      </c>
    </row>
    <row r="100" spans="1:3" ht="31.5">
      <c r="A100" s="59" t="s">
        <v>158</v>
      </c>
      <c r="B100" s="58" t="s">
        <v>159</v>
      </c>
      <c r="C100" s="40">
        <f>[22]С4!F20</f>
        <v>1.4999999999999999E-2</v>
      </c>
    </row>
    <row r="101" spans="1:3" ht="30">
      <c r="A101" s="59" t="s">
        <v>160</v>
      </c>
      <c r="B101" s="31" t="s">
        <v>244</v>
      </c>
      <c r="C101" s="32">
        <f>[22]С4!F21</f>
        <v>1933.1949342509995</v>
      </c>
    </row>
    <row r="102" spans="1:3" ht="24" customHeight="1">
      <c r="A102" s="59" t="s">
        <v>162</v>
      </c>
      <c r="B102" s="52" t="s">
        <v>163</v>
      </c>
      <c r="C102" s="33">
        <f>IF([22]С4.2!F8="да",[22]С4.2!D21,[22]С4.2!D15)</f>
        <v>0</v>
      </c>
    </row>
    <row r="103" spans="1:3" ht="68.25">
      <c r="A103" s="59" t="s">
        <v>164</v>
      </c>
      <c r="B103" s="52" t="s">
        <v>165</v>
      </c>
      <c r="C103" s="32">
        <f>[22]С4!F22</f>
        <v>3.6112641666666665</v>
      </c>
    </row>
    <row r="104" spans="1:3" ht="30">
      <c r="A104" s="59" t="s">
        <v>166</v>
      </c>
      <c r="B104" s="58" t="s">
        <v>245</v>
      </c>
      <c r="C104" s="32">
        <f>[22]С4!F23</f>
        <v>180</v>
      </c>
    </row>
    <row r="105" spans="1:3" ht="14.25">
      <c r="A105" s="59" t="s">
        <v>168</v>
      </c>
      <c r="B105" s="52" t="s">
        <v>169</v>
      </c>
      <c r="C105" s="32">
        <f>[22]С4!F24</f>
        <v>8497.1999999999989</v>
      </c>
    </row>
    <row r="106" spans="1:3" ht="14.25">
      <c r="A106" s="59" t="s">
        <v>170</v>
      </c>
      <c r="B106" s="58" t="s">
        <v>171</v>
      </c>
      <c r="C106" s="40">
        <f>[22]С4!F25</f>
        <v>0.35</v>
      </c>
    </row>
    <row r="107" spans="1:3" ht="17.25">
      <c r="A107" s="59" t="s">
        <v>172</v>
      </c>
      <c r="B107" s="31" t="s">
        <v>173</v>
      </c>
      <c r="C107" s="32">
        <f>[22]С4!F26</f>
        <v>85.988129999999998</v>
      </c>
    </row>
    <row r="108" spans="1:3" ht="25.5">
      <c r="A108" s="59" t="s">
        <v>174</v>
      </c>
      <c r="B108" s="52" t="s">
        <v>100</v>
      </c>
      <c r="C108" s="33">
        <f>[22]С4.3!E16</f>
        <v>0</v>
      </c>
    </row>
    <row r="109" spans="1:3" ht="25.5">
      <c r="A109" s="59" t="s">
        <v>175</v>
      </c>
      <c r="B109" s="52" t="s">
        <v>176</v>
      </c>
      <c r="C109" s="32">
        <f>[22]С4.3!E17</f>
        <v>20.350000000000001</v>
      </c>
    </row>
    <row r="110" spans="1:3" ht="38.25">
      <c r="A110" s="59" t="s">
        <v>177</v>
      </c>
      <c r="B110" s="52" t="s">
        <v>112</v>
      </c>
      <c r="C110" s="33">
        <f>[22]С4.3!E18</f>
        <v>0</v>
      </c>
    </row>
    <row r="111" spans="1:3">
      <c r="A111" s="59" t="s">
        <v>178</v>
      </c>
      <c r="B111" s="52" t="s">
        <v>179</v>
      </c>
      <c r="C111" s="32">
        <f>[22]С4.3!E19</f>
        <v>71.67</v>
      </c>
    </row>
    <row r="112" spans="1:3">
      <c r="A112" s="59" t="s">
        <v>180</v>
      </c>
      <c r="B112" s="58" t="s">
        <v>181</v>
      </c>
      <c r="C112" s="32">
        <f>[22]С4.3!E11</f>
        <v>1871</v>
      </c>
    </row>
    <row r="113" spans="1:3">
      <c r="A113" s="59" t="s">
        <v>182</v>
      </c>
      <c r="B113" s="58" t="s">
        <v>183</v>
      </c>
      <c r="C113" s="51">
        <f>[22]С4.3!E12</f>
        <v>1636</v>
      </c>
    </row>
    <row r="114" spans="1:3">
      <c r="A114" s="59" t="s">
        <v>184</v>
      </c>
      <c r="B114" s="58" t="s">
        <v>185</v>
      </c>
      <c r="C114" s="51">
        <f>[22]С4.3!E13</f>
        <v>204</v>
      </c>
    </row>
    <row r="115" spans="1:3" ht="30">
      <c r="A115" s="59" t="s">
        <v>186</v>
      </c>
      <c r="B115" s="31" t="s">
        <v>246</v>
      </c>
      <c r="C115" s="32">
        <f>[22]С4!F27</f>
        <v>1291.2863994686898</v>
      </c>
    </row>
    <row r="116" spans="1:3" ht="25.5">
      <c r="A116" s="59" t="s">
        <v>188</v>
      </c>
      <c r="B116" s="52" t="s">
        <v>247</v>
      </c>
      <c r="C116" s="32">
        <f>[22]С4!F28</f>
        <v>991.77142816335618</v>
      </c>
    </row>
    <row r="117" spans="1:3" ht="42.75">
      <c r="A117" s="59" t="s">
        <v>190</v>
      </c>
      <c r="B117" s="52" t="s">
        <v>191</v>
      </c>
      <c r="C117" s="32">
        <f>[22]С4!F29</f>
        <v>299.51497130533357</v>
      </c>
    </row>
    <row r="118" spans="1:3" ht="30">
      <c r="A118" s="59" t="s">
        <v>192</v>
      </c>
      <c r="B118" s="39" t="s">
        <v>193</v>
      </c>
      <c r="C118" s="32">
        <f>[22]С4!F30</f>
        <v>1723.3684791420967</v>
      </c>
    </row>
    <row r="119" spans="1:3" ht="42.75">
      <c r="A119" s="59" t="s">
        <v>248</v>
      </c>
      <c r="B119" s="89" t="s">
        <v>249</v>
      </c>
      <c r="C119" s="32">
        <f>[22]С4!F33</f>
        <v>1003.2521948736445</v>
      </c>
    </row>
    <row r="120" spans="1:3" ht="30">
      <c r="A120" s="59" t="s">
        <v>250</v>
      </c>
      <c r="B120" s="121" t="s">
        <v>251</v>
      </c>
      <c r="C120" s="32">
        <f>[22]С4!F35</f>
        <v>17.040680999999999</v>
      </c>
    </row>
    <row r="121" spans="1:3" ht="14.25">
      <c r="A121" s="59" t="s">
        <v>252</v>
      </c>
      <c r="B121" s="55" t="s">
        <v>253</v>
      </c>
      <c r="C121" s="32">
        <f>[22]С4!F36</f>
        <v>14319.9</v>
      </c>
    </row>
    <row r="122" spans="1:3" ht="28.5" thickBot="1">
      <c r="A122" s="74" t="s">
        <v>254</v>
      </c>
      <c r="B122" s="122" t="s">
        <v>255</v>
      </c>
      <c r="C122" s="84">
        <f>[22]С4!F37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[22]С5!F17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[22]С2!F37</f>
        <v>20.818139999999996</v>
      </c>
    </row>
    <row r="136" spans="1:4" ht="14.25">
      <c r="A136" s="59" t="s">
        <v>214</v>
      </c>
      <c r="B136" s="128" t="s">
        <v>215</v>
      </c>
      <c r="C136" s="32">
        <f>[22]С2!F38</f>
        <v>7</v>
      </c>
    </row>
    <row r="137" spans="1:4" ht="17.25">
      <c r="A137" s="59" t="s">
        <v>216</v>
      </c>
      <c r="B137" s="128" t="s">
        <v>217</v>
      </c>
      <c r="C137" s="32">
        <f>[22]С2!F40</f>
        <v>0.97</v>
      </c>
    </row>
    <row r="138" spans="1:4" ht="15" thickBot="1">
      <c r="A138" s="74" t="s">
        <v>218</v>
      </c>
      <c r="B138" s="129" t="s">
        <v>219</v>
      </c>
      <c r="C138" s="46">
        <f>[22]С2!F42</f>
        <v>0.35</v>
      </c>
    </row>
    <row r="139" spans="1:4" s="87" customFormat="1" ht="13.5" thickBot="1">
      <c r="A139" s="47"/>
      <c r="B139" s="48"/>
      <c r="C139" s="14"/>
    </row>
    <row r="140" spans="1:4" ht="30">
      <c r="A140" s="85" t="s">
        <v>220</v>
      </c>
      <c r="B140" s="95" t="s">
        <v>258</v>
      </c>
      <c r="C140" s="130">
        <f>[22]С2!F35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[22]С2.5!$E$11</f>
        <v>-2.9000000000000026E-2</v>
      </c>
      <c r="D143" s="87"/>
    </row>
    <row r="144" spans="1:4">
      <c r="A144" s="97"/>
      <c r="B144" s="104">
        <f>B143+1</f>
        <v>2021</v>
      </c>
      <c r="C144" s="135">
        <f>[22]С2.5!$F$11</f>
        <v>0.245</v>
      </c>
      <c r="D144" s="87"/>
    </row>
    <row r="145" spans="1:4">
      <c r="A145" s="97"/>
      <c r="B145" s="104">
        <f t="shared" ref="B145:B208" si="0">B144+1</f>
        <v>2022</v>
      </c>
      <c r="C145" s="135">
        <f>[22]С2.5!$G$11</f>
        <v>0.114</v>
      </c>
      <c r="D145" s="87"/>
    </row>
    <row r="146" spans="1:4" ht="13.5" thickBot="1">
      <c r="A146" s="97"/>
      <c r="B146" s="106">
        <f t="shared" si="0"/>
        <v>2023</v>
      </c>
      <c r="C146" s="136">
        <f>[22]С2.5!$H$11</f>
        <v>2.4E-2</v>
      </c>
      <c r="D146" s="87"/>
    </row>
    <row r="147" spans="1:4">
      <c r="A147" s="97"/>
      <c r="B147" s="137">
        <f t="shared" si="0"/>
        <v>2024</v>
      </c>
      <c r="C147" s="138">
        <f>[22]С2.5!$I$11</f>
        <v>8.5999999999999993E-2</v>
      </c>
      <c r="D147" s="87"/>
    </row>
    <row r="148" spans="1:4" hidden="1">
      <c r="A148" s="97"/>
      <c r="B148" s="104">
        <f t="shared" si="0"/>
        <v>2025</v>
      </c>
      <c r="C148" s="135">
        <f>[22]С2.5!$J$11</f>
        <v>0.21215960863291</v>
      </c>
      <c r="D148" s="87"/>
    </row>
    <row r="149" spans="1:4" hidden="1">
      <c r="A149" s="97"/>
      <c r="B149" s="104">
        <f t="shared" si="0"/>
        <v>2026</v>
      </c>
      <c r="C149" s="135">
        <f>[22]С2.5!$K$11</f>
        <v>3.5813361771260002E-2</v>
      </c>
      <c r="D149" s="87"/>
    </row>
    <row r="150" spans="1:4" hidden="1">
      <c r="A150" s="97"/>
      <c r="B150" s="104">
        <f t="shared" si="0"/>
        <v>2027</v>
      </c>
      <c r="C150" s="135">
        <f>[22]С2.5!$L$11</f>
        <v>3.2682303599220003E-2</v>
      </c>
      <c r="D150" s="87"/>
    </row>
    <row r="151" spans="1:4" hidden="1">
      <c r="A151" s="97"/>
      <c r="B151" s="104">
        <f t="shared" si="0"/>
        <v>2028</v>
      </c>
      <c r="C151" s="135">
        <f>[22]С2.5!$M$11</f>
        <v>0</v>
      </c>
      <c r="D151" s="87"/>
    </row>
    <row r="152" spans="1:4" hidden="1">
      <c r="A152" s="97"/>
      <c r="B152" s="104">
        <f t="shared" si="0"/>
        <v>2029</v>
      </c>
      <c r="C152" s="135">
        <f>[22]С2.5!$N$11</f>
        <v>0</v>
      </c>
      <c r="D152" s="87"/>
    </row>
    <row r="153" spans="1:4" hidden="1">
      <c r="A153" s="97"/>
      <c r="B153" s="104">
        <f t="shared" si="0"/>
        <v>2030</v>
      </c>
      <c r="C153" s="135">
        <f>[22]С2.5!$O$11</f>
        <v>0</v>
      </c>
      <c r="D153" s="87"/>
    </row>
    <row r="154" spans="1:4" hidden="1">
      <c r="A154" s="97"/>
      <c r="B154" s="104">
        <f t="shared" si="0"/>
        <v>2031</v>
      </c>
      <c r="C154" s="135">
        <f>[22]С2.5!$P$11</f>
        <v>0</v>
      </c>
      <c r="D154" s="87"/>
    </row>
    <row r="155" spans="1:4" hidden="1">
      <c r="A155" s="87"/>
      <c r="B155" s="104">
        <f t="shared" si="0"/>
        <v>2032</v>
      </c>
      <c r="C155" s="135">
        <f>[22]С2.5!$Q$11</f>
        <v>0</v>
      </c>
      <c r="D155" s="87"/>
    </row>
    <row r="156" spans="1:4" hidden="1">
      <c r="A156" s="87"/>
      <c r="B156" s="104">
        <f t="shared" si="0"/>
        <v>2033</v>
      </c>
      <c r="C156" s="135">
        <f>[22]С2.5!$R$11</f>
        <v>0</v>
      </c>
      <c r="D156" s="87"/>
    </row>
    <row r="157" spans="1:4" hidden="1">
      <c r="B157" s="104">
        <f t="shared" si="0"/>
        <v>2034</v>
      </c>
      <c r="C157" s="135">
        <f>[22]С2.5!$S$11</f>
        <v>0</v>
      </c>
    </row>
    <row r="158" spans="1:4" hidden="1">
      <c r="B158" s="104">
        <f t="shared" si="0"/>
        <v>2035</v>
      </c>
      <c r="C158" s="135">
        <f>[22]С2.5!$T$11</f>
        <v>0</v>
      </c>
    </row>
    <row r="159" spans="1:4" hidden="1">
      <c r="B159" s="104">
        <f t="shared" si="0"/>
        <v>2036</v>
      </c>
      <c r="C159" s="135">
        <f>[22]С2.5!$U$11</f>
        <v>0</v>
      </c>
    </row>
    <row r="160" spans="1:4" hidden="1">
      <c r="B160" s="104">
        <f t="shared" si="0"/>
        <v>2037</v>
      </c>
      <c r="C160" s="135">
        <f>[22]С2.5!$V$11</f>
        <v>0</v>
      </c>
    </row>
    <row r="161" spans="2:3" hidden="1">
      <c r="B161" s="104">
        <f t="shared" si="0"/>
        <v>2038</v>
      </c>
      <c r="C161" s="135">
        <f>[22]С2.5!$W$11</f>
        <v>0</v>
      </c>
    </row>
    <row r="162" spans="2:3" hidden="1">
      <c r="B162" s="104">
        <f t="shared" si="0"/>
        <v>2039</v>
      </c>
      <c r="C162" s="135">
        <f>[22]С2.5!$X$11</f>
        <v>0</v>
      </c>
    </row>
    <row r="163" spans="2:3" hidden="1">
      <c r="B163" s="104">
        <f t="shared" si="0"/>
        <v>2040</v>
      </c>
      <c r="C163" s="135">
        <f>[22]С2.5!$Y$11</f>
        <v>0</v>
      </c>
    </row>
    <row r="164" spans="2:3" hidden="1">
      <c r="B164" s="104">
        <f t="shared" si="0"/>
        <v>2041</v>
      </c>
      <c r="C164" s="135">
        <f>[22]С2.5!$Z$11</f>
        <v>0</v>
      </c>
    </row>
    <row r="165" spans="2:3" hidden="1">
      <c r="B165" s="104">
        <f t="shared" si="0"/>
        <v>2042</v>
      </c>
      <c r="C165" s="135">
        <f>[22]С2.5!$AA$11</f>
        <v>0</v>
      </c>
    </row>
    <row r="166" spans="2:3" hidden="1">
      <c r="B166" s="104">
        <f t="shared" si="0"/>
        <v>2043</v>
      </c>
      <c r="C166" s="135">
        <f>[22]С2.5!$AB$11</f>
        <v>0</v>
      </c>
    </row>
    <row r="167" spans="2:3" hidden="1">
      <c r="B167" s="104">
        <f t="shared" si="0"/>
        <v>2044</v>
      </c>
      <c r="C167" s="135">
        <f>[22]С2.5!$AC$11</f>
        <v>0</v>
      </c>
    </row>
    <row r="168" spans="2:3" hidden="1">
      <c r="B168" s="104">
        <f t="shared" si="0"/>
        <v>2045</v>
      </c>
      <c r="C168" s="135">
        <f>[22]С2.5!$AD$11</f>
        <v>0</v>
      </c>
    </row>
    <row r="169" spans="2:3" hidden="1">
      <c r="B169" s="104">
        <f t="shared" si="0"/>
        <v>2046</v>
      </c>
      <c r="C169" s="135">
        <f>[22]С2.5!$AE$11</f>
        <v>0</v>
      </c>
    </row>
    <row r="170" spans="2:3" hidden="1">
      <c r="B170" s="104">
        <f t="shared" si="0"/>
        <v>2047</v>
      </c>
      <c r="C170" s="135">
        <f>[22]С2.5!$AF$11</f>
        <v>0</v>
      </c>
    </row>
    <row r="171" spans="2:3" hidden="1">
      <c r="B171" s="104">
        <f t="shared" si="0"/>
        <v>2048</v>
      </c>
      <c r="C171" s="135">
        <f>[22]С2.5!$AG$11</f>
        <v>0</v>
      </c>
    </row>
    <row r="172" spans="2:3" hidden="1">
      <c r="B172" s="104">
        <f t="shared" si="0"/>
        <v>2049</v>
      </c>
      <c r="C172" s="135">
        <f>[22]С2.5!$AH$11</f>
        <v>0</v>
      </c>
    </row>
    <row r="173" spans="2:3" hidden="1">
      <c r="B173" s="104">
        <f t="shared" si="0"/>
        <v>2050</v>
      </c>
      <c r="C173" s="135">
        <f>[22]С2.5!$AI$11</f>
        <v>0</v>
      </c>
    </row>
    <row r="174" spans="2:3" hidden="1">
      <c r="B174" s="104">
        <f t="shared" si="0"/>
        <v>2051</v>
      </c>
      <c r="C174" s="135">
        <f>[22]С2.5!$AJ$11</f>
        <v>0</v>
      </c>
    </row>
    <row r="175" spans="2:3" hidden="1">
      <c r="B175" s="104">
        <f t="shared" si="0"/>
        <v>2052</v>
      </c>
      <c r="C175" s="135">
        <f>[22]С2.5!$AK$11</f>
        <v>0</v>
      </c>
    </row>
    <row r="176" spans="2:3" hidden="1">
      <c r="B176" s="104">
        <f t="shared" si="0"/>
        <v>2053</v>
      </c>
      <c r="C176" s="135">
        <f>[22]С2.5!$AL$11</f>
        <v>0</v>
      </c>
    </row>
    <row r="177" spans="2:3" hidden="1">
      <c r="B177" s="104">
        <f t="shared" si="0"/>
        <v>2054</v>
      </c>
      <c r="C177" s="135">
        <f>[22]С2.5!$AM$11</f>
        <v>0</v>
      </c>
    </row>
    <row r="178" spans="2:3" hidden="1">
      <c r="B178" s="104">
        <f t="shared" si="0"/>
        <v>2055</v>
      </c>
      <c r="C178" s="135">
        <f>[22]С2.5!$AN$11</f>
        <v>0</v>
      </c>
    </row>
    <row r="179" spans="2:3" hidden="1">
      <c r="B179" s="104">
        <f t="shared" si="0"/>
        <v>2056</v>
      </c>
      <c r="C179" s="135">
        <f>[22]С2.5!$AO$11</f>
        <v>0</v>
      </c>
    </row>
    <row r="180" spans="2:3" hidden="1">
      <c r="B180" s="104">
        <f t="shared" si="0"/>
        <v>2057</v>
      </c>
      <c r="C180" s="135">
        <f>[22]С2.5!$AP$11</f>
        <v>0</v>
      </c>
    </row>
    <row r="181" spans="2:3" hidden="1">
      <c r="B181" s="104">
        <f t="shared" si="0"/>
        <v>2058</v>
      </c>
      <c r="C181" s="135">
        <f>[22]С2.5!$AQ$11</f>
        <v>0</v>
      </c>
    </row>
    <row r="182" spans="2:3" hidden="1">
      <c r="B182" s="104">
        <f t="shared" si="0"/>
        <v>2059</v>
      </c>
      <c r="C182" s="135">
        <f>[22]С2.5!$AR$11</f>
        <v>0</v>
      </c>
    </row>
    <row r="183" spans="2:3" hidden="1">
      <c r="B183" s="104">
        <f t="shared" si="0"/>
        <v>2060</v>
      </c>
      <c r="C183" s="135">
        <f>[22]С2.5!$AS$11</f>
        <v>0</v>
      </c>
    </row>
    <row r="184" spans="2:3" hidden="1">
      <c r="B184" s="104">
        <f t="shared" si="0"/>
        <v>2061</v>
      </c>
      <c r="C184" s="135">
        <f>[22]С2.5!$AT$11</f>
        <v>0</v>
      </c>
    </row>
    <row r="185" spans="2:3" hidden="1">
      <c r="B185" s="104">
        <f t="shared" si="0"/>
        <v>2062</v>
      </c>
      <c r="C185" s="135">
        <f>[22]С2.5!$AU$11</f>
        <v>0</v>
      </c>
    </row>
    <row r="186" spans="2:3" hidden="1">
      <c r="B186" s="104">
        <f t="shared" si="0"/>
        <v>2063</v>
      </c>
      <c r="C186" s="135">
        <f>[22]С2.5!$AV$11</f>
        <v>0</v>
      </c>
    </row>
    <row r="187" spans="2:3" hidden="1">
      <c r="B187" s="104">
        <f t="shared" si="0"/>
        <v>2064</v>
      </c>
      <c r="C187" s="135">
        <f>[22]С2.5!$AW$11</f>
        <v>0</v>
      </c>
    </row>
    <row r="188" spans="2:3" hidden="1">
      <c r="B188" s="104">
        <f t="shared" si="0"/>
        <v>2065</v>
      </c>
      <c r="C188" s="135">
        <f>[22]С2.5!$AX$11</f>
        <v>0</v>
      </c>
    </row>
    <row r="189" spans="2:3" hidden="1">
      <c r="B189" s="104">
        <f t="shared" si="0"/>
        <v>2066</v>
      </c>
      <c r="C189" s="135">
        <f>[22]С2.5!$AY$11</f>
        <v>0</v>
      </c>
    </row>
    <row r="190" spans="2:3" hidden="1">
      <c r="B190" s="104">
        <f t="shared" si="0"/>
        <v>2067</v>
      </c>
      <c r="C190" s="135">
        <f>[22]С2.5!$AZ$11</f>
        <v>0</v>
      </c>
    </row>
    <row r="191" spans="2:3" hidden="1">
      <c r="B191" s="104">
        <f t="shared" si="0"/>
        <v>2068</v>
      </c>
      <c r="C191" s="135">
        <f>[22]С2.5!$BA$11</f>
        <v>0</v>
      </c>
    </row>
    <row r="192" spans="2:3" hidden="1">
      <c r="B192" s="104">
        <f t="shared" si="0"/>
        <v>2069</v>
      </c>
      <c r="C192" s="135">
        <f>[22]С2.5!$BB$11</f>
        <v>0</v>
      </c>
    </row>
    <row r="193" spans="2:3" hidden="1">
      <c r="B193" s="104">
        <f t="shared" si="0"/>
        <v>2070</v>
      </c>
      <c r="C193" s="135">
        <f>[22]С2.5!$BC$11</f>
        <v>0</v>
      </c>
    </row>
    <row r="194" spans="2:3" hidden="1">
      <c r="B194" s="104">
        <f t="shared" si="0"/>
        <v>2071</v>
      </c>
      <c r="C194" s="135">
        <f>[22]С2.5!$BD$11</f>
        <v>0</v>
      </c>
    </row>
    <row r="195" spans="2:3" hidden="1">
      <c r="B195" s="104">
        <f t="shared" si="0"/>
        <v>2072</v>
      </c>
      <c r="C195" s="135">
        <f>[22]С2.5!$BE$11</f>
        <v>0</v>
      </c>
    </row>
    <row r="196" spans="2:3" hidden="1">
      <c r="B196" s="104">
        <f t="shared" si="0"/>
        <v>2073</v>
      </c>
      <c r="C196" s="135">
        <f>[22]С2.5!$BF$11</f>
        <v>0</v>
      </c>
    </row>
    <row r="197" spans="2:3" hidden="1">
      <c r="B197" s="104">
        <f t="shared" si="0"/>
        <v>2074</v>
      </c>
      <c r="C197" s="135">
        <f>[22]С2.5!$BG$11</f>
        <v>0</v>
      </c>
    </row>
    <row r="198" spans="2:3" hidden="1">
      <c r="B198" s="104">
        <f t="shared" si="0"/>
        <v>2075</v>
      </c>
      <c r="C198" s="135">
        <f>[22]С2.5!$BH$11</f>
        <v>0</v>
      </c>
    </row>
    <row r="199" spans="2:3" hidden="1">
      <c r="B199" s="104">
        <f t="shared" si="0"/>
        <v>2076</v>
      </c>
      <c r="C199" s="135">
        <f>[22]С2.5!$BI$11</f>
        <v>0</v>
      </c>
    </row>
    <row r="200" spans="2:3" hidden="1">
      <c r="B200" s="104">
        <f t="shared" si="0"/>
        <v>2077</v>
      </c>
      <c r="C200" s="135">
        <f>[22]С2.5!$BJ$11</f>
        <v>0</v>
      </c>
    </row>
    <row r="201" spans="2:3" hidden="1">
      <c r="B201" s="104">
        <f t="shared" si="0"/>
        <v>2078</v>
      </c>
      <c r="C201" s="135">
        <f>[22]С2.5!$BK$11</f>
        <v>0</v>
      </c>
    </row>
    <row r="202" spans="2:3" hidden="1">
      <c r="B202" s="104">
        <f t="shared" si="0"/>
        <v>2079</v>
      </c>
      <c r="C202" s="135">
        <f>[22]С2.5!$BL$11</f>
        <v>0</v>
      </c>
    </row>
    <row r="203" spans="2:3" hidden="1">
      <c r="B203" s="104">
        <f t="shared" si="0"/>
        <v>2080</v>
      </c>
      <c r="C203" s="135">
        <f>[22]С2.5!$BM$11</f>
        <v>0</v>
      </c>
    </row>
    <row r="204" spans="2:3" hidden="1">
      <c r="B204" s="104">
        <f t="shared" si="0"/>
        <v>2081</v>
      </c>
      <c r="C204" s="135">
        <f>[22]С2.5!$BN$11</f>
        <v>0</v>
      </c>
    </row>
    <row r="205" spans="2:3" hidden="1">
      <c r="B205" s="104">
        <f t="shared" si="0"/>
        <v>2082</v>
      </c>
      <c r="C205" s="135">
        <f>[22]С2.5!$BO$11</f>
        <v>0</v>
      </c>
    </row>
    <row r="206" spans="2:3" hidden="1">
      <c r="B206" s="104">
        <f t="shared" si="0"/>
        <v>2083</v>
      </c>
      <c r="C206" s="135">
        <f>[22]С2.5!$BP$11</f>
        <v>0</v>
      </c>
    </row>
    <row r="207" spans="2:3" hidden="1">
      <c r="B207" s="104">
        <f t="shared" si="0"/>
        <v>2084</v>
      </c>
      <c r="C207" s="135">
        <f>[22]С2.5!$BQ$11</f>
        <v>0</v>
      </c>
    </row>
    <row r="208" spans="2:3" hidden="1">
      <c r="B208" s="104">
        <f t="shared" si="0"/>
        <v>2085</v>
      </c>
      <c r="C208" s="135">
        <f>[22]С2.5!$BR$11</f>
        <v>0</v>
      </c>
    </row>
    <row r="209" spans="2:3" hidden="1">
      <c r="B209" s="104">
        <f t="shared" ref="B209:B223" si="1">B208+1</f>
        <v>2086</v>
      </c>
      <c r="C209" s="135">
        <f>[22]С2.5!$BS$11</f>
        <v>0</v>
      </c>
    </row>
    <row r="210" spans="2:3" hidden="1">
      <c r="B210" s="104">
        <f t="shared" si="1"/>
        <v>2087</v>
      </c>
      <c r="C210" s="135">
        <f>[22]С2.5!$BT$11</f>
        <v>0</v>
      </c>
    </row>
    <row r="211" spans="2:3" hidden="1">
      <c r="B211" s="104">
        <f t="shared" si="1"/>
        <v>2088</v>
      </c>
      <c r="C211" s="135">
        <f>[22]С2.5!$BU$11</f>
        <v>0</v>
      </c>
    </row>
    <row r="212" spans="2:3" hidden="1">
      <c r="B212" s="104">
        <f t="shared" si="1"/>
        <v>2089</v>
      </c>
      <c r="C212" s="135">
        <f>[22]С2.5!$BV$11</f>
        <v>0</v>
      </c>
    </row>
    <row r="213" spans="2:3" hidden="1">
      <c r="B213" s="104">
        <f t="shared" si="1"/>
        <v>2090</v>
      </c>
      <c r="C213" s="135">
        <f>[22]С2.5!$BW$11</f>
        <v>0</v>
      </c>
    </row>
    <row r="214" spans="2:3" hidden="1">
      <c r="B214" s="104">
        <f t="shared" si="1"/>
        <v>2091</v>
      </c>
      <c r="C214" s="135">
        <f>[22]С2.5!$BX$11</f>
        <v>0</v>
      </c>
    </row>
    <row r="215" spans="2:3" hidden="1">
      <c r="B215" s="104">
        <f t="shared" si="1"/>
        <v>2092</v>
      </c>
      <c r="C215" s="135">
        <f>[22]С2.5!$BY$11</f>
        <v>0</v>
      </c>
    </row>
    <row r="216" spans="2:3" hidden="1">
      <c r="B216" s="104">
        <f t="shared" si="1"/>
        <v>2093</v>
      </c>
      <c r="C216" s="135">
        <f>[22]С2.5!$BZ$11</f>
        <v>0</v>
      </c>
    </row>
    <row r="217" spans="2:3" hidden="1">
      <c r="B217" s="104">
        <f t="shared" si="1"/>
        <v>2094</v>
      </c>
      <c r="C217" s="135">
        <f>[22]С2.5!$CA$11</f>
        <v>0</v>
      </c>
    </row>
    <row r="218" spans="2:3" hidden="1">
      <c r="B218" s="104">
        <f t="shared" si="1"/>
        <v>2095</v>
      </c>
      <c r="C218" s="135">
        <f>[22]С2.5!$CB$11</f>
        <v>0</v>
      </c>
    </row>
    <row r="219" spans="2:3" hidden="1">
      <c r="B219" s="104">
        <f t="shared" si="1"/>
        <v>2096</v>
      </c>
      <c r="C219" s="135">
        <f>[22]С2.5!$CC$11</f>
        <v>0</v>
      </c>
    </row>
    <row r="220" spans="2:3" hidden="1">
      <c r="B220" s="104">
        <f t="shared" si="1"/>
        <v>2097</v>
      </c>
      <c r="C220" s="135">
        <f>[22]С2.5!$CD$11</f>
        <v>0</v>
      </c>
    </row>
    <row r="221" spans="2:3" hidden="1">
      <c r="B221" s="104">
        <f t="shared" si="1"/>
        <v>2098</v>
      </c>
      <c r="C221" s="135">
        <f>[22]С2.5!$CE$11</f>
        <v>0</v>
      </c>
    </row>
    <row r="222" spans="2:3" hidden="1">
      <c r="B222" s="104">
        <f t="shared" si="1"/>
        <v>2099</v>
      </c>
      <c r="C222" s="135">
        <f>[22]С2.5!$CF$11</f>
        <v>0</v>
      </c>
    </row>
    <row r="223" spans="2:3" ht="13.5" hidden="1" thickBot="1">
      <c r="B223" s="106">
        <f t="shared" si="1"/>
        <v>2100</v>
      </c>
      <c r="C223" s="136">
        <f>[22]С2.5!$CG$11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5601" r:id="rId3" name="Button 1">
              <controlPr defaultSize="0" print="0" autoFill="0" autoPict="0" macro="[23]!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5602" r:id="rId4" name="Button 2">
              <controlPr defaultSize="0" print="0" autoFill="0" autoPict="0" macro="[2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3" t="s">
        <v>0</v>
      </c>
      <c r="C1" s="143"/>
    </row>
    <row r="2" spans="1:3">
      <c r="A2" s="1"/>
      <c r="B2" s="3" t="s">
        <v>1</v>
      </c>
      <c r="C2" s="4">
        <v>45317</v>
      </c>
    </row>
    <row r="3" spans="1:3">
      <c r="A3" s="1"/>
      <c r="B3" s="5" t="s">
        <v>2</v>
      </c>
      <c r="C3" s="6"/>
    </row>
    <row r="4" spans="1:3" ht="25.5">
      <c r="A4" s="7"/>
      <c r="B4" s="8" t="str">
        <f>[24]И1!D13</f>
        <v>Субъект Российской Федерации</v>
      </c>
      <c r="C4" s="9" t="str">
        <f>[24]И1!E13</f>
        <v>Новосибирская область</v>
      </c>
    </row>
    <row r="5" spans="1:3" ht="48.6" customHeight="1">
      <c r="A5" s="7"/>
      <c r="B5" s="8" t="str">
        <f>[24]И1!D14</f>
        <v>Тип муниципального образования (выберите из списка)</v>
      </c>
      <c r="C5" s="9" t="str">
        <f>[24]И1!E14</f>
        <v>село Карасево, Болотнинский муниципальный район</v>
      </c>
    </row>
    <row r="6" spans="1:3">
      <c r="A6" s="7"/>
      <c r="B6" s="8" t="str">
        <f>IF([24]И1!E15="","",[24]И1!D15)</f>
        <v/>
      </c>
      <c r="C6" s="6" t="str">
        <f>IF([24]И1!E15="","",[24]И1!E15)</f>
        <v/>
      </c>
    </row>
    <row r="7" spans="1:3">
      <c r="A7" s="7"/>
      <c r="B7" s="8" t="str">
        <f>[24]И1!D16</f>
        <v>Код ОКТМО</v>
      </c>
      <c r="C7" s="10" t="str">
        <f>[24]И1!E16</f>
        <v>50606422101</v>
      </c>
    </row>
    <row r="8" spans="1:3">
      <c r="A8" s="7"/>
      <c r="B8" s="11" t="str">
        <f>[24]И1!D17</f>
        <v>Система теплоснабжения</v>
      </c>
      <c r="C8" s="12">
        <f>[24]И1!E17</f>
        <v>0</v>
      </c>
    </row>
    <row r="9" spans="1:3">
      <c r="A9" s="7"/>
      <c r="B9" s="8" t="str">
        <f>[24]И1!D8</f>
        <v>Период регулирования (i)-й</v>
      </c>
      <c r="C9" s="13">
        <f>[24]И1!E8</f>
        <v>2024</v>
      </c>
    </row>
    <row r="10" spans="1:3">
      <c r="A10" s="7"/>
      <c r="B10" s="8" t="str">
        <f>[24]И1!D9</f>
        <v>Период регулирования (i-1)-й</v>
      </c>
      <c r="C10" s="13">
        <f>[24]И1!E9</f>
        <v>2023</v>
      </c>
    </row>
    <row r="11" spans="1:3">
      <c r="A11" s="7"/>
      <c r="B11" s="8" t="str">
        <f>[24]И1!D10</f>
        <v>Период регулирования (i-2)-й</v>
      </c>
      <c r="C11" s="13">
        <f>[24]И1!E10</f>
        <v>2022</v>
      </c>
    </row>
    <row r="12" spans="1:3">
      <c r="A12" s="7"/>
      <c r="B12" s="8" t="str">
        <f>[24]И1!D11</f>
        <v>Базовый год (б)</v>
      </c>
      <c r="C12" s="13">
        <f>[24]И1!E11</f>
        <v>2019</v>
      </c>
    </row>
    <row r="13" spans="1:3">
      <c r="A13" s="7"/>
      <c r="B13" s="8" t="str">
        <f>[24]И1!D18</f>
        <v>Вид топлива, использование которого преобладает в системе теплоснабжения</v>
      </c>
      <c r="C13" s="14" t="str">
        <f>[24]И1!E18</f>
        <v>Газ</v>
      </c>
    </row>
    <row r="14" spans="1:3" ht="26.25" customHeight="1" thickBot="1">
      <c r="A14" s="142" t="s">
        <v>3</v>
      </c>
      <c r="B14" s="142"/>
      <c r="C14" s="142"/>
    </row>
    <row r="15" spans="1:3">
      <c r="A15" s="15" t="s">
        <v>4</v>
      </c>
      <c r="B15" s="16" t="s">
        <v>5</v>
      </c>
      <c r="C15" s="17" t="s">
        <v>6</v>
      </c>
    </row>
    <row r="16" spans="1:3">
      <c r="A16" s="18">
        <v>1</v>
      </c>
      <c r="B16" s="19">
        <v>2</v>
      </c>
      <c r="C16" s="20">
        <v>3</v>
      </c>
    </row>
    <row r="17" spans="1:3">
      <c r="A17" s="21">
        <v>1</v>
      </c>
      <c r="B17" s="22" t="s">
        <v>7</v>
      </c>
      <c r="C17" s="23">
        <f>SUM(C18:C23)</f>
        <v>2938.1475319626447</v>
      </c>
    </row>
    <row r="18" spans="1:3" ht="42.75">
      <c r="A18" s="21" t="s">
        <v>8</v>
      </c>
      <c r="B18" s="24" t="s">
        <v>9</v>
      </c>
      <c r="C18" s="25">
        <f>[24]С1!F12</f>
        <v>994.35037159416254</v>
      </c>
    </row>
    <row r="19" spans="1:3" ht="42.75">
      <c r="A19" s="21" t="s">
        <v>10</v>
      </c>
      <c r="B19" s="24" t="s">
        <v>11</v>
      </c>
      <c r="C19" s="25">
        <f>[24]С2!F12</f>
        <v>1337.7636293971889</v>
      </c>
    </row>
    <row r="20" spans="1:3" ht="30">
      <c r="A20" s="21" t="s">
        <v>12</v>
      </c>
      <c r="B20" s="24" t="s">
        <v>13</v>
      </c>
      <c r="C20" s="25">
        <f>[24]С3!F12</f>
        <v>317.76353663274273</v>
      </c>
    </row>
    <row r="21" spans="1:3" ht="42.75">
      <c r="A21" s="21" t="s">
        <v>14</v>
      </c>
      <c r="B21" s="24" t="s">
        <v>15</v>
      </c>
      <c r="C21" s="25">
        <f>[24]С4!F12</f>
        <v>230.65925841771428</v>
      </c>
    </row>
    <row r="22" spans="1:3" ht="33" customHeight="1">
      <c r="A22" s="21" t="s">
        <v>16</v>
      </c>
      <c r="B22" s="24" t="s">
        <v>17</v>
      </c>
      <c r="C22" s="25">
        <f>[24]С5!F12</f>
        <v>57.61073592083617</v>
      </c>
    </row>
    <row r="23" spans="1:3" ht="45.75" customHeight="1" thickBot="1">
      <c r="A23" s="26" t="s">
        <v>18</v>
      </c>
      <c r="B23" s="140" t="s">
        <v>19</v>
      </c>
      <c r="C23" s="27">
        <f>[24]С6!F12</f>
        <v>0</v>
      </c>
    </row>
    <row r="24" spans="1:3" ht="13.5" thickBot="1">
      <c r="A24" s="1"/>
      <c r="C24" s="6"/>
    </row>
    <row r="25" spans="1:3">
      <c r="A25" s="15" t="s">
        <v>4</v>
      </c>
      <c r="B25" s="28" t="s">
        <v>5</v>
      </c>
      <c r="C25" s="16" t="s">
        <v>6</v>
      </c>
    </row>
    <row r="26" spans="1:3">
      <c r="A26" s="18">
        <v>1</v>
      </c>
      <c r="B26" s="29">
        <v>2</v>
      </c>
      <c r="C26" s="30">
        <v>3</v>
      </c>
    </row>
    <row r="27" spans="1:3" ht="36" customHeight="1">
      <c r="A27" s="21">
        <v>1</v>
      </c>
      <c r="B27" s="144" t="s">
        <v>20</v>
      </c>
      <c r="C27" s="144"/>
    </row>
    <row r="28" spans="1:3">
      <c r="A28" s="21" t="s">
        <v>8</v>
      </c>
      <c r="B28" s="31" t="s">
        <v>21</v>
      </c>
      <c r="C28" s="32">
        <f>[24]С1.1!E16</f>
        <v>7900</v>
      </c>
    </row>
    <row r="29" spans="1:3" ht="42.75">
      <c r="A29" s="21" t="s">
        <v>10</v>
      </c>
      <c r="B29" s="31" t="s">
        <v>22</v>
      </c>
      <c r="C29" s="32">
        <f>[24]С1.1!E32</f>
        <v>5751.37</v>
      </c>
    </row>
    <row r="30" spans="1:3" ht="38.25">
      <c r="A30" s="21" t="s">
        <v>23</v>
      </c>
      <c r="B30" s="31" t="s">
        <v>24</v>
      </c>
      <c r="C30" s="33" t="str">
        <f>[24]С1.1!E25</f>
        <v>ООО "Газпром газораспределение Томск"</v>
      </c>
    </row>
    <row r="31" spans="1:3" ht="38.25">
      <c r="A31" s="21" t="s">
        <v>25</v>
      </c>
      <c r="B31" s="31" t="str">
        <f>[24]С1.1!D26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[24]С1.1!E26</f>
        <v>4699.5</v>
      </c>
    </row>
    <row r="32" spans="1:3" ht="25.5">
      <c r="A32" s="21" t="s">
        <v>26</v>
      </c>
      <c r="B32" s="31" t="str">
        <f>[24]С1.1!D27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[24]С1.1!E27</f>
        <v>795.43</v>
      </c>
    </row>
    <row r="33" spans="1:3" ht="25.5">
      <c r="A33" s="21" t="s">
        <v>27</v>
      </c>
      <c r="B33" s="31" t="str">
        <f>[24]С1.1!D28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[24]С1.1!E28</f>
        <v>136.54</v>
      </c>
    </row>
    <row r="34" spans="1:3" ht="38.25">
      <c r="A34" s="21" t="s">
        <v>28</v>
      </c>
      <c r="B34" s="31" t="str">
        <f>[24]С1.1!D29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[24]С1.1!E29</f>
        <v>119.9</v>
      </c>
    </row>
    <row r="35" spans="1:3" ht="17.25">
      <c r="A35" s="21" t="s">
        <v>12</v>
      </c>
      <c r="B35" s="31" t="s">
        <v>29</v>
      </c>
      <c r="C35" s="34">
        <f>[24]С1.1!E20</f>
        <v>8.5000000000000006E-2</v>
      </c>
    </row>
    <row r="36" spans="1:3" ht="17.25">
      <c r="A36" s="21" t="s">
        <v>14</v>
      </c>
      <c r="B36" s="31" t="s">
        <v>30</v>
      </c>
      <c r="C36" s="34">
        <f>[24]С1.1!E21</f>
        <v>0.112</v>
      </c>
    </row>
    <row r="37" spans="1:3" ht="30">
      <c r="A37" s="21" t="s">
        <v>16</v>
      </c>
      <c r="B37" s="35" t="s">
        <v>31</v>
      </c>
      <c r="C37" s="36">
        <f>[24]С1!F13</f>
        <v>156.1</v>
      </c>
    </row>
    <row r="38" spans="1:3">
      <c r="A38" s="21" t="s">
        <v>18</v>
      </c>
      <c r="B38" s="35" t="s">
        <v>32</v>
      </c>
      <c r="C38" s="37">
        <f>[24]С1!F16</f>
        <v>7000</v>
      </c>
    </row>
    <row r="39" spans="1:3" ht="14.25">
      <c r="A39" s="38" t="s">
        <v>33</v>
      </c>
      <c r="B39" s="39" t="s">
        <v>34</v>
      </c>
      <c r="C39" s="40">
        <f>[24]С1!F17</f>
        <v>1.1285714285714286</v>
      </c>
    </row>
    <row r="40" spans="1:3" ht="15.75">
      <c r="A40" s="41" t="s">
        <v>35</v>
      </c>
      <c r="B40" s="42" t="s">
        <v>36</v>
      </c>
      <c r="C40" s="40">
        <f>[24]С1!F20</f>
        <v>22.307053372799995</v>
      </c>
    </row>
    <row r="41" spans="1:3" ht="15.75">
      <c r="A41" s="41" t="s">
        <v>37</v>
      </c>
      <c r="B41" s="43" t="s">
        <v>38</v>
      </c>
      <c r="C41" s="40">
        <f>[24]С1!F21</f>
        <v>21.531904799999996</v>
      </c>
    </row>
    <row r="42" spans="1:3" ht="14.25">
      <c r="A42" s="41" t="s">
        <v>39</v>
      </c>
      <c r="B42" s="44" t="s">
        <v>40</v>
      </c>
      <c r="C42" s="40">
        <f>[24]С1!F22</f>
        <v>1.036</v>
      </c>
    </row>
    <row r="43" spans="1:3" ht="53.25" thickBot="1">
      <c r="A43" s="26" t="s">
        <v>41</v>
      </c>
      <c r="B43" s="45" t="s">
        <v>42</v>
      </c>
      <c r="C43" s="46" t="str">
        <f>[24]С1!F23</f>
        <v>-</v>
      </c>
    </row>
    <row r="44" spans="1:3" ht="13.5" thickBot="1">
      <c r="A44" s="47"/>
      <c r="B44" s="48"/>
      <c r="C44" s="14"/>
    </row>
    <row r="45" spans="1:3" ht="36" customHeight="1">
      <c r="A45" s="49" t="s">
        <v>43</v>
      </c>
      <c r="B45" s="145" t="s">
        <v>44</v>
      </c>
      <c r="C45" s="145"/>
    </row>
    <row r="46" spans="1:3" ht="25.5">
      <c r="A46" s="21" t="s">
        <v>45</v>
      </c>
      <c r="B46" s="35" t="s">
        <v>46</v>
      </c>
      <c r="C46" s="50" t="str">
        <f>[24]С2.1!E12</f>
        <v>V</v>
      </c>
    </row>
    <row r="47" spans="1:3" ht="25.5">
      <c r="A47" s="21" t="s">
        <v>47</v>
      </c>
      <c r="B47" s="31" t="s">
        <v>48</v>
      </c>
      <c r="C47" s="50" t="str">
        <f>[24]С2.1!E13</f>
        <v>6 и менее баллов</v>
      </c>
    </row>
    <row r="48" spans="1:3" ht="25.5">
      <c r="A48" s="21" t="s">
        <v>49</v>
      </c>
      <c r="B48" s="31" t="s">
        <v>50</v>
      </c>
      <c r="C48" s="50" t="str">
        <f>[24]С2.1!E14</f>
        <v>от 200 до 500</v>
      </c>
    </row>
    <row r="49" spans="1:3" ht="25.5">
      <c r="A49" s="21" t="s">
        <v>51</v>
      </c>
      <c r="B49" s="31" t="s">
        <v>52</v>
      </c>
      <c r="C49" s="51" t="str">
        <f>[24]С2.1!E15</f>
        <v>нет</v>
      </c>
    </row>
    <row r="50" spans="1:3" ht="30">
      <c r="A50" s="21" t="s">
        <v>53</v>
      </c>
      <c r="B50" s="31" t="s">
        <v>54</v>
      </c>
      <c r="C50" s="32">
        <f>[24]С2!F18</f>
        <v>35106.652004551666</v>
      </c>
    </row>
    <row r="51" spans="1:3" ht="30">
      <c r="A51" s="21" t="s">
        <v>55</v>
      </c>
      <c r="B51" s="52" t="s">
        <v>56</v>
      </c>
      <c r="C51" s="32">
        <f>IF([24]С2!F19&gt;0,[24]С2!F19,[24]С2!F20)</f>
        <v>23441.524932855718</v>
      </c>
    </row>
    <row r="52" spans="1:3" ht="25.5">
      <c r="A52" s="21" t="s">
        <v>57</v>
      </c>
      <c r="B52" s="53" t="s">
        <v>58</v>
      </c>
      <c r="C52" s="32">
        <f>[24]С2.1!E20</f>
        <v>-38</v>
      </c>
    </row>
    <row r="53" spans="1:3" ht="25.5">
      <c r="A53" s="21" t="s">
        <v>59</v>
      </c>
      <c r="B53" s="53" t="s">
        <v>60</v>
      </c>
      <c r="C53" s="32" t="str">
        <f>[24]С2.1!E23</f>
        <v>нет</v>
      </c>
    </row>
    <row r="54" spans="1:3" ht="38.25">
      <c r="A54" s="21" t="s">
        <v>61</v>
      </c>
      <c r="B54" s="54" t="s">
        <v>62</v>
      </c>
      <c r="C54" s="32">
        <f>[24]С2.2!E10</f>
        <v>1287</v>
      </c>
    </row>
    <row r="55" spans="1:3" ht="25.5">
      <c r="A55" s="21" t="s">
        <v>63</v>
      </c>
      <c r="B55" s="55" t="s">
        <v>64</v>
      </c>
      <c r="C55" s="32">
        <f>[24]С2.2!E12</f>
        <v>5.97</v>
      </c>
    </row>
    <row r="56" spans="1:3" ht="52.5">
      <c r="A56" s="21" t="s">
        <v>65</v>
      </c>
      <c r="B56" s="56" t="s">
        <v>66</v>
      </c>
      <c r="C56" s="32">
        <f>[24]С2.2!E13</f>
        <v>1</v>
      </c>
    </row>
    <row r="57" spans="1:3" ht="27.75">
      <c r="A57" s="21" t="s">
        <v>67</v>
      </c>
      <c r="B57" s="55" t="s">
        <v>68</v>
      </c>
      <c r="C57" s="32">
        <f>[24]С2.2!E14</f>
        <v>12104</v>
      </c>
    </row>
    <row r="58" spans="1:3" ht="25.5">
      <c r="A58" s="21" t="s">
        <v>69</v>
      </c>
      <c r="B58" s="56" t="s">
        <v>70</v>
      </c>
      <c r="C58" s="34">
        <f>[24]С2.2!E15</f>
        <v>4.8000000000000001E-2</v>
      </c>
    </row>
    <row r="59" spans="1:3">
      <c r="A59" s="21" t="s">
        <v>71</v>
      </c>
      <c r="B59" s="56" t="s">
        <v>72</v>
      </c>
      <c r="C59" s="57">
        <f>[24]С2.2!E16</f>
        <v>1</v>
      </c>
    </row>
    <row r="60" spans="1:3" ht="15.75">
      <c r="A60" s="21" t="s">
        <v>73</v>
      </c>
      <c r="B60" s="58" t="s">
        <v>74</v>
      </c>
      <c r="C60" s="32">
        <f>[24]С2!F21</f>
        <v>1</v>
      </c>
    </row>
    <row r="61" spans="1:3" ht="30">
      <c r="A61" s="59" t="s">
        <v>75</v>
      </c>
      <c r="B61" s="31" t="s">
        <v>76</v>
      </c>
      <c r="C61" s="32">
        <f>[24]С2!F13</f>
        <v>105136.23090983224</v>
      </c>
    </row>
    <row r="62" spans="1:3" ht="30">
      <c r="A62" s="59" t="s">
        <v>77</v>
      </c>
      <c r="B62" s="60" t="s">
        <v>78</v>
      </c>
      <c r="C62" s="32">
        <f>[24]С2!F14</f>
        <v>64899</v>
      </c>
    </row>
    <row r="63" spans="1:3" ht="15.75">
      <c r="A63" s="59" t="s">
        <v>79</v>
      </c>
      <c r="B63" s="60" t="s">
        <v>80</v>
      </c>
      <c r="C63" s="40">
        <f>[24]С2!F15</f>
        <v>1.071</v>
      </c>
    </row>
    <row r="64" spans="1:3" ht="15.75">
      <c r="A64" s="59" t="s">
        <v>81</v>
      </c>
      <c r="B64" s="60" t="s">
        <v>82</v>
      </c>
      <c r="C64" s="61">
        <f>[24]С2!F16</f>
        <v>1</v>
      </c>
    </row>
    <row r="65" spans="1:3" ht="17.25">
      <c r="A65" s="59" t="s">
        <v>83</v>
      </c>
      <c r="B65" s="60" t="s">
        <v>84</v>
      </c>
      <c r="C65" s="62">
        <f>[24]С2!F17</f>
        <v>1.01</v>
      </c>
    </row>
    <row r="66" spans="1:3" s="65" customFormat="1" ht="14.25">
      <c r="A66" s="59" t="s">
        <v>85</v>
      </c>
      <c r="B66" s="63" t="s">
        <v>86</v>
      </c>
      <c r="C66" s="64">
        <f>[24]С2!F35</f>
        <v>10</v>
      </c>
    </row>
    <row r="67" spans="1:3" ht="30">
      <c r="A67" s="59" t="s">
        <v>87</v>
      </c>
      <c r="B67" s="66" t="s">
        <v>88</v>
      </c>
      <c r="C67" s="32">
        <f>[24]С2!F28</f>
        <v>222.28511285714538</v>
      </c>
    </row>
    <row r="68" spans="1:3" ht="17.25">
      <c r="A68" s="59" t="s">
        <v>89</v>
      </c>
      <c r="B68" s="52" t="s">
        <v>90</v>
      </c>
      <c r="C68" s="40">
        <f>[24]С2!F29</f>
        <v>0.29684983999999998</v>
      </c>
    </row>
    <row r="69" spans="1:3" ht="17.25">
      <c r="A69" s="59" t="s">
        <v>91</v>
      </c>
      <c r="B69" s="58" t="s">
        <v>92</v>
      </c>
      <c r="C69" s="64">
        <f>[24]С2!F30</f>
        <v>500</v>
      </c>
    </row>
    <row r="70" spans="1:3" ht="42.75">
      <c r="A70" s="59" t="s">
        <v>93</v>
      </c>
      <c r="B70" s="31" t="s">
        <v>94</v>
      </c>
      <c r="C70" s="32">
        <f>[24]С2!F22</f>
        <v>39638.324046481182</v>
      </c>
    </row>
    <row r="71" spans="1:3" ht="30">
      <c r="A71" s="59" t="s">
        <v>95</v>
      </c>
      <c r="B71" s="60" t="s">
        <v>96</v>
      </c>
      <c r="C71" s="32">
        <f>[24]С2!F23</f>
        <v>21</v>
      </c>
    </row>
    <row r="72" spans="1:3" ht="30">
      <c r="A72" s="59" t="s">
        <v>97</v>
      </c>
      <c r="B72" s="52" t="s">
        <v>98</v>
      </c>
      <c r="C72" s="32">
        <f>[24]С2.1!E28</f>
        <v>14036.09995</v>
      </c>
    </row>
    <row r="73" spans="1:3" ht="38.25">
      <c r="A73" s="59" t="s">
        <v>99</v>
      </c>
      <c r="B73" s="67" t="s">
        <v>100</v>
      </c>
      <c r="C73" s="51">
        <f>[24]С2.3!E21</f>
        <v>0</v>
      </c>
    </row>
    <row r="74" spans="1:3" ht="25.5">
      <c r="A74" s="59" t="s">
        <v>101</v>
      </c>
      <c r="B74" s="68" t="s">
        <v>102</v>
      </c>
      <c r="C74" s="69">
        <f>[24]С2.3!E11</f>
        <v>5.45</v>
      </c>
    </row>
    <row r="75" spans="1:3" ht="25.5">
      <c r="A75" s="59" t="s">
        <v>103</v>
      </c>
      <c r="B75" s="68" t="s">
        <v>104</v>
      </c>
      <c r="C75" s="64">
        <f>[24]С2.3!E13</f>
        <v>300</v>
      </c>
    </row>
    <row r="76" spans="1:3" ht="25.5">
      <c r="A76" s="59" t="s">
        <v>105</v>
      </c>
      <c r="B76" s="67" t="s">
        <v>106</v>
      </c>
      <c r="C76" s="70">
        <f>IF([24]С2.3!E22&gt;0,[24]С2.3!E22,[24]С2.3!E14)</f>
        <v>61211</v>
      </c>
    </row>
    <row r="77" spans="1:3" ht="38.25">
      <c r="A77" s="59" t="s">
        <v>107</v>
      </c>
      <c r="B77" s="67" t="s">
        <v>108</v>
      </c>
      <c r="C77" s="70">
        <f>IF([24]С2.3!E23&gt;0,[24]С2.3!E23,[24]С2.3!E15)</f>
        <v>45675</v>
      </c>
    </row>
    <row r="78" spans="1:3" ht="30">
      <c r="A78" s="59" t="s">
        <v>109</v>
      </c>
      <c r="B78" s="52" t="s">
        <v>110</v>
      </c>
      <c r="C78" s="32">
        <f>[24]С2.1!E29</f>
        <v>9518.3274000000001</v>
      </c>
    </row>
    <row r="79" spans="1:3" ht="38.25">
      <c r="A79" s="59" t="s">
        <v>111</v>
      </c>
      <c r="B79" s="67" t="s">
        <v>112</v>
      </c>
      <c r="C79" s="51">
        <f>[24]С2.3!E25</f>
        <v>0</v>
      </c>
    </row>
    <row r="80" spans="1:3" ht="25.5">
      <c r="A80" s="59" t="s">
        <v>113</v>
      </c>
      <c r="B80" s="68" t="s">
        <v>114</v>
      </c>
      <c r="C80" s="69">
        <f>[24]С2.3!E12</f>
        <v>0.2</v>
      </c>
    </row>
    <row r="81" spans="1:3" ht="25.5">
      <c r="A81" s="59" t="s">
        <v>115</v>
      </c>
      <c r="B81" s="68" t="s">
        <v>104</v>
      </c>
      <c r="C81" s="64">
        <f>[24]С2.3!E13</f>
        <v>300</v>
      </c>
    </row>
    <row r="82" spans="1:3" ht="25.5">
      <c r="A82" s="59" t="s">
        <v>116</v>
      </c>
      <c r="B82" s="71" t="s">
        <v>117</v>
      </c>
      <c r="C82" s="70">
        <f>IF([24]С2.3!E26&gt;0,[24]С2.3!E26,[24]С2.3!E16)</f>
        <v>65637</v>
      </c>
    </row>
    <row r="83" spans="1:3" ht="38.25">
      <c r="A83" s="59" t="s">
        <v>118</v>
      </c>
      <c r="B83" s="71" t="s">
        <v>119</v>
      </c>
      <c r="C83" s="70">
        <f>IF([24]С2.3!E27&gt;0,[24]С2.3!E27,[24]С2.3!E17)</f>
        <v>31684</v>
      </c>
    </row>
    <row r="84" spans="1:3" ht="30">
      <c r="A84" s="59" t="s">
        <v>120</v>
      </c>
      <c r="B84" s="60" t="s">
        <v>121</v>
      </c>
      <c r="C84" s="70">
        <f>IF([24]С2.1!E19&gt;0,[24]С2.1!E19,[24]С2!F26)</f>
        <v>2892</v>
      </c>
    </row>
    <row r="85" spans="1:3" ht="17.25">
      <c r="A85" s="59" t="s">
        <v>122</v>
      </c>
      <c r="B85" s="31" t="s">
        <v>123</v>
      </c>
      <c r="C85" s="34">
        <f>[24]С2!F31</f>
        <v>9.5962865259740182E-2</v>
      </c>
    </row>
    <row r="86" spans="1:3" ht="30">
      <c r="A86" s="59" t="s">
        <v>124</v>
      </c>
      <c r="B86" s="52" t="s">
        <v>125</v>
      </c>
      <c r="C86" s="72">
        <f>[24]С2!F32</f>
        <v>8.4029304029304031E-2</v>
      </c>
    </row>
    <row r="87" spans="1:3" ht="17.25">
      <c r="A87" s="59" t="s">
        <v>126</v>
      </c>
      <c r="B87" s="73" t="s">
        <v>127</v>
      </c>
      <c r="C87" s="34">
        <f>[24]С2!F33</f>
        <v>0.13880000000000001</v>
      </c>
    </row>
    <row r="88" spans="1:3" s="65" customFormat="1" ht="18" thickBot="1">
      <c r="A88" s="74" t="s">
        <v>128</v>
      </c>
      <c r="B88" s="75" t="s">
        <v>129</v>
      </c>
      <c r="C88" s="76">
        <f>[24]С2!F34</f>
        <v>0.12640000000000001</v>
      </c>
    </row>
    <row r="89" spans="1:3" ht="13.5" thickBot="1">
      <c r="A89" s="47"/>
      <c r="B89" s="48"/>
      <c r="C89" s="14"/>
    </row>
    <row r="90" spans="1:3" s="65" customFormat="1" ht="30" customHeight="1">
      <c r="A90" s="77" t="s">
        <v>130</v>
      </c>
      <c r="B90" s="145" t="s">
        <v>131</v>
      </c>
      <c r="C90" s="145"/>
    </row>
    <row r="91" spans="1:3" s="65" customFormat="1" ht="30">
      <c r="A91" s="78" t="s">
        <v>132</v>
      </c>
      <c r="B91" s="31" t="s">
        <v>133</v>
      </c>
      <c r="C91" s="32">
        <f>[24]С3!F14</f>
        <v>4203.1296622562686</v>
      </c>
    </row>
    <row r="92" spans="1:3" s="65" customFormat="1" ht="42.75">
      <c r="A92" s="78" t="s">
        <v>134</v>
      </c>
      <c r="B92" s="52" t="s">
        <v>135</v>
      </c>
      <c r="C92" s="79">
        <f>[24]С3!F15</f>
        <v>0.2</v>
      </c>
    </row>
    <row r="93" spans="1:3" s="65" customFormat="1" ht="14.25">
      <c r="A93" s="78" t="s">
        <v>136</v>
      </c>
      <c r="B93" s="80" t="s">
        <v>137</v>
      </c>
      <c r="C93" s="64">
        <f>[24]С3!F18</f>
        <v>15</v>
      </c>
    </row>
    <row r="94" spans="1:3" s="65" customFormat="1" ht="17.25">
      <c r="A94" s="78" t="s">
        <v>138</v>
      </c>
      <c r="B94" s="31" t="s">
        <v>139</v>
      </c>
      <c r="C94" s="32">
        <f>[24]С3!F19</f>
        <v>2638.2577020926874</v>
      </c>
    </row>
    <row r="95" spans="1:3" s="65" customFormat="1" ht="55.5">
      <c r="A95" s="78" t="s">
        <v>140</v>
      </c>
      <c r="B95" s="52" t="s">
        <v>141</v>
      </c>
      <c r="C95" s="81">
        <f>[24]С3!F20</f>
        <v>2.1999999999999999E-2</v>
      </c>
    </row>
    <row r="96" spans="1:3" s="65" customFormat="1" ht="14.25">
      <c r="A96" s="78" t="s">
        <v>142</v>
      </c>
      <c r="B96" s="58" t="s">
        <v>86</v>
      </c>
      <c r="C96" s="64">
        <f>[24]С3!F21</f>
        <v>10</v>
      </c>
    </row>
    <row r="97" spans="1:3" s="65" customFormat="1" ht="17.25">
      <c r="A97" s="78" t="s">
        <v>143</v>
      </c>
      <c r="B97" s="31" t="s">
        <v>144</v>
      </c>
      <c r="C97" s="32">
        <f>[24]С3!F22</f>
        <v>0.6668553385714362</v>
      </c>
    </row>
    <row r="98" spans="1:3" s="65" customFormat="1" ht="55.5">
      <c r="A98" s="78" t="s">
        <v>145</v>
      </c>
      <c r="B98" s="52" t="s">
        <v>146</v>
      </c>
      <c r="C98" s="81">
        <f>[24]С3!F23</f>
        <v>3.0000000000000001E-3</v>
      </c>
    </row>
    <row r="99" spans="1:3" s="65" customFormat="1" ht="30.75" thickBot="1">
      <c r="A99" s="82" t="s">
        <v>147</v>
      </c>
      <c r="B99" s="83" t="s">
        <v>88</v>
      </c>
      <c r="C99" s="84">
        <f>[24]С3!F24</f>
        <v>222.28511285714538</v>
      </c>
    </row>
    <row r="100" spans="1:3" ht="13.5" thickBot="1">
      <c r="A100" s="47"/>
      <c r="B100" s="48"/>
      <c r="C100" s="14"/>
    </row>
    <row r="101" spans="1:3" ht="30" customHeight="1">
      <c r="A101" s="85" t="s">
        <v>148</v>
      </c>
      <c r="B101" s="145" t="s">
        <v>149</v>
      </c>
      <c r="C101" s="145"/>
    </row>
    <row r="102" spans="1:3" ht="30">
      <c r="A102" s="59" t="s">
        <v>150</v>
      </c>
      <c r="B102" s="31" t="s">
        <v>151</v>
      </c>
      <c r="C102" s="32">
        <f>[24]С4!F16</f>
        <v>832.33500000000004</v>
      </c>
    </row>
    <row r="103" spans="1:3" ht="30">
      <c r="A103" s="59" t="s">
        <v>152</v>
      </c>
      <c r="B103" s="58" t="s">
        <v>153</v>
      </c>
      <c r="C103" s="32">
        <f>[24]С4!F17</f>
        <v>43385</v>
      </c>
    </row>
    <row r="104" spans="1:3" ht="17.25">
      <c r="A104" s="59" t="s">
        <v>154</v>
      </c>
      <c r="B104" s="58" t="s">
        <v>155</v>
      </c>
      <c r="C104" s="40">
        <f>[24]С4!F18</f>
        <v>1.4999999999999999E-2</v>
      </c>
    </row>
    <row r="105" spans="1:3" ht="30">
      <c r="A105" s="59" t="s">
        <v>156</v>
      </c>
      <c r="B105" s="58" t="s">
        <v>157</v>
      </c>
      <c r="C105" s="32">
        <f>[24]С4!F19</f>
        <v>12104</v>
      </c>
    </row>
    <row r="106" spans="1:3" ht="31.5">
      <c r="A106" s="59" t="s">
        <v>158</v>
      </c>
      <c r="B106" s="58" t="s">
        <v>159</v>
      </c>
      <c r="C106" s="40">
        <f>[24]С4!F20</f>
        <v>1.4999999999999999E-2</v>
      </c>
    </row>
    <row r="107" spans="1:3" ht="30">
      <c r="A107" s="59" t="s">
        <v>160</v>
      </c>
      <c r="B107" s="31" t="s">
        <v>161</v>
      </c>
      <c r="C107" s="32">
        <f>[24]С4!F21</f>
        <v>1221.9019409821399</v>
      </c>
    </row>
    <row r="108" spans="1:3" ht="45.6" customHeight="1">
      <c r="A108" s="59" t="s">
        <v>162</v>
      </c>
      <c r="B108" s="52" t="s">
        <v>163</v>
      </c>
      <c r="C108" s="33" t="str">
        <f>IF([24]С4.2!F8="да",[24]С4.2!D21,[24]С4.2!D15)</f>
        <v>АО "Новосибирскэнергосбыт"</v>
      </c>
    </row>
    <row r="109" spans="1:3" ht="68.25" customHeight="1">
      <c r="A109" s="59" t="s">
        <v>164</v>
      </c>
      <c r="B109" s="52" t="s">
        <v>165</v>
      </c>
      <c r="C109" s="32">
        <f>[24]С4!F22</f>
        <v>3.6112641666666665</v>
      </c>
    </row>
    <row r="110" spans="1:3" ht="30">
      <c r="A110" s="59" t="s">
        <v>166</v>
      </c>
      <c r="B110" s="58" t="s">
        <v>167</v>
      </c>
      <c r="C110" s="64">
        <f>[24]С4!F23</f>
        <v>110</v>
      </c>
    </row>
    <row r="111" spans="1:3" ht="14.25">
      <c r="A111" s="59" t="s">
        <v>168</v>
      </c>
      <c r="B111" s="52" t="s">
        <v>169</v>
      </c>
      <c r="C111" s="32">
        <f>[24]С4!F24</f>
        <v>8497.1999999999989</v>
      </c>
    </row>
    <row r="112" spans="1:3" ht="14.25">
      <c r="A112" s="59" t="s">
        <v>170</v>
      </c>
      <c r="B112" s="58" t="s">
        <v>171</v>
      </c>
      <c r="C112" s="40">
        <f>[24]С4!F25</f>
        <v>0.36199999999999999</v>
      </c>
    </row>
    <row r="113" spans="1:3" ht="17.25">
      <c r="A113" s="59" t="s">
        <v>172</v>
      </c>
      <c r="B113" s="31" t="s">
        <v>173</v>
      </c>
      <c r="C113" s="32">
        <f>[24]С4!F26</f>
        <v>40.123830000000005</v>
      </c>
    </row>
    <row r="114" spans="1:3" ht="25.5">
      <c r="A114" s="59" t="s">
        <v>174</v>
      </c>
      <c r="B114" s="52" t="s">
        <v>100</v>
      </c>
      <c r="C114" s="33">
        <f>[24]С4.3!E16</f>
        <v>0</v>
      </c>
    </row>
    <row r="115" spans="1:3" ht="25.5">
      <c r="A115" s="59" t="s">
        <v>175</v>
      </c>
      <c r="B115" s="52" t="s">
        <v>176</v>
      </c>
      <c r="C115" s="32">
        <f>[24]С4.3!E17</f>
        <v>18.059999999999999</v>
      </c>
    </row>
    <row r="116" spans="1:3" ht="38.25">
      <c r="A116" s="59" t="s">
        <v>177</v>
      </c>
      <c r="B116" s="52" t="s">
        <v>112</v>
      </c>
      <c r="C116" s="33">
        <f>[24]С4.3!E18</f>
        <v>0</v>
      </c>
    </row>
    <row r="117" spans="1:3">
      <c r="A117" s="59" t="s">
        <v>178</v>
      </c>
      <c r="B117" s="52" t="s">
        <v>179</v>
      </c>
      <c r="C117" s="32">
        <f>[24]С4.3!E19</f>
        <v>71.67</v>
      </c>
    </row>
    <row r="118" spans="1:3">
      <c r="A118" s="59" t="s">
        <v>180</v>
      </c>
      <c r="B118" s="58" t="s">
        <v>181</v>
      </c>
      <c r="C118" s="64">
        <f>[24]С4.3!E11</f>
        <v>1871</v>
      </c>
    </row>
    <row r="119" spans="1:3">
      <c r="A119" s="59" t="s">
        <v>182</v>
      </c>
      <c r="B119" s="58" t="s">
        <v>183</v>
      </c>
      <c r="C119" s="51">
        <f>[24]С4.3!E12</f>
        <v>61</v>
      </c>
    </row>
    <row r="120" spans="1:3">
      <c r="A120" s="59" t="s">
        <v>184</v>
      </c>
      <c r="B120" s="58" t="s">
        <v>185</v>
      </c>
      <c r="C120" s="51">
        <f>[24]С4.3!E13</f>
        <v>73</v>
      </c>
    </row>
    <row r="121" spans="1:3" ht="30">
      <c r="A121" s="59" t="s">
        <v>186</v>
      </c>
      <c r="B121" s="31" t="s">
        <v>187</v>
      </c>
      <c r="C121" s="32">
        <f>[24]С4!F27</f>
        <v>904.62444244124072</v>
      </c>
    </row>
    <row r="122" spans="1:3" ht="25.5">
      <c r="A122" s="59" t="s">
        <v>188</v>
      </c>
      <c r="B122" s="52" t="s">
        <v>189</v>
      </c>
      <c r="C122" s="32">
        <f>[24]С4!F28</f>
        <v>694.79603874135228</v>
      </c>
    </row>
    <row r="123" spans="1:3" ht="42.75">
      <c r="A123" s="59" t="s">
        <v>190</v>
      </c>
      <c r="B123" s="52" t="s">
        <v>191</v>
      </c>
      <c r="C123" s="32">
        <f>[24]С4!F29</f>
        <v>209.82840369988838</v>
      </c>
    </row>
    <row r="124" spans="1:3" ht="30.75" thickBot="1">
      <c r="A124" s="74" t="s">
        <v>192</v>
      </c>
      <c r="B124" s="86" t="s">
        <v>193</v>
      </c>
      <c r="C124" s="84">
        <f>[24]С4!F30</f>
        <v>475.17307267672106</v>
      </c>
    </row>
    <row r="125" spans="1:3" s="87" customFormat="1" ht="13.5" thickBot="1">
      <c r="A125" s="47"/>
      <c r="B125" s="48"/>
      <c r="C125" s="14"/>
    </row>
    <row r="126" spans="1:3" s="65" customFormat="1" ht="30" customHeight="1">
      <c r="A126" s="77" t="s">
        <v>194</v>
      </c>
      <c r="B126" s="145" t="s">
        <v>195</v>
      </c>
      <c r="C126" s="145"/>
    </row>
    <row r="127" spans="1:3" ht="30.6" customHeight="1" thickBot="1">
      <c r="A127" s="26" t="s">
        <v>196</v>
      </c>
      <c r="B127" s="86" t="s">
        <v>197</v>
      </c>
      <c r="C127" s="84">
        <f>[24]С5!F17</f>
        <v>0.02</v>
      </c>
    </row>
    <row r="128" spans="1:3" s="87" customFormat="1" ht="13.5" thickBot="1">
      <c r="A128" s="47"/>
      <c r="B128" s="48"/>
      <c r="C128" s="14"/>
    </row>
    <row r="129" spans="1:4" ht="42.75" customHeight="1">
      <c r="A129" s="85" t="s">
        <v>198</v>
      </c>
      <c r="B129" s="145" t="s">
        <v>199</v>
      </c>
      <c r="C129" s="145"/>
    </row>
    <row r="130" spans="1:4" ht="68.25">
      <c r="A130" s="59" t="s">
        <v>200</v>
      </c>
      <c r="B130" s="88" t="s">
        <v>201</v>
      </c>
      <c r="C130" s="32" t="str">
        <f>IF([24]С6.1!E11="нет",[24]С6!F13,"")</f>
        <v/>
      </c>
    </row>
    <row r="131" spans="1:4" ht="42.75">
      <c r="A131" s="59" t="s">
        <v>202</v>
      </c>
      <c r="B131" s="89" t="s">
        <v>203</v>
      </c>
      <c r="C131" s="90" t="str">
        <f>IF([24]С6.1!E12="нет",[24]С6.1!E17,"")</f>
        <v/>
      </c>
    </row>
    <row r="132" spans="1:4" ht="68.25">
      <c r="A132" s="59" t="s">
        <v>204</v>
      </c>
      <c r="B132" s="88" t="s">
        <v>205</v>
      </c>
      <c r="C132" s="91" t="str">
        <f>IF([24]С6.1!E18="нет",[24]С6!F19,"")</f>
        <v/>
      </c>
    </row>
    <row r="133" spans="1:4" ht="55.5">
      <c r="A133" s="59" t="s">
        <v>206</v>
      </c>
      <c r="B133" s="89" t="s">
        <v>207</v>
      </c>
      <c r="C133" s="34" t="str">
        <f>IF([24]С6.1!E18="нет",[24]С6.1!E19,"")</f>
        <v/>
      </c>
    </row>
    <row r="134" spans="1:4" ht="61.5" customHeight="1">
      <c r="A134" s="59" t="s">
        <v>208</v>
      </c>
      <c r="B134" s="89" t="s">
        <v>209</v>
      </c>
      <c r="C134" s="34" t="str">
        <f>IF([24]С6.1!E18="нет",[24]С6.1!E22,"")</f>
        <v/>
      </c>
    </row>
    <row r="135" spans="1:4" ht="69" thickBot="1">
      <c r="A135" s="74" t="s">
        <v>210</v>
      </c>
      <c r="B135" s="92" t="s">
        <v>211</v>
      </c>
      <c r="C135" s="76" t="str">
        <f>IF([24]С6.1!E18="нет",[24]С6.1!E23,"")</f>
        <v/>
      </c>
    </row>
    <row r="136" spans="1:4" s="87" customFormat="1" ht="13.5" thickBot="1">
      <c r="A136" s="47"/>
      <c r="B136" s="48"/>
      <c r="C136" s="14"/>
    </row>
    <row r="137" spans="1:4" ht="15.75">
      <c r="A137" s="85" t="s">
        <v>212</v>
      </c>
      <c r="B137" s="93" t="s">
        <v>213</v>
      </c>
      <c r="C137" s="94">
        <f>[24]С2!F39</f>
        <v>21.531904799999996</v>
      </c>
    </row>
    <row r="138" spans="1:4" ht="14.25">
      <c r="A138" s="59" t="s">
        <v>214</v>
      </c>
      <c r="B138" s="58" t="s">
        <v>215</v>
      </c>
      <c r="C138" s="32">
        <f>[24]С2!F40</f>
        <v>7</v>
      </c>
    </row>
    <row r="139" spans="1:4" ht="17.25">
      <c r="A139" s="59" t="s">
        <v>216</v>
      </c>
      <c r="B139" s="58" t="s">
        <v>217</v>
      </c>
      <c r="C139" s="32">
        <f>[24]С2!F42</f>
        <v>0.97</v>
      </c>
    </row>
    <row r="140" spans="1:4" ht="15" thickBot="1">
      <c r="A140" s="74" t="s">
        <v>218</v>
      </c>
      <c r="B140" s="75" t="s">
        <v>219</v>
      </c>
      <c r="C140" s="46">
        <f>[24]С2!F44</f>
        <v>0.36199999999999999</v>
      </c>
    </row>
    <row r="141" spans="1:4" s="87" customFormat="1" ht="13.5" thickBot="1">
      <c r="A141" s="47"/>
      <c r="B141" s="48"/>
      <c r="C141" s="14"/>
    </row>
    <row r="142" spans="1:4" ht="17.25">
      <c r="A142" s="85" t="s">
        <v>220</v>
      </c>
      <c r="B142" s="95" t="s">
        <v>221</v>
      </c>
      <c r="C142" s="96">
        <f>[24]С2!F37</f>
        <v>1.4976266307379205</v>
      </c>
      <c r="D142" s="87"/>
    </row>
    <row r="143" spans="1:4" ht="17.25" customHeight="1" thickBot="1">
      <c r="A143" s="74" t="s">
        <v>222</v>
      </c>
      <c r="B143" s="141" t="s">
        <v>223</v>
      </c>
      <c r="C143" s="141"/>
      <c r="D143" s="87"/>
    </row>
    <row r="144" spans="1:4">
      <c r="A144" s="97"/>
      <c r="B144" s="98" t="s">
        <v>224</v>
      </c>
      <c r="C144" s="99"/>
    </row>
    <row r="145" spans="1:3">
      <c r="A145" s="97"/>
      <c r="B145" s="100">
        <v>2020</v>
      </c>
      <c r="C145" s="101">
        <f>[24]С2.5!$E$11</f>
        <v>-2.9000000000000026E-2</v>
      </c>
    </row>
    <row r="146" spans="1:3">
      <c r="B146" s="100">
        <f>B145+1</f>
        <v>2021</v>
      </c>
      <c r="C146" s="102">
        <f>[24]С2.5!$F$11</f>
        <v>0.245</v>
      </c>
    </row>
    <row r="147" spans="1:3">
      <c r="B147" s="100">
        <f t="shared" ref="B147:B210" si="0">B146+1</f>
        <v>2022</v>
      </c>
      <c r="C147" s="103">
        <f>[24]С2.5!$G$11</f>
        <v>0.114</v>
      </c>
    </row>
    <row r="148" spans="1:3">
      <c r="B148" s="104">
        <f t="shared" si="0"/>
        <v>2023</v>
      </c>
      <c r="C148" s="105">
        <f>[24]С2.5!$H$11</f>
        <v>2.4E-2</v>
      </c>
    </row>
    <row r="149" spans="1:3" ht="13.5" thickBot="1">
      <c r="B149" s="104">
        <f t="shared" si="0"/>
        <v>2024</v>
      </c>
      <c r="C149" s="105">
        <f>[24]С2.5!$I$11</f>
        <v>8.5999999999999993E-2</v>
      </c>
    </row>
    <row r="150" spans="1:3" ht="13.5" hidden="1" thickBot="1">
      <c r="B150" s="104">
        <f t="shared" si="0"/>
        <v>2025</v>
      </c>
      <c r="C150" s="105">
        <f>[24]С2.5!$J$11</f>
        <v>0</v>
      </c>
    </row>
    <row r="151" spans="1:3" ht="13.5" hidden="1" thickBot="1">
      <c r="B151" s="104">
        <f t="shared" si="0"/>
        <v>2026</v>
      </c>
      <c r="C151" s="105">
        <f>[24]С2.5!$K$11</f>
        <v>0</v>
      </c>
    </row>
    <row r="152" spans="1:3" ht="13.5" hidden="1" thickBot="1">
      <c r="B152" s="104">
        <f t="shared" si="0"/>
        <v>2027</v>
      </c>
      <c r="C152" s="105">
        <f>[24]С2.5!$L$11</f>
        <v>0</v>
      </c>
    </row>
    <row r="153" spans="1:3" ht="13.5" hidden="1" thickBot="1">
      <c r="B153" s="104">
        <f t="shared" si="0"/>
        <v>2028</v>
      </c>
      <c r="C153" s="105">
        <f>[24]С2.5!$M$11</f>
        <v>0</v>
      </c>
    </row>
    <row r="154" spans="1:3" ht="13.5" hidden="1" thickBot="1">
      <c r="B154" s="104">
        <f t="shared" si="0"/>
        <v>2029</v>
      </c>
      <c r="C154" s="105">
        <f>[24]С2.5!$N$11</f>
        <v>0</v>
      </c>
    </row>
    <row r="155" spans="1:3" ht="13.5" hidden="1" thickBot="1">
      <c r="B155" s="104">
        <f t="shared" si="0"/>
        <v>2030</v>
      </c>
      <c r="C155" s="105">
        <f>[24]С2.5!$O$11</f>
        <v>0</v>
      </c>
    </row>
    <row r="156" spans="1:3" ht="13.5" hidden="1" thickBot="1">
      <c r="B156" s="104">
        <f t="shared" si="0"/>
        <v>2031</v>
      </c>
      <c r="C156" s="105">
        <f>[24]С2.5!$P$11</f>
        <v>0</v>
      </c>
    </row>
    <row r="157" spans="1:3" ht="13.5" hidden="1" thickBot="1">
      <c r="B157" s="104">
        <f t="shared" si="0"/>
        <v>2032</v>
      </c>
      <c r="C157" s="105">
        <f>[24]С2.5!$Q$11</f>
        <v>0</v>
      </c>
    </row>
    <row r="158" spans="1:3" ht="13.5" hidden="1" thickBot="1">
      <c r="B158" s="104">
        <f t="shared" si="0"/>
        <v>2033</v>
      </c>
      <c r="C158" s="105">
        <f>[24]С2.5!$R$11</f>
        <v>0</v>
      </c>
    </row>
    <row r="159" spans="1:3" ht="13.5" hidden="1" thickBot="1">
      <c r="B159" s="104">
        <f t="shared" si="0"/>
        <v>2034</v>
      </c>
      <c r="C159" s="105">
        <f>[24]С2.5!$S$11</f>
        <v>0</v>
      </c>
    </row>
    <row r="160" spans="1:3" ht="13.5" hidden="1" thickBot="1">
      <c r="B160" s="104">
        <f t="shared" si="0"/>
        <v>2035</v>
      </c>
      <c r="C160" s="105">
        <f>[24]С2.5!$T$11</f>
        <v>0</v>
      </c>
    </row>
    <row r="161" spans="2:3" ht="13.5" hidden="1" thickBot="1">
      <c r="B161" s="104">
        <f t="shared" si="0"/>
        <v>2036</v>
      </c>
      <c r="C161" s="105">
        <f>[24]С2.5!$U$11</f>
        <v>0</v>
      </c>
    </row>
    <row r="162" spans="2:3" ht="13.5" hidden="1" thickBot="1">
      <c r="B162" s="104">
        <f t="shared" si="0"/>
        <v>2037</v>
      </c>
      <c r="C162" s="105">
        <f>[24]С2.5!$V$11</f>
        <v>0</v>
      </c>
    </row>
    <row r="163" spans="2:3" ht="13.5" hidden="1" thickBot="1">
      <c r="B163" s="104">
        <f t="shared" si="0"/>
        <v>2038</v>
      </c>
      <c r="C163" s="105">
        <f>[24]С2.5!$W$11</f>
        <v>0</v>
      </c>
    </row>
    <row r="164" spans="2:3" ht="13.5" hidden="1" thickBot="1">
      <c r="B164" s="104">
        <f t="shared" si="0"/>
        <v>2039</v>
      </c>
      <c r="C164" s="105">
        <f>[24]С2.5!$X$11</f>
        <v>0</v>
      </c>
    </row>
    <row r="165" spans="2:3" ht="13.5" hidden="1" thickBot="1">
      <c r="B165" s="104">
        <f t="shared" si="0"/>
        <v>2040</v>
      </c>
      <c r="C165" s="105">
        <f>[24]С2.5!$Y$11</f>
        <v>0</v>
      </c>
    </row>
    <row r="166" spans="2:3" ht="13.5" hidden="1" thickBot="1">
      <c r="B166" s="104">
        <f t="shared" si="0"/>
        <v>2041</v>
      </c>
      <c r="C166" s="105">
        <f>[24]С2.5!$Z$11</f>
        <v>0</v>
      </c>
    </row>
    <row r="167" spans="2:3" ht="13.5" hidden="1" thickBot="1">
      <c r="B167" s="104">
        <f t="shared" si="0"/>
        <v>2042</v>
      </c>
      <c r="C167" s="105">
        <f>[24]С2.5!$AA$11</f>
        <v>0</v>
      </c>
    </row>
    <row r="168" spans="2:3" ht="13.5" hidden="1" thickBot="1">
      <c r="B168" s="104">
        <f t="shared" si="0"/>
        <v>2043</v>
      </c>
      <c r="C168" s="105">
        <f>[24]С2.5!$AB$11</f>
        <v>0</v>
      </c>
    </row>
    <row r="169" spans="2:3" ht="13.5" hidden="1" thickBot="1">
      <c r="B169" s="104">
        <f t="shared" si="0"/>
        <v>2044</v>
      </c>
      <c r="C169" s="105">
        <f>[24]С2.5!$AC$11</f>
        <v>0</v>
      </c>
    </row>
    <row r="170" spans="2:3" ht="13.5" hidden="1" thickBot="1">
      <c r="B170" s="104">
        <f t="shared" si="0"/>
        <v>2045</v>
      </c>
      <c r="C170" s="105">
        <f>[24]С2.5!$AD$11</f>
        <v>0</v>
      </c>
    </row>
    <row r="171" spans="2:3" ht="13.5" hidden="1" thickBot="1">
      <c r="B171" s="104">
        <f t="shared" si="0"/>
        <v>2046</v>
      </c>
      <c r="C171" s="105">
        <f>[24]С2.5!$AE$11</f>
        <v>0</v>
      </c>
    </row>
    <row r="172" spans="2:3" ht="13.5" hidden="1" thickBot="1">
      <c r="B172" s="104">
        <f t="shared" si="0"/>
        <v>2047</v>
      </c>
      <c r="C172" s="105">
        <f>[24]С2.5!$AF$11</f>
        <v>0</v>
      </c>
    </row>
    <row r="173" spans="2:3" ht="13.5" hidden="1" thickBot="1">
      <c r="B173" s="104">
        <f t="shared" si="0"/>
        <v>2048</v>
      </c>
      <c r="C173" s="105">
        <f>[24]С2.5!$AG$11</f>
        <v>0</v>
      </c>
    </row>
    <row r="174" spans="2:3" ht="13.5" hidden="1" thickBot="1">
      <c r="B174" s="104">
        <f t="shared" si="0"/>
        <v>2049</v>
      </c>
      <c r="C174" s="105">
        <f>[24]С2.5!$AH$11</f>
        <v>0</v>
      </c>
    </row>
    <row r="175" spans="2:3" ht="13.5" hidden="1" thickBot="1">
      <c r="B175" s="104">
        <f t="shared" si="0"/>
        <v>2050</v>
      </c>
      <c r="C175" s="105">
        <f>[24]С2.5!$AI$11</f>
        <v>0</v>
      </c>
    </row>
    <row r="176" spans="2:3" ht="13.5" hidden="1" thickBot="1">
      <c r="B176" s="104">
        <f t="shared" si="0"/>
        <v>2051</v>
      </c>
      <c r="C176" s="105">
        <f>[24]С2.5!$AJ$11</f>
        <v>0</v>
      </c>
    </row>
    <row r="177" spans="2:3" ht="13.5" hidden="1" thickBot="1">
      <c r="B177" s="104">
        <f t="shared" si="0"/>
        <v>2052</v>
      </c>
      <c r="C177" s="105">
        <f>[24]С2.5!$AK$11</f>
        <v>0</v>
      </c>
    </row>
    <row r="178" spans="2:3" ht="13.5" hidden="1" thickBot="1">
      <c r="B178" s="104">
        <f t="shared" si="0"/>
        <v>2053</v>
      </c>
      <c r="C178" s="105">
        <f>[24]С2.5!$AL$11</f>
        <v>0</v>
      </c>
    </row>
    <row r="179" spans="2:3" ht="13.5" hidden="1" thickBot="1">
      <c r="B179" s="104">
        <f t="shared" si="0"/>
        <v>2054</v>
      </c>
      <c r="C179" s="105">
        <f>[24]С2.5!$AM$11</f>
        <v>0</v>
      </c>
    </row>
    <row r="180" spans="2:3" ht="13.5" hidden="1" thickBot="1">
      <c r="B180" s="104">
        <f t="shared" si="0"/>
        <v>2055</v>
      </c>
      <c r="C180" s="105">
        <f>[24]С2.5!$AN$11</f>
        <v>0</v>
      </c>
    </row>
    <row r="181" spans="2:3" ht="13.5" hidden="1" thickBot="1">
      <c r="B181" s="104">
        <f t="shared" si="0"/>
        <v>2056</v>
      </c>
      <c r="C181" s="105">
        <f>[24]С2.5!$AO$11</f>
        <v>0</v>
      </c>
    </row>
    <row r="182" spans="2:3" ht="13.5" hidden="1" thickBot="1">
      <c r="B182" s="104">
        <f t="shared" si="0"/>
        <v>2057</v>
      </c>
      <c r="C182" s="105">
        <f>[24]С2.5!$AP$11</f>
        <v>0</v>
      </c>
    </row>
    <row r="183" spans="2:3" ht="13.5" hidden="1" thickBot="1">
      <c r="B183" s="104">
        <f t="shared" si="0"/>
        <v>2058</v>
      </c>
      <c r="C183" s="105">
        <f>[24]С2.5!$AQ$11</f>
        <v>0</v>
      </c>
    </row>
    <row r="184" spans="2:3" ht="13.5" hidden="1" thickBot="1">
      <c r="B184" s="104">
        <f t="shared" si="0"/>
        <v>2059</v>
      </c>
      <c r="C184" s="105">
        <f>[24]С2.5!$AR$11</f>
        <v>0</v>
      </c>
    </row>
    <row r="185" spans="2:3" ht="13.5" hidden="1" thickBot="1">
      <c r="B185" s="104">
        <f t="shared" si="0"/>
        <v>2060</v>
      </c>
      <c r="C185" s="105">
        <f>[24]С2.5!$AS$11</f>
        <v>0</v>
      </c>
    </row>
    <row r="186" spans="2:3" ht="13.5" hidden="1" thickBot="1">
      <c r="B186" s="104">
        <f t="shared" si="0"/>
        <v>2061</v>
      </c>
      <c r="C186" s="105">
        <f>[24]С2.5!$AT$11</f>
        <v>0</v>
      </c>
    </row>
    <row r="187" spans="2:3" ht="13.5" hidden="1" thickBot="1">
      <c r="B187" s="104">
        <f t="shared" si="0"/>
        <v>2062</v>
      </c>
      <c r="C187" s="105">
        <f>[24]С2.5!$AU$11</f>
        <v>0</v>
      </c>
    </row>
    <row r="188" spans="2:3" ht="13.5" hidden="1" thickBot="1">
      <c r="B188" s="104">
        <f t="shared" si="0"/>
        <v>2063</v>
      </c>
      <c r="C188" s="105">
        <f>[24]С2.5!$AV$11</f>
        <v>0</v>
      </c>
    </row>
    <row r="189" spans="2:3" ht="13.5" hidden="1" thickBot="1">
      <c r="B189" s="104">
        <f t="shared" si="0"/>
        <v>2064</v>
      </c>
      <c r="C189" s="105">
        <f>[24]С2.5!$AW$11</f>
        <v>0</v>
      </c>
    </row>
    <row r="190" spans="2:3" ht="13.5" hidden="1" thickBot="1">
      <c r="B190" s="104">
        <f t="shared" si="0"/>
        <v>2065</v>
      </c>
      <c r="C190" s="105">
        <f>[24]С2.5!$AX$11</f>
        <v>0</v>
      </c>
    </row>
    <row r="191" spans="2:3" ht="13.5" hidden="1" thickBot="1">
      <c r="B191" s="104">
        <f t="shared" si="0"/>
        <v>2066</v>
      </c>
      <c r="C191" s="105">
        <f>[24]С2.5!$AY$11</f>
        <v>0</v>
      </c>
    </row>
    <row r="192" spans="2:3" ht="13.5" hidden="1" thickBot="1">
      <c r="B192" s="104">
        <f t="shared" si="0"/>
        <v>2067</v>
      </c>
      <c r="C192" s="105">
        <f>[24]С2.5!$AZ$11</f>
        <v>0</v>
      </c>
    </row>
    <row r="193" spans="2:3" ht="13.5" hidden="1" thickBot="1">
      <c r="B193" s="104">
        <f t="shared" si="0"/>
        <v>2068</v>
      </c>
      <c r="C193" s="105">
        <f>[24]С2.5!$BA$11</f>
        <v>0</v>
      </c>
    </row>
    <row r="194" spans="2:3" ht="13.5" hidden="1" thickBot="1">
      <c r="B194" s="104">
        <f t="shared" si="0"/>
        <v>2069</v>
      </c>
      <c r="C194" s="105">
        <f>[24]С2.5!$BB$11</f>
        <v>0</v>
      </c>
    </row>
    <row r="195" spans="2:3" ht="13.5" hidden="1" thickBot="1">
      <c r="B195" s="104">
        <f t="shared" si="0"/>
        <v>2070</v>
      </c>
      <c r="C195" s="105">
        <f>[24]С2.5!$BC$11</f>
        <v>0</v>
      </c>
    </row>
    <row r="196" spans="2:3" ht="13.5" hidden="1" thickBot="1">
      <c r="B196" s="104">
        <f t="shared" si="0"/>
        <v>2071</v>
      </c>
      <c r="C196" s="105">
        <f>[24]С2.5!$BD$11</f>
        <v>0</v>
      </c>
    </row>
    <row r="197" spans="2:3" ht="13.5" hidden="1" thickBot="1">
      <c r="B197" s="104">
        <f t="shared" si="0"/>
        <v>2072</v>
      </c>
      <c r="C197" s="105">
        <f>[24]С2.5!$BE$11</f>
        <v>0</v>
      </c>
    </row>
    <row r="198" spans="2:3" ht="13.5" hidden="1" thickBot="1">
      <c r="B198" s="104">
        <f t="shared" si="0"/>
        <v>2073</v>
      </c>
      <c r="C198" s="105">
        <f>[24]С2.5!$BF$11</f>
        <v>0</v>
      </c>
    </row>
    <row r="199" spans="2:3" ht="13.5" hidden="1" thickBot="1">
      <c r="B199" s="104">
        <f t="shared" si="0"/>
        <v>2074</v>
      </c>
      <c r="C199" s="105">
        <f>[24]С2.5!$BG$11</f>
        <v>0</v>
      </c>
    </row>
    <row r="200" spans="2:3" ht="13.5" hidden="1" thickBot="1">
      <c r="B200" s="104">
        <f t="shared" si="0"/>
        <v>2075</v>
      </c>
      <c r="C200" s="105">
        <f>[24]С2.5!$BH$11</f>
        <v>0</v>
      </c>
    </row>
    <row r="201" spans="2:3" ht="13.5" hidden="1" thickBot="1">
      <c r="B201" s="104">
        <f t="shared" si="0"/>
        <v>2076</v>
      </c>
      <c r="C201" s="105">
        <f>[24]С2.5!$BI$11</f>
        <v>0</v>
      </c>
    </row>
    <row r="202" spans="2:3" ht="13.5" hidden="1" thickBot="1">
      <c r="B202" s="104">
        <f t="shared" si="0"/>
        <v>2077</v>
      </c>
      <c r="C202" s="105">
        <f>[24]С2.5!$BJ$11</f>
        <v>0</v>
      </c>
    </row>
    <row r="203" spans="2:3" ht="13.5" hidden="1" thickBot="1">
      <c r="B203" s="104">
        <f t="shared" si="0"/>
        <v>2078</v>
      </c>
      <c r="C203" s="105">
        <f>[24]С2.5!$BK$11</f>
        <v>0</v>
      </c>
    </row>
    <row r="204" spans="2:3" ht="13.5" hidden="1" thickBot="1">
      <c r="B204" s="104">
        <f t="shared" si="0"/>
        <v>2079</v>
      </c>
      <c r="C204" s="105">
        <f>[24]С2.5!$BL$11</f>
        <v>0</v>
      </c>
    </row>
    <row r="205" spans="2:3" ht="13.5" hidden="1" thickBot="1">
      <c r="B205" s="104">
        <f t="shared" si="0"/>
        <v>2080</v>
      </c>
      <c r="C205" s="105">
        <f>[24]С2.5!$BM$11</f>
        <v>0</v>
      </c>
    </row>
    <row r="206" spans="2:3" ht="13.5" hidden="1" thickBot="1">
      <c r="B206" s="104">
        <f t="shared" si="0"/>
        <v>2081</v>
      </c>
      <c r="C206" s="105">
        <f>[24]С2.5!$BN$11</f>
        <v>0</v>
      </c>
    </row>
    <row r="207" spans="2:3" ht="13.5" hidden="1" thickBot="1">
      <c r="B207" s="104">
        <f t="shared" si="0"/>
        <v>2082</v>
      </c>
      <c r="C207" s="105">
        <f>[24]С2.5!$BO$11</f>
        <v>0</v>
      </c>
    </row>
    <row r="208" spans="2:3" ht="13.5" hidden="1" thickBot="1">
      <c r="B208" s="104">
        <f t="shared" si="0"/>
        <v>2083</v>
      </c>
      <c r="C208" s="105">
        <f>[24]С2.5!$BP$11</f>
        <v>0</v>
      </c>
    </row>
    <row r="209" spans="2:3" ht="13.5" hidden="1" thickBot="1">
      <c r="B209" s="104">
        <f t="shared" si="0"/>
        <v>2084</v>
      </c>
      <c r="C209" s="105">
        <f>[24]С2.5!$BQ$11</f>
        <v>0</v>
      </c>
    </row>
    <row r="210" spans="2:3" ht="13.5" hidden="1" thickBot="1">
      <c r="B210" s="104">
        <f t="shared" si="0"/>
        <v>2085</v>
      </c>
      <c r="C210" s="105">
        <f>[24]С2.5!$BR$11</f>
        <v>0</v>
      </c>
    </row>
    <row r="211" spans="2:3" ht="13.5" hidden="1" thickBot="1">
      <c r="B211" s="104">
        <f t="shared" ref="B211:B224" si="1">B210+1</f>
        <v>2086</v>
      </c>
      <c r="C211" s="105">
        <f>[24]С2.5!$BS$11</f>
        <v>0</v>
      </c>
    </row>
    <row r="212" spans="2:3" ht="13.5" hidden="1" thickBot="1">
      <c r="B212" s="104">
        <f t="shared" si="1"/>
        <v>2087</v>
      </c>
      <c r="C212" s="105">
        <f>[24]С2.5!$BT$11</f>
        <v>0</v>
      </c>
    </row>
    <row r="213" spans="2:3" ht="13.5" hidden="1" thickBot="1">
      <c r="B213" s="104">
        <f t="shared" si="1"/>
        <v>2088</v>
      </c>
      <c r="C213" s="105">
        <f>[24]С2.5!$BU$11</f>
        <v>0</v>
      </c>
    </row>
    <row r="214" spans="2:3" ht="13.5" hidden="1" thickBot="1">
      <c r="B214" s="104">
        <f t="shared" si="1"/>
        <v>2089</v>
      </c>
      <c r="C214" s="105">
        <f>[24]С2.5!$BV$11</f>
        <v>0</v>
      </c>
    </row>
    <row r="215" spans="2:3" ht="13.5" hidden="1" thickBot="1">
      <c r="B215" s="104">
        <f t="shared" si="1"/>
        <v>2090</v>
      </c>
      <c r="C215" s="105">
        <f>[24]С2.5!$BW$11</f>
        <v>0</v>
      </c>
    </row>
    <row r="216" spans="2:3" ht="13.5" hidden="1" thickBot="1">
      <c r="B216" s="104">
        <f t="shared" si="1"/>
        <v>2091</v>
      </c>
      <c r="C216" s="105">
        <f>[24]С2.5!$BX$11</f>
        <v>0</v>
      </c>
    </row>
    <row r="217" spans="2:3" ht="13.5" hidden="1" thickBot="1">
      <c r="B217" s="104">
        <f t="shared" si="1"/>
        <v>2092</v>
      </c>
      <c r="C217" s="105">
        <f>[24]С2.5!$BY$11</f>
        <v>0</v>
      </c>
    </row>
    <row r="218" spans="2:3" ht="13.5" hidden="1" thickBot="1">
      <c r="B218" s="104">
        <f t="shared" si="1"/>
        <v>2093</v>
      </c>
      <c r="C218" s="105">
        <f>[24]С2.5!$BZ$11</f>
        <v>0</v>
      </c>
    </row>
    <row r="219" spans="2:3" ht="13.5" hidden="1" thickBot="1">
      <c r="B219" s="104">
        <f t="shared" si="1"/>
        <v>2094</v>
      </c>
      <c r="C219" s="105">
        <f>[24]С2.5!$CA$11</f>
        <v>0</v>
      </c>
    </row>
    <row r="220" spans="2:3" ht="13.5" hidden="1" thickBot="1">
      <c r="B220" s="104">
        <f t="shared" si="1"/>
        <v>2095</v>
      </c>
      <c r="C220" s="105">
        <f>[24]С2.5!$CB$11</f>
        <v>0</v>
      </c>
    </row>
    <row r="221" spans="2:3" ht="13.5" hidden="1" thickBot="1">
      <c r="B221" s="104">
        <f t="shared" si="1"/>
        <v>2096</v>
      </c>
      <c r="C221" s="105">
        <f>[24]С2.5!$CC$11</f>
        <v>0</v>
      </c>
    </row>
    <row r="222" spans="2:3" ht="13.5" hidden="1" thickBot="1">
      <c r="B222" s="104">
        <f t="shared" si="1"/>
        <v>2097</v>
      </c>
      <c r="C222" s="105">
        <f>[24]С2.5!$CD$11</f>
        <v>0</v>
      </c>
    </row>
    <row r="223" spans="2:3" ht="13.5" hidden="1" thickBot="1">
      <c r="B223" s="104">
        <f t="shared" si="1"/>
        <v>2098</v>
      </c>
      <c r="C223" s="105">
        <f>[24]С2.5!$CE$11</f>
        <v>0</v>
      </c>
    </row>
    <row r="224" spans="2:3" ht="13.5" hidden="1" thickBot="1">
      <c r="B224" s="104">
        <f t="shared" si="1"/>
        <v>2099</v>
      </c>
      <c r="C224" s="105">
        <f>[24]С2.5!$CF$11</f>
        <v>0</v>
      </c>
    </row>
    <row r="225" spans="2:3" ht="13.5" hidden="1" thickBot="1">
      <c r="B225" s="106">
        <f>B162+1</f>
        <v>2038</v>
      </c>
      <c r="C225" s="107" t="e">
        <f>[24]С2.5!#REF!</f>
        <v>#REF!</v>
      </c>
    </row>
    <row r="226" spans="2:3">
      <c r="B226" s="108"/>
      <c r="C226" s="109"/>
    </row>
  </sheetData>
  <mergeCells count="9">
    <mergeCell ref="A14:C14"/>
    <mergeCell ref="B1:C1"/>
    <mergeCell ref="B129:C129"/>
    <mergeCell ref="B143:C143"/>
    <mergeCell ref="B27:C27"/>
    <mergeCell ref="B45:C45"/>
    <mergeCell ref="B90:C90"/>
    <mergeCell ref="B101:C101"/>
    <mergeCell ref="B126:C126"/>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6625" r:id="rId3" name="Button 1">
              <controlPr defaultSize="0" print="0" autoFill="0" autoPict="0" macro="[25]!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26627" r:id="rId4" name="Button 3">
              <controlPr defaultSize="0" print="0" autoFill="0" autoPict="0" macro="[24]!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[26]И1!D13</f>
        <v>Субъект Российской Федерации</v>
      </c>
      <c r="C4" s="9" t="str">
        <f>[26]И1!E13</f>
        <v>Новосибирская область</v>
      </c>
    </row>
    <row r="5" spans="1:3" ht="46.9" customHeight="1">
      <c r="A5" s="7"/>
      <c r="B5" s="8" t="str">
        <f>[26]И1!D14</f>
        <v>Тип муниципального образования (выберите из списка)</v>
      </c>
      <c r="C5" s="9" t="str">
        <f>[26]И1!E14</f>
        <v>село Корнилово, Болотнинский муниципальный район</v>
      </c>
    </row>
    <row r="6" spans="1:3">
      <c r="A6" s="7"/>
      <c r="B6" s="8" t="str">
        <f>IF([26]И1!E15="","",[26]И1!D15)</f>
        <v/>
      </c>
      <c r="C6" s="9" t="str">
        <f>IF([26]И1!E15="","",[26]И1!E15)</f>
        <v/>
      </c>
    </row>
    <row r="7" spans="1:3">
      <c r="A7" s="7"/>
      <c r="B7" s="8" t="str">
        <f>[26]И1!D16</f>
        <v>Код ОКТМО</v>
      </c>
      <c r="C7" s="10" t="str">
        <f>[26]И1!E16</f>
        <v>50606425101</v>
      </c>
    </row>
    <row r="8" spans="1:3">
      <c r="A8" s="7"/>
      <c r="B8" s="11" t="str">
        <f>[26]И1!D17</f>
        <v>Система теплоснабжения</v>
      </c>
      <c r="C8" s="12">
        <f>[26]И1!E17</f>
        <v>0</v>
      </c>
    </row>
    <row r="9" spans="1:3">
      <c r="A9" s="7"/>
      <c r="B9" s="8" t="str">
        <f>[26]И1!D8</f>
        <v>Период регулирования (i)-й</v>
      </c>
      <c r="C9" s="13">
        <f>[26]И1!E8</f>
        <v>2024</v>
      </c>
    </row>
    <row r="10" spans="1:3">
      <c r="A10" s="7"/>
      <c r="B10" s="8" t="str">
        <f>[26]И1!D9</f>
        <v>Период регулирования (i-1)-й</v>
      </c>
      <c r="C10" s="13">
        <f>[26]И1!E9</f>
        <v>2023</v>
      </c>
    </row>
    <row r="11" spans="1:3">
      <c r="A11" s="7"/>
      <c r="B11" s="8" t="str">
        <f>[26]И1!D10</f>
        <v>Период регулирования (i-2)-й</v>
      </c>
      <c r="C11" s="13">
        <f>[26]И1!E10</f>
        <v>2022</v>
      </c>
    </row>
    <row r="12" spans="1:3">
      <c r="A12" s="7"/>
      <c r="B12" s="8" t="str">
        <f>[26]И1!D11</f>
        <v>Базовый год (б)</v>
      </c>
      <c r="C12" s="13">
        <f>[26]И1!E11</f>
        <v>2019</v>
      </c>
    </row>
    <row r="13" spans="1:3" ht="38.25">
      <c r="A13" s="7"/>
      <c r="B13" s="8" t="str">
        <f>[26]И1!D18</f>
        <v>Вид топлива, использование которого преобладает в системе теплоснабжения</v>
      </c>
      <c r="C13" s="14" t="str">
        <f>[26]С1.1!E13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3627.6219718221951</v>
      </c>
    </row>
    <row r="18" spans="1:3" ht="42.75">
      <c r="A18" s="21" t="s">
        <v>8</v>
      </c>
      <c r="B18" s="24" t="s">
        <v>9</v>
      </c>
      <c r="C18" s="25">
        <f>[26]С1!F12</f>
        <v>651.25789763042292</v>
      </c>
    </row>
    <row r="19" spans="1:3" ht="42.75">
      <c r="A19" s="21" t="s">
        <v>10</v>
      </c>
      <c r="B19" s="24" t="s">
        <v>11</v>
      </c>
      <c r="C19" s="25">
        <f>[26]С2!F12</f>
        <v>1993.3494362887216</v>
      </c>
    </row>
    <row r="20" spans="1:3" ht="30">
      <c r="A20" s="21" t="s">
        <v>12</v>
      </c>
      <c r="B20" s="24" t="s">
        <v>13</v>
      </c>
      <c r="C20" s="25">
        <f>[26]С3!F12</f>
        <v>473.85859951490778</v>
      </c>
    </row>
    <row r="21" spans="1:3" ht="42.75">
      <c r="A21" s="21" t="s">
        <v>14</v>
      </c>
      <c r="B21" s="24" t="s">
        <v>226</v>
      </c>
      <c r="C21" s="25">
        <f>[26]С4!F12</f>
        <v>438.02619580339376</v>
      </c>
    </row>
    <row r="22" spans="1:3" ht="30">
      <c r="A22" s="21" t="s">
        <v>16</v>
      </c>
      <c r="B22" s="24" t="s">
        <v>227</v>
      </c>
      <c r="C22" s="25">
        <f>[26]С5!F12</f>
        <v>71.129842584748928</v>
      </c>
    </row>
    <row r="23" spans="1:3" ht="43.5" thickBot="1">
      <c r="A23" s="26" t="s">
        <v>18</v>
      </c>
      <c r="B23" s="140" t="s">
        <v>228</v>
      </c>
      <c r="C23" s="27" t="str">
        <f>[26]С6!F12</f>
        <v>-</v>
      </c>
    </row>
    <row r="24" spans="1:3" ht="13.5" thickBot="1">
      <c r="A24" s="1"/>
    </row>
    <row r="25" spans="1:3">
      <c r="A25" s="15" t="s">
        <v>4</v>
      </c>
      <c r="B25" s="28" t="s">
        <v>5</v>
      </c>
      <c r="C25" s="16" t="s">
        <v>6</v>
      </c>
    </row>
    <row r="26" spans="1:3">
      <c r="A26" s="18">
        <v>1</v>
      </c>
      <c r="B26" s="29">
        <v>2</v>
      </c>
      <c r="C26" s="30">
        <v>3</v>
      </c>
    </row>
    <row r="27" spans="1:3" ht="39" customHeight="1">
      <c r="A27" s="21">
        <v>1</v>
      </c>
      <c r="B27" s="144" t="s">
        <v>20</v>
      </c>
      <c r="C27" s="144"/>
    </row>
    <row r="28" spans="1:3">
      <c r="A28" s="21" t="s">
        <v>8</v>
      </c>
      <c r="B28" s="31" t="s">
        <v>229</v>
      </c>
      <c r="C28" s="32">
        <f>[26]С1.1!E16</f>
        <v>5100</v>
      </c>
    </row>
    <row r="29" spans="1:3" ht="42.75">
      <c r="A29" s="21" t="s">
        <v>10</v>
      </c>
      <c r="B29" s="31" t="s">
        <v>230</v>
      </c>
      <c r="C29" s="32">
        <f>[26]С1.1!E27</f>
        <v>2926.13</v>
      </c>
    </row>
    <row r="30" spans="1:3" ht="17.25">
      <c r="A30" s="21" t="s">
        <v>12</v>
      </c>
      <c r="B30" s="31" t="s">
        <v>29</v>
      </c>
      <c r="C30" s="34">
        <f>[26]С1.1!E19</f>
        <v>-0.19900000000000001</v>
      </c>
    </row>
    <row r="31" spans="1:3" ht="17.25">
      <c r="A31" s="21" t="s">
        <v>14</v>
      </c>
      <c r="B31" s="31" t="s">
        <v>30</v>
      </c>
      <c r="C31" s="34">
        <f>[26]С1.1!E20</f>
        <v>5.7000000000000002E-2</v>
      </c>
    </row>
    <row r="32" spans="1:3" ht="30">
      <c r="A32" s="21" t="s">
        <v>16</v>
      </c>
      <c r="B32" s="35" t="s">
        <v>231</v>
      </c>
      <c r="C32" s="117">
        <f>[26]С1!F13</f>
        <v>176.4</v>
      </c>
    </row>
    <row r="33" spans="1:3">
      <c r="A33" s="21" t="s">
        <v>18</v>
      </c>
      <c r="B33" s="35" t="s">
        <v>32</v>
      </c>
      <c r="C33" s="37">
        <f>[26]С1!F16</f>
        <v>7000</v>
      </c>
    </row>
    <row r="34" spans="1:3" ht="14.25">
      <c r="A34" s="21" t="s">
        <v>33</v>
      </c>
      <c r="B34" s="39" t="s">
        <v>232</v>
      </c>
      <c r="C34" s="40">
        <f>[26]С1!F17</f>
        <v>0.72857142857142854</v>
      </c>
    </row>
    <row r="35" spans="1:3" ht="15.75">
      <c r="A35" s="118" t="s">
        <v>35</v>
      </c>
      <c r="B35" s="42" t="s">
        <v>36</v>
      </c>
      <c r="C35" s="40">
        <f>[26]С1!F20</f>
        <v>21.588411179999994</v>
      </c>
    </row>
    <row r="36" spans="1:3" ht="15.75">
      <c r="A36" s="118" t="s">
        <v>37</v>
      </c>
      <c r="B36" s="43" t="s">
        <v>38</v>
      </c>
      <c r="C36" s="40">
        <f>[26]С1!F21</f>
        <v>20.818139999999996</v>
      </c>
    </row>
    <row r="37" spans="1:3" ht="14.25">
      <c r="A37" s="118" t="s">
        <v>39</v>
      </c>
      <c r="B37" s="44" t="s">
        <v>40</v>
      </c>
      <c r="C37" s="40">
        <f>[26]С1!F22</f>
        <v>1.0369999999999999</v>
      </c>
    </row>
    <row r="38" spans="1:3" ht="53.25" thickBot="1">
      <c r="A38" s="26" t="s">
        <v>41</v>
      </c>
      <c r="B38" s="45" t="s">
        <v>42</v>
      </c>
      <c r="C38" s="46">
        <f>[26]С1!F23</f>
        <v>1.0469999999999999</v>
      </c>
    </row>
    <row r="39" spans="1:3" ht="13.5" thickBot="1">
      <c r="A39" s="47"/>
      <c r="B39" s="119"/>
      <c r="C39" s="120"/>
    </row>
    <row r="40" spans="1:3" ht="38.25" customHeight="1">
      <c r="A40" s="49" t="s">
        <v>43</v>
      </c>
      <c r="B40" s="145" t="s">
        <v>44</v>
      </c>
      <c r="C40" s="145"/>
    </row>
    <row r="41" spans="1:3" ht="25.5">
      <c r="A41" s="21" t="s">
        <v>45</v>
      </c>
      <c r="B41" s="35" t="s">
        <v>46</v>
      </c>
      <c r="C41" s="50" t="str">
        <f>[26]С2.1!E12</f>
        <v>V</v>
      </c>
    </row>
    <row r="42" spans="1:3" ht="25.5">
      <c r="A42" s="21" t="s">
        <v>47</v>
      </c>
      <c r="B42" s="31" t="s">
        <v>48</v>
      </c>
      <c r="C42" s="50" t="str">
        <f>[26]С2.1!E13</f>
        <v>6 и менее баллов</v>
      </c>
    </row>
    <row r="43" spans="1:3" ht="25.5">
      <c r="A43" s="21" t="s">
        <v>49</v>
      </c>
      <c r="B43" s="31" t="s">
        <v>233</v>
      </c>
      <c r="C43" s="50" t="str">
        <f>[26]С2.1!E14</f>
        <v>от 200 до 500</v>
      </c>
    </row>
    <row r="44" spans="1:3" ht="25.5">
      <c r="A44" s="21" t="s">
        <v>51</v>
      </c>
      <c r="B44" s="31" t="s">
        <v>234</v>
      </c>
      <c r="C44" s="51" t="str">
        <f>[26]С2.1!E15</f>
        <v>нет</v>
      </c>
    </row>
    <row r="45" spans="1:3" ht="30">
      <c r="A45" s="21" t="s">
        <v>53</v>
      </c>
      <c r="B45" s="31" t="s">
        <v>54</v>
      </c>
      <c r="C45" s="32">
        <f>[26]С2!F18</f>
        <v>35106.652004551666</v>
      </c>
    </row>
    <row r="46" spans="1:3" ht="30">
      <c r="A46" s="21" t="s">
        <v>55</v>
      </c>
      <c r="B46" s="52" t="s">
        <v>56</v>
      </c>
      <c r="C46" s="32">
        <f>IF([26]С2!F19&gt;0,[26]С2!F19,[26]С2!F20)</f>
        <v>23441.524932855718</v>
      </c>
    </row>
    <row r="47" spans="1:3" ht="25.5">
      <c r="A47" s="21" t="s">
        <v>57</v>
      </c>
      <c r="B47" s="53" t="s">
        <v>58</v>
      </c>
      <c r="C47" s="32">
        <f>[26]С2.1!E19</f>
        <v>-38</v>
      </c>
    </row>
    <row r="48" spans="1:3" ht="25.5">
      <c r="A48" s="21" t="s">
        <v>59</v>
      </c>
      <c r="B48" s="53" t="s">
        <v>60</v>
      </c>
      <c r="C48" s="32" t="str">
        <f>[26]С2.1!E22</f>
        <v>нет</v>
      </c>
    </row>
    <row r="49" spans="1:3" ht="38.25">
      <c r="A49" s="21" t="s">
        <v>61</v>
      </c>
      <c r="B49" s="54" t="s">
        <v>62</v>
      </c>
      <c r="C49" s="32">
        <f>[26]С2.2!E10</f>
        <v>1287</v>
      </c>
    </row>
    <row r="50" spans="1:3" ht="25.5">
      <c r="A50" s="21" t="s">
        <v>63</v>
      </c>
      <c r="B50" s="55" t="s">
        <v>64</v>
      </c>
      <c r="C50" s="32">
        <f>[26]С2.2!E12</f>
        <v>5.97</v>
      </c>
    </row>
    <row r="51" spans="1:3" ht="52.5">
      <c r="A51" s="21" t="s">
        <v>65</v>
      </c>
      <c r="B51" s="56" t="s">
        <v>66</v>
      </c>
      <c r="C51" s="32">
        <f>[26]С2.2!E13</f>
        <v>1</v>
      </c>
    </row>
    <row r="52" spans="1:3" ht="27.75">
      <c r="A52" s="21" t="s">
        <v>67</v>
      </c>
      <c r="B52" s="55" t="s">
        <v>68</v>
      </c>
      <c r="C52" s="32">
        <f>[26]С2.2!E14</f>
        <v>12104</v>
      </c>
    </row>
    <row r="53" spans="1:3" ht="25.5">
      <c r="A53" s="21" t="s">
        <v>69</v>
      </c>
      <c r="B53" s="56" t="s">
        <v>70</v>
      </c>
      <c r="C53" s="34">
        <f>[26]С2.2!E15</f>
        <v>4.8000000000000001E-2</v>
      </c>
    </row>
    <row r="54" spans="1:3">
      <c r="A54" s="21" t="s">
        <v>71</v>
      </c>
      <c r="B54" s="56" t="s">
        <v>72</v>
      </c>
      <c r="C54" s="32">
        <f>[26]С2.2!E16</f>
        <v>1</v>
      </c>
    </row>
    <row r="55" spans="1:3" ht="15.75">
      <c r="A55" s="21" t="s">
        <v>73</v>
      </c>
      <c r="B55" s="58" t="s">
        <v>74</v>
      </c>
      <c r="C55" s="32">
        <f>[26]С2!F21</f>
        <v>1</v>
      </c>
    </row>
    <row r="56" spans="1:3" ht="30">
      <c r="A56" s="59" t="s">
        <v>75</v>
      </c>
      <c r="B56" s="31" t="s">
        <v>235</v>
      </c>
      <c r="C56" s="32">
        <f>[26]С2!F13</f>
        <v>183796.83936385796</v>
      </c>
    </row>
    <row r="57" spans="1:3" ht="30">
      <c r="A57" s="59" t="s">
        <v>77</v>
      </c>
      <c r="B57" s="58" t="s">
        <v>236</v>
      </c>
      <c r="C57" s="32">
        <f>[26]С2!F14</f>
        <v>113455</v>
      </c>
    </row>
    <row r="58" spans="1:3" ht="15.75">
      <c r="A58" s="59" t="s">
        <v>79</v>
      </c>
      <c r="B58" s="60" t="s">
        <v>80</v>
      </c>
      <c r="C58" s="40">
        <f>[26]С2!F15</f>
        <v>1.071</v>
      </c>
    </row>
    <row r="59" spans="1:3" ht="15.75">
      <c r="A59" s="59" t="s">
        <v>81</v>
      </c>
      <c r="B59" s="60" t="s">
        <v>82</v>
      </c>
      <c r="C59" s="40">
        <f>[26]С2!F16</f>
        <v>1</v>
      </c>
    </row>
    <row r="60" spans="1:3" ht="17.25">
      <c r="A60" s="59" t="s">
        <v>83</v>
      </c>
      <c r="B60" s="58" t="s">
        <v>84</v>
      </c>
      <c r="C60" s="32">
        <f>[26]С2!F17</f>
        <v>1.01</v>
      </c>
    </row>
    <row r="61" spans="1:3" s="65" customFormat="1" ht="14.25">
      <c r="A61" s="59" t="s">
        <v>85</v>
      </c>
      <c r="B61" s="63" t="s">
        <v>86</v>
      </c>
      <c r="C61" s="64">
        <f>[26]С2!F33</f>
        <v>10</v>
      </c>
    </row>
    <row r="62" spans="1:3" ht="30">
      <c r="A62" s="59" t="s">
        <v>87</v>
      </c>
      <c r="B62" s="66" t="s">
        <v>88</v>
      </c>
      <c r="C62" s="32">
        <f>[26]С2!F26</f>
        <v>1867.194948000021</v>
      </c>
    </row>
    <row r="63" spans="1:3" ht="17.25">
      <c r="A63" s="59" t="s">
        <v>89</v>
      </c>
      <c r="B63" s="52" t="s">
        <v>237</v>
      </c>
      <c r="C63" s="32">
        <f>[26]С2!F27</f>
        <v>0.29684983999999998</v>
      </c>
    </row>
    <row r="64" spans="1:3" ht="17.25">
      <c r="A64" s="59" t="s">
        <v>91</v>
      </c>
      <c r="B64" s="58" t="s">
        <v>238</v>
      </c>
      <c r="C64" s="64">
        <f>[26]С2!F28</f>
        <v>4200</v>
      </c>
    </row>
    <row r="65" spans="1:3" ht="42.75">
      <c r="A65" s="59" t="s">
        <v>93</v>
      </c>
      <c r="B65" s="31" t="s">
        <v>239</v>
      </c>
      <c r="C65" s="32">
        <f>[26]С2!F22</f>
        <v>38698.422798410109</v>
      </c>
    </row>
    <row r="66" spans="1:3" ht="30">
      <c r="A66" s="59" t="s">
        <v>95</v>
      </c>
      <c r="B66" s="60" t="s">
        <v>240</v>
      </c>
      <c r="C66" s="32">
        <f>[26]С2!F23</f>
        <v>1990</v>
      </c>
    </row>
    <row r="67" spans="1:3" ht="30">
      <c r="A67" s="59" t="s">
        <v>97</v>
      </c>
      <c r="B67" s="52" t="s">
        <v>98</v>
      </c>
      <c r="C67" s="32">
        <f>[26]С2.1!E27</f>
        <v>14307.876789999998</v>
      </c>
    </row>
    <row r="68" spans="1:3" ht="38.25">
      <c r="A68" s="59" t="s">
        <v>99</v>
      </c>
      <c r="B68" s="67" t="s">
        <v>100</v>
      </c>
      <c r="C68" s="51">
        <f>[26]С2.3!E21</f>
        <v>0</v>
      </c>
    </row>
    <row r="69" spans="1:3" ht="25.5">
      <c r="A69" s="59" t="s">
        <v>101</v>
      </c>
      <c r="B69" s="68" t="s">
        <v>102</v>
      </c>
      <c r="C69" s="69">
        <f>[26]С2.3!E11</f>
        <v>9.89</v>
      </c>
    </row>
    <row r="70" spans="1:3" ht="25.5">
      <c r="A70" s="59" t="s">
        <v>103</v>
      </c>
      <c r="B70" s="68" t="s">
        <v>104</v>
      </c>
      <c r="C70" s="64">
        <f>[26]С2.3!E13</f>
        <v>300</v>
      </c>
    </row>
    <row r="71" spans="1:3" ht="25.5">
      <c r="A71" s="59" t="s">
        <v>105</v>
      </c>
      <c r="B71" s="67" t="s">
        <v>106</v>
      </c>
      <c r="C71" s="70">
        <f>IF([26]С2.3!E22&gt;0,[26]С2.3!E22,[26]С2.3!E14)</f>
        <v>61211</v>
      </c>
    </row>
    <row r="72" spans="1:3" ht="38.25">
      <c r="A72" s="59" t="s">
        <v>107</v>
      </c>
      <c r="B72" s="67" t="s">
        <v>108</v>
      </c>
      <c r="C72" s="70">
        <f>IF([26]С2.3!E23&gt;0,[26]С2.3!E23,[26]С2.3!E15)</f>
        <v>45675</v>
      </c>
    </row>
    <row r="73" spans="1:3" ht="30">
      <c r="A73" s="59" t="s">
        <v>109</v>
      </c>
      <c r="B73" s="52" t="s">
        <v>110</v>
      </c>
      <c r="C73" s="32">
        <f>[26]С2.1!E28</f>
        <v>9541.9567200000001</v>
      </c>
    </row>
    <row r="74" spans="1:3" ht="38.25">
      <c r="A74" s="59" t="s">
        <v>111</v>
      </c>
      <c r="B74" s="67" t="s">
        <v>112</v>
      </c>
      <c r="C74" s="51">
        <f>[26]С2.3!E25</f>
        <v>0</v>
      </c>
    </row>
    <row r="75" spans="1:3" ht="25.5">
      <c r="A75" s="59" t="s">
        <v>113</v>
      </c>
      <c r="B75" s="68" t="s">
        <v>114</v>
      </c>
      <c r="C75" s="69">
        <f>[26]С2.3!E12</f>
        <v>0.56000000000000005</v>
      </c>
    </row>
    <row r="76" spans="1:3" ht="25.5">
      <c r="A76" s="59" t="s">
        <v>115</v>
      </c>
      <c r="B76" s="68" t="s">
        <v>104</v>
      </c>
      <c r="C76" s="64">
        <f>[26]С2.3!E13</f>
        <v>300</v>
      </c>
    </row>
    <row r="77" spans="1:3" ht="25.5">
      <c r="A77" s="59" t="s">
        <v>116</v>
      </c>
      <c r="B77" s="71" t="s">
        <v>117</v>
      </c>
      <c r="C77" s="70">
        <f>IF([26]С2.3!E26&gt;0,[26]С2.3!E26,[26]С2.3!E16)</f>
        <v>65637</v>
      </c>
    </row>
    <row r="78" spans="1:3" ht="38.25">
      <c r="A78" s="59" t="s">
        <v>118</v>
      </c>
      <c r="B78" s="71" t="s">
        <v>119</v>
      </c>
      <c r="C78" s="70">
        <f>IF([26]С2.3!E27&gt;0,[26]С2.3!E27,[26]С2.3!E17)</f>
        <v>31684</v>
      </c>
    </row>
    <row r="79" spans="1:3" ht="17.25">
      <c r="A79" s="59" t="s">
        <v>122</v>
      </c>
      <c r="B79" s="31" t="s">
        <v>123</v>
      </c>
      <c r="C79" s="34">
        <f>[26]С2!F29</f>
        <v>9.5962865259740182E-2</v>
      </c>
    </row>
    <row r="80" spans="1:3" ht="30">
      <c r="A80" s="59" t="s">
        <v>124</v>
      </c>
      <c r="B80" s="52" t="s">
        <v>125</v>
      </c>
      <c r="C80" s="72">
        <f>[26]С2!F30</f>
        <v>8.4029304029304031E-2</v>
      </c>
    </row>
    <row r="81" spans="1:3" ht="17.25">
      <c r="A81" s="59" t="s">
        <v>126</v>
      </c>
      <c r="B81" s="73" t="s">
        <v>127</v>
      </c>
      <c r="C81" s="34">
        <f>[26]С2!F31</f>
        <v>0.13880000000000001</v>
      </c>
    </row>
    <row r="82" spans="1:3" s="65" customFormat="1" ht="18" thickBot="1">
      <c r="A82" s="74" t="s">
        <v>128</v>
      </c>
      <c r="B82" s="75" t="s">
        <v>129</v>
      </c>
      <c r="C82" s="76">
        <f>[26]С2!F32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[26]С3!F14</f>
        <v>6081.0916722812572</v>
      </c>
    </row>
    <row r="86" spans="1:3" s="65" customFormat="1" ht="42.75">
      <c r="A86" s="78" t="s">
        <v>134</v>
      </c>
      <c r="B86" s="52" t="s">
        <v>135</v>
      </c>
      <c r="C86" s="79">
        <f>[26]С3!F15</f>
        <v>0.2</v>
      </c>
    </row>
    <row r="87" spans="1:3" s="65" customFormat="1" ht="14.25">
      <c r="A87" s="78" t="s">
        <v>136</v>
      </c>
      <c r="B87" s="80" t="s">
        <v>137</v>
      </c>
      <c r="C87" s="64">
        <f>[26]С3!F18</f>
        <v>15</v>
      </c>
    </row>
    <row r="88" spans="1:3" s="65" customFormat="1" ht="17.25">
      <c r="A88" s="78" t="s">
        <v>138</v>
      </c>
      <c r="B88" s="31" t="s">
        <v>139</v>
      </c>
      <c r="C88" s="32">
        <f>[26]С3!F19</f>
        <v>3778.1614077800232</v>
      </c>
    </row>
    <row r="89" spans="1:3" s="65" customFormat="1" ht="55.5">
      <c r="A89" s="78" t="s">
        <v>140</v>
      </c>
      <c r="B89" s="52" t="s">
        <v>141</v>
      </c>
      <c r="C89" s="81">
        <f>[26]С3!F20</f>
        <v>2.1999999999999999E-2</v>
      </c>
    </row>
    <row r="90" spans="1:3" s="65" customFormat="1" ht="14.25">
      <c r="A90" s="78" t="s">
        <v>142</v>
      </c>
      <c r="B90" s="58" t="s">
        <v>86</v>
      </c>
      <c r="C90" s="64">
        <f>[26]С3!F21</f>
        <v>10</v>
      </c>
    </row>
    <row r="91" spans="1:3" s="65" customFormat="1" ht="17.25">
      <c r="A91" s="78" t="s">
        <v>143</v>
      </c>
      <c r="B91" s="31" t="s">
        <v>144</v>
      </c>
      <c r="C91" s="32">
        <f>[26]С3!F22</f>
        <v>5.6015848440000635</v>
      </c>
    </row>
    <row r="92" spans="1:3" s="65" customFormat="1" ht="55.5">
      <c r="A92" s="78" t="s">
        <v>145</v>
      </c>
      <c r="B92" s="52" t="s">
        <v>146</v>
      </c>
      <c r="C92" s="81">
        <f>[26]С3!F23</f>
        <v>3.0000000000000001E-3</v>
      </c>
    </row>
    <row r="93" spans="1:3" s="65" customFormat="1" ht="27.75" thickBot="1">
      <c r="A93" s="82" t="s">
        <v>147</v>
      </c>
      <c r="B93" s="83" t="s">
        <v>241</v>
      </c>
      <c r="C93" s="84">
        <f>[26]С3!F24</f>
        <v>1867.194948000021</v>
      </c>
    </row>
    <row r="94" spans="1:3" ht="13.5" thickBot="1">
      <c r="A94" s="47"/>
      <c r="B94" s="48"/>
      <c r="C94" s="14"/>
    </row>
    <row r="95" spans="1:3" ht="30" customHeight="1">
      <c r="A95" s="85" t="s">
        <v>148</v>
      </c>
      <c r="B95" s="145" t="s">
        <v>149</v>
      </c>
      <c r="C95" s="145"/>
    </row>
    <row r="96" spans="1:3" ht="30">
      <c r="A96" s="59" t="s">
        <v>150</v>
      </c>
      <c r="B96" s="31" t="s">
        <v>242</v>
      </c>
      <c r="C96" s="32">
        <f>[26]С4!F16</f>
        <v>1652.5</v>
      </c>
    </row>
    <row r="97" spans="1:3" ht="30">
      <c r="A97" s="59" t="s">
        <v>152</v>
      </c>
      <c r="B97" s="58" t="s">
        <v>243</v>
      </c>
      <c r="C97" s="32">
        <f>[26]С4!F17</f>
        <v>73547</v>
      </c>
    </row>
    <row r="98" spans="1:3" ht="17.25">
      <c r="A98" s="59" t="s">
        <v>154</v>
      </c>
      <c r="B98" s="58" t="s">
        <v>155</v>
      </c>
      <c r="C98" s="40">
        <f>[26]С4!F18</f>
        <v>0.02</v>
      </c>
    </row>
    <row r="99" spans="1:3" ht="30">
      <c r="A99" s="59" t="s">
        <v>156</v>
      </c>
      <c r="B99" s="58" t="s">
        <v>157</v>
      </c>
      <c r="C99" s="32">
        <f>[26]С4!F19</f>
        <v>12104</v>
      </c>
    </row>
    <row r="100" spans="1:3" ht="31.5">
      <c r="A100" s="59" t="s">
        <v>158</v>
      </c>
      <c r="B100" s="58" t="s">
        <v>159</v>
      </c>
      <c r="C100" s="40">
        <f>[26]С4!F20</f>
        <v>1.4999999999999999E-2</v>
      </c>
    </row>
    <row r="101" spans="1:3" ht="30">
      <c r="A101" s="59" t="s">
        <v>160</v>
      </c>
      <c r="B101" s="31" t="s">
        <v>244</v>
      </c>
      <c r="C101" s="32">
        <f>[26]С4!F21</f>
        <v>1933.1949342509995</v>
      </c>
    </row>
    <row r="102" spans="1:3" ht="24" customHeight="1">
      <c r="A102" s="59" t="s">
        <v>162</v>
      </c>
      <c r="B102" s="52" t="s">
        <v>163</v>
      </c>
      <c r="C102" s="33">
        <f>IF([26]С4.2!F8="да",[26]С4.2!D21,[26]С4.2!D15)</f>
        <v>0</v>
      </c>
    </row>
    <row r="103" spans="1:3" ht="68.25">
      <c r="A103" s="59" t="s">
        <v>164</v>
      </c>
      <c r="B103" s="52" t="s">
        <v>165</v>
      </c>
      <c r="C103" s="32">
        <f>[26]С4!F22</f>
        <v>3.6112641666666665</v>
      </c>
    </row>
    <row r="104" spans="1:3" ht="30">
      <c r="A104" s="59" t="s">
        <v>166</v>
      </c>
      <c r="B104" s="58" t="s">
        <v>245</v>
      </c>
      <c r="C104" s="32">
        <f>[26]С4!F23</f>
        <v>180</v>
      </c>
    </row>
    <row r="105" spans="1:3" ht="14.25">
      <c r="A105" s="59" t="s">
        <v>168</v>
      </c>
      <c r="B105" s="52" t="s">
        <v>169</v>
      </c>
      <c r="C105" s="32">
        <f>[26]С4!F24</f>
        <v>8497.1999999999989</v>
      </c>
    </row>
    <row r="106" spans="1:3" ht="14.25">
      <c r="A106" s="59" t="s">
        <v>170</v>
      </c>
      <c r="B106" s="58" t="s">
        <v>171</v>
      </c>
      <c r="C106" s="40">
        <f>[26]С4!F25</f>
        <v>0.35</v>
      </c>
    </row>
    <row r="107" spans="1:3" ht="17.25">
      <c r="A107" s="59" t="s">
        <v>172</v>
      </c>
      <c r="B107" s="31" t="s">
        <v>173</v>
      </c>
      <c r="C107" s="32">
        <f>[26]С4!F26</f>
        <v>85.988129999999998</v>
      </c>
    </row>
    <row r="108" spans="1:3" ht="25.5">
      <c r="A108" s="59" t="s">
        <v>174</v>
      </c>
      <c r="B108" s="52" t="s">
        <v>100</v>
      </c>
      <c r="C108" s="33">
        <f>[26]С4.3!E16</f>
        <v>0</v>
      </c>
    </row>
    <row r="109" spans="1:3" ht="25.5">
      <c r="A109" s="59" t="s">
        <v>175</v>
      </c>
      <c r="B109" s="52" t="s">
        <v>176</v>
      </c>
      <c r="C109" s="32">
        <f>[26]С4.3!E17</f>
        <v>20.350000000000001</v>
      </c>
    </row>
    <row r="110" spans="1:3" ht="38.25">
      <c r="A110" s="59" t="s">
        <v>177</v>
      </c>
      <c r="B110" s="52" t="s">
        <v>112</v>
      </c>
      <c r="C110" s="33">
        <f>[26]С4.3!E18</f>
        <v>0</v>
      </c>
    </row>
    <row r="111" spans="1:3">
      <c r="A111" s="59" t="s">
        <v>178</v>
      </c>
      <c r="B111" s="52" t="s">
        <v>179</v>
      </c>
      <c r="C111" s="32">
        <f>[26]С4.3!E19</f>
        <v>71.67</v>
      </c>
    </row>
    <row r="112" spans="1:3">
      <c r="A112" s="59" t="s">
        <v>180</v>
      </c>
      <c r="B112" s="58" t="s">
        <v>181</v>
      </c>
      <c r="C112" s="32">
        <f>[26]С4.3!E11</f>
        <v>1871</v>
      </c>
    </row>
    <row r="113" spans="1:3">
      <c r="A113" s="59" t="s">
        <v>182</v>
      </c>
      <c r="B113" s="58" t="s">
        <v>183</v>
      </c>
      <c r="C113" s="51">
        <f>[26]С4.3!E12</f>
        <v>1636</v>
      </c>
    </row>
    <row r="114" spans="1:3">
      <c r="A114" s="59" t="s">
        <v>184</v>
      </c>
      <c r="B114" s="58" t="s">
        <v>185</v>
      </c>
      <c r="C114" s="51">
        <f>[26]С4.3!E13</f>
        <v>204</v>
      </c>
    </row>
    <row r="115" spans="1:3" ht="30">
      <c r="A115" s="59" t="s">
        <v>186</v>
      </c>
      <c r="B115" s="31" t="s">
        <v>246</v>
      </c>
      <c r="C115" s="32">
        <f>[26]С4!F27</f>
        <v>1291.2863994686898</v>
      </c>
    </row>
    <row r="116" spans="1:3" ht="25.5">
      <c r="A116" s="59" t="s">
        <v>188</v>
      </c>
      <c r="B116" s="52" t="s">
        <v>247</v>
      </c>
      <c r="C116" s="32">
        <f>[26]С4!F28</f>
        <v>991.77142816335618</v>
      </c>
    </row>
    <row r="117" spans="1:3" ht="42.75">
      <c r="A117" s="59" t="s">
        <v>190</v>
      </c>
      <c r="B117" s="52" t="s">
        <v>191</v>
      </c>
      <c r="C117" s="32">
        <f>[26]С4!F29</f>
        <v>299.51497130533357</v>
      </c>
    </row>
    <row r="118" spans="1:3" ht="30">
      <c r="A118" s="59" t="s">
        <v>192</v>
      </c>
      <c r="B118" s="39" t="s">
        <v>193</v>
      </c>
      <c r="C118" s="32">
        <f>[26]С4!F30</f>
        <v>1686.2154314967588</v>
      </c>
    </row>
    <row r="119" spans="1:3" ht="42.75">
      <c r="A119" s="59" t="s">
        <v>248</v>
      </c>
      <c r="B119" s="89" t="s">
        <v>249</v>
      </c>
      <c r="C119" s="32">
        <f>[26]С4!F33</f>
        <v>966.09914722830672</v>
      </c>
    </row>
    <row r="120" spans="1:3" ht="30">
      <c r="A120" s="59" t="s">
        <v>250</v>
      </c>
      <c r="B120" s="121" t="s">
        <v>251</v>
      </c>
      <c r="C120" s="32">
        <f>[26]С4!F35</f>
        <v>17.040680999999999</v>
      </c>
    </row>
    <row r="121" spans="1:3" ht="14.25">
      <c r="A121" s="59" t="s">
        <v>252</v>
      </c>
      <c r="B121" s="55" t="s">
        <v>253</v>
      </c>
      <c r="C121" s="32">
        <f>[26]С4!F36</f>
        <v>14319.9</v>
      </c>
    </row>
    <row r="122" spans="1:3" ht="28.5" thickBot="1">
      <c r="A122" s="74" t="s">
        <v>254</v>
      </c>
      <c r="B122" s="122" t="s">
        <v>255</v>
      </c>
      <c r="C122" s="84">
        <f>[26]С4!F37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[26]С5!F17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[26]С2!F37</f>
        <v>20.818139999999996</v>
      </c>
    </row>
    <row r="136" spans="1:4" ht="14.25">
      <c r="A136" s="59" t="s">
        <v>214</v>
      </c>
      <c r="B136" s="128" t="s">
        <v>215</v>
      </c>
      <c r="C136" s="32">
        <f>[26]С2!F38</f>
        <v>7</v>
      </c>
    </row>
    <row r="137" spans="1:4" ht="17.25">
      <c r="A137" s="59" t="s">
        <v>216</v>
      </c>
      <c r="B137" s="128" t="s">
        <v>217</v>
      </c>
      <c r="C137" s="32">
        <f>[26]С2!F40</f>
        <v>0.97</v>
      </c>
    </row>
    <row r="138" spans="1:4" ht="15" thickBot="1">
      <c r="A138" s="74" t="s">
        <v>218</v>
      </c>
      <c r="B138" s="129" t="s">
        <v>219</v>
      </c>
      <c r="C138" s="46">
        <f>[26]С2!F42</f>
        <v>0.35</v>
      </c>
    </row>
    <row r="139" spans="1:4" s="87" customFormat="1" ht="13.5" thickBot="1">
      <c r="A139" s="47"/>
      <c r="B139" s="48"/>
      <c r="C139" s="14"/>
    </row>
    <row r="140" spans="1:4" ht="30">
      <c r="A140" s="85" t="s">
        <v>220</v>
      </c>
      <c r="B140" s="95" t="s">
        <v>258</v>
      </c>
      <c r="C140" s="130">
        <f>[26]С2!F35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[26]С2.5!$E$11</f>
        <v>-2.9000000000000026E-2</v>
      </c>
      <c r="D143" s="87"/>
    </row>
    <row r="144" spans="1:4">
      <c r="A144" s="97"/>
      <c r="B144" s="104">
        <f>B143+1</f>
        <v>2021</v>
      </c>
      <c r="C144" s="135">
        <f>[26]С2.5!$F$11</f>
        <v>0.245</v>
      </c>
      <c r="D144" s="87"/>
    </row>
    <row r="145" spans="1:4">
      <c r="A145" s="97"/>
      <c r="B145" s="104">
        <f t="shared" ref="B145:B208" si="0">B144+1</f>
        <v>2022</v>
      </c>
      <c r="C145" s="135">
        <f>[26]С2.5!$G$11</f>
        <v>0.114</v>
      </c>
      <c r="D145" s="87"/>
    </row>
    <row r="146" spans="1:4" ht="13.5" thickBot="1">
      <c r="A146" s="97"/>
      <c r="B146" s="106">
        <f t="shared" si="0"/>
        <v>2023</v>
      </c>
      <c r="C146" s="136">
        <f>[26]С2.5!$H$11</f>
        <v>2.4E-2</v>
      </c>
      <c r="D146" s="87"/>
    </row>
    <row r="147" spans="1:4">
      <c r="A147" s="97"/>
      <c r="B147" s="137">
        <f t="shared" si="0"/>
        <v>2024</v>
      </c>
      <c r="C147" s="138">
        <f>[26]С2.5!$I$11</f>
        <v>8.5999999999999993E-2</v>
      </c>
      <c r="D147" s="87"/>
    </row>
    <row r="148" spans="1:4" hidden="1">
      <c r="A148" s="97"/>
      <c r="B148" s="104">
        <f t="shared" si="0"/>
        <v>2025</v>
      </c>
      <c r="C148" s="135">
        <f>[26]С2.5!$J$11</f>
        <v>0.21215960863291</v>
      </c>
      <c r="D148" s="87"/>
    </row>
    <row r="149" spans="1:4" hidden="1">
      <c r="A149" s="97"/>
      <c r="B149" s="104">
        <f t="shared" si="0"/>
        <v>2026</v>
      </c>
      <c r="C149" s="135">
        <f>[26]С2.5!$K$11</f>
        <v>3.5813361771260002E-2</v>
      </c>
      <c r="D149" s="87"/>
    </row>
    <row r="150" spans="1:4" hidden="1">
      <c r="A150" s="97"/>
      <c r="B150" s="104">
        <f t="shared" si="0"/>
        <v>2027</v>
      </c>
      <c r="C150" s="135">
        <f>[26]С2.5!$L$11</f>
        <v>3.2682303599220003E-2</v>
      </c>
      <c r="D150" s="87"/>
    </row>
    <row r="151" spans="1:4" hidden="1">
      <c r="A151" s="97"/>
      <c r="B151" s="104">
        <f t="shared" si="0"/>
        <v>2028</v>
      </c>
      <c r="C151" s="135">
        <f>[26]С2.5!$M$11</f>
        <v>0</v>
      </c>
      <c r="D151" s="87"/>
    </row>
    <row r="152" spans="1:4" hidden="1">
      <c r="A152" s="97"/>
      <c r="B152" s="104">
        <f t="shared" si="0"/>
        <v>2029</v>
      </c>
      <c r="C152" s="135">
        <f>[26]С2.5!$N$11</f>
        <v>0</v>
      </c>
      <c r="D152" s="87"/>
    </row>
    <row r="153" spans="1:4" hidden="1">
      <c r="A153" s="97"/>
      <c r="B153" s="104">
        <f t="shared" si="0"/>
        <v>2030</v>
      </c>
      <c r="C153" s="135">
        <f>[26]С2.5!$O$11</f>
        <v>0</v>
      </c>
      <c r="D153" s="87"/>
    </row>
    <row r="154" spans="1:4" hidden="1">
      <c r="A154" s="97"/>
      <c r="B154" s="104">
        <f t="shared" si="0"/>
        <v>2031</v>
      </c>
      <c r="C154" s="135">
        <f>[26]С2.5!$P$11</f>
        <v>0</v>
      </c>
      <c r="D154" s="87"/>
    </row>
    <row r="155" spans="1:4" hidden="1">
      <c r="A155" s="87"/>
      <c r="B155" s="104">
        <f t="shared" si="0"/>
        <v>2032</v>
      </c>
      <c r="C155" s="135">
        <f>[26]С2.5!$Q$11</f>
        <v>0</v>
      </c>
      <c r="D155" s="87"/>
    </row>
    <row r="156" spans="1:4" hidden="1">
      <c r="A156" s="87"/>
      <c r="B156" s="104">
        <f t="shared" si="0"/>
        <v>2033</v>
      </c>
      <c r="C156" s="135">
        <f>[26]С2.5!$R$11</f>
        <v>0</v>
      </c>
      <c r="D156" s="87"/>
    </row>
    <row r="157" spans="1:4" hidden="1">
      <c r="B157" s="104">
        <f t="shared" si="0"/>
        <v>2034</v>
      </c>
      <c r="C157" s="135">
        <f>[26]С2.5!$S$11</f>
        <v>0</v>
      </c>
    </row>
    <row r="158" spans="1:4" hidden="1">
      <c r="B158" s="104">
        <f t="shared" si="0"/>
        <v>2035</v>
      </c>
      <c r="C158" s="135">
        <f>[26]С2.5!$T$11</f>
        <v>0</v>
      </c>
    </row>
    <row r="159" spans="1:4" hidden="1">
      <c r="B159" s="104">
        <f t="shared" si="0"/>
        <v>2036</v>
      </c>
      <c r="C159" s="135">
        <f>[26]С2.5!$U$11</f>
        <v>0</v>
      </c>
    </row>
    <row r="160" spans="1:4" hidden="1">
      <c r="B160" s="104">
        <f t="shared" si="0"/>
        <v>2037</v>
      </c>
      <c r="C160" s="135">
        <f>[26]С2.5!$V$11</f>
        <v>0</v>
      </c>
    </row>
    <row r="161" spans="2:3" hidden="1">
      <c r="B161" s="104">
        <f t="shared" si="0"/>
        <v>2038</v>
      </c>
      <c r="C161" s="135">
        <f>[26]С2.5!$W$11</f>
        <v>0</v>
      </c>
    </row>
    <row r="162" spans="2:3" hidden="1">
      <c r="B162" s="104">
        <f t="shared" si="0"/>
        <v>2039</v>
      </c>
      <c r="C162" s="135">
        <f>[26]С2.5!$X$11</f>
        <v>0</v>
      </c>
    </row>
    <row r="163" spans="2:3" hidden="1">
      <c r="B163" s="104">
        <f t="shared" si="0"/>
        <v>2040</v>
      </c>
      <c r="C163" s="135">
        <f>[26]С2.5!$Y$11</f>
        <v>0</v>
      </c>
    </row>
    <row r="164" spans="2:3" hidden="1">
      <c r="B164" s="104">
        <f t="shared" si="0"/>
        <v>2041</v>
      </c>
      <c r="C164" s="135">
        <f>[26]С2.5!$Z$11</f>
        <v>0</v>
      </c>
    </row>
    <row r="165" spans="2:3" hidden="1">
      <c r="B165" s="104">
        <f t="shared" si="0"/>
        <v>2042</v>
      </c>
      <c r="C165" s="135">
        <f>[26]С2.5!$AA$11</f>
        <v>0</v>
      </c>
    </row>
    <row r="166" spans="2:3" hidden="1">
      <c r="B166" s="104">
        <f t="shared" si="0"/>
        <v>2043</v>
      </c>
      <c r="C166" s="135">
        <f>[26]С2.5!$AB$11</f>
        <v>0</v>
      </c>
    </row>
    <row r="167" spans="2:3" hidden="1">
      <c r="B167" s="104">
        <f t="shared" si="0"/>
        <v>2044</v>
      </c>
      <c r="C167" s="135">
        <f>[26]С2.5!$AC$11</f>
        <v>0</v>
      </c>
    </row>
    <row r="168" spans="2:3" hidden="1">
      <c r="B168" s="104">
        <f t="shared" si="0"/>
        <v>2045</v>
      </c>
      <c r="C168" s="135">
        <f>[26]С2.5!$AD$11</f>
        <v>0</v>
      </c>
    </row>
    <row r="169" spans="2:3" hidden="1">
      <c r="B169" s="104">
        <f t="shared" si="0"/>
        <v>2046</v>
      </c>
      <c r="C169" s="135">
        <f>[26]С2.5!$AE$11</f>
        <v>0</v>
      </c>
    </row>
    <row r="170" spans="2:3" hidden="1">
      <c r="B170" s="104">
        <f t="shared" si="0"/>
        <v>2047</v>
      </c>
      <c r="C170" s="135">
        <f>[26]С2.5!$AF$11</f>
        <v>0</v>
      </c>
    </row>
    <row r="171" spans="2:3" hidden="1">
      <c r="B171" s="104">
        <f t="shared" si="0"/>
        <v>2048</v>
      </c>
      <c r="C171" s="135">
        <f>[26]С2.5!$AG$11</f>
        <v>0</v>
      </c>
    </row>
    <row r="172" spans="2:3" hidden="1">
      <c r="B172" s="104">
        <f t="shared" si="0"/>
        <v>2049</v>
      </c>
      <c r="C172" s="135">
        <f>[26]С2.5!$AH$11</f>
        <v>0</v>
      </c>
    </row>
    <row r="173" spans="2:3" hidden="1">
      <c r="B173" s="104">
        <f t="shared" si="0"/>
        <v>2050</v>
      </c>
      <c r="C173" s="135">
        <f>[26]С2.5!$AI$11</f>
        <v>0</v>
      </c>
    </row>
    <row r="174" spans="2:3" hidden="1">
      <c r="B174" s="104">
        <f t="shared" si="0"/>
        <v>2051</v>
      </c>
      <c r="C174" s="135">
        <f>[26]С2.5!$AJ$11</f>
        <v>0</v>
      </c>
    </row>
    <row r="175" spans="2:3" hidden="1">
      <c r="B175" s="104">
        <f t="shared" si="0"/>
        <v>2052</v>
      </c>
      <c r="C175" s="135">
        <f>[26]С2.5!$AK$11</f>
        <v>0</v>
      </c>
    </row>
    <row r="176" spans="2:3" hidden="1">
      <c r="B176" s="104">
        <f t="shared" si="0"/>
        <v>2053</v>
      </c>
      <c r="C176" s="135">
        <f>[26]С2.5!$AL$11</f>
        <v>0</v>
      </c>
    </row>
    <row r="177" spans="2:3" hidden="1">
      <c r="B177" s="104">
        <f t="shared" si="0"/>
        <v>2054</v>
      </c>
      <c r="C177" s="135">
        <f>[26]С2.5!$AM$11</f>
        <v>0</v>
      </c>
    </row>
    <row r="178" spans="2:3" hidden="1">
      <c r="B178" s="104">
        <f t="shared" si="0"/>
        <v>2055</v>
      </c>
      <c r="C178" s="135">
        <f>[26]С2.5!$AN$11</f>
        <v>0</v>
      </c>
    </row>
    <row r="179" spans="2:3" hidden="1">
      <c r="B179" s="104">
        <f t="shared" si="0"/>
        <v>2056</v>
      </c>
      <c r="C179" s="135">
        <f>[26]С2.5!$AO$11</f>
        <v>0</v>
      </c>
    </row>
    <row r="180" spans="2:3" hidden="1">
      <c r="B180" s="104">
        <f t="shared" si="0"/>
        <v>2057</v>
      </c>
      <c r="C180" s="135">
        <f>[26]С2.5!$AP$11</f>
        <v>0</v>
      </c>
    </row>
    <row r="181" spans="2:3" hidden="1">
      <c r="B181" s="104">
        <f t="shared" si="0"/>
        <v>2058</v>
      </c>
      <c r="C181" s="135">
        <f>[26]С2.5!$AQ$11</f>
        <v>0</v>
      </c>
    </row>
    <row r="182" spans="2:3" hidden="1">
      <c r="B182" s="104">
        <f t="shared" si="0"/>
        <v>2059</v>
      </c>
      <c r="C182" s="135">
        <f>[26]С2.5!$AR$11</f>
        <v>0</v>
      </c>
    </row>
    <row r="183" spans="2:3" hidden="1">
      <c r="B183" s="104">
        <f t="shared" si="0"/>
        <v>2060</v>
      </c>
      <c r="C183" s="135">
        <f>[26]С2.5!$AS$11</f>
        <v>0</v>
      </c>
    </row>
    <row r="184" spans="2:3" hidden="1">
      <c r="B184" s="104">
        <f t="shared" si="0"/>
        <v>2061</v>
      </c>
      <c r="C184" s="135">
        <f>[26]С2.5!$AT$11</f>
        <v>0</v>
      </c>
    </row>
    <row r="185" spans="2:3" hidden="1">
      <c r="B185" s="104">
        <f t="shared" si="0"/>
        <v>2062</v>
      </c>
      <c r="C185" s="135">
        <f>[26]С2.5!$AU$11</f>
        <v>0</v>
      </c>
    </row>
    <row r="186" spans="2:3" hidden="1">
      <c r="B186" s="104">
        <f t="shared" si="0"/>
        <v>2063</v>
      </c>
      <c r="C186" s="135">
        <f>[26]С2.5!$AV$11</f>
        <v>0</v>
      </c>
    </row>
    <row r="187" spans="2:3" hidden="1">
      <c r="B187" s="104">
        <f t="shared" si="0"/>
        <v>2064</v>
      </c>
      <c r="C187" s="135">
        <f>[26]С2.5!$AW$11</f>
        <v>0</v>
      </c>
    </row>
    <row r="188" spans="2:3" hidden="1">
      <c r="B188" s="104">
        <f t="shared" si="0"/>
        <v>2065</v>
      </c>
      <c r="C188" s="135">
        <f>[26]С2.5!$AX$11</f>
        <v>0</v>
      </c>
    </row>
    <row r="189" spans="2:3" hidden="1">
      <c r="B189" s="104">
        <f t="shared" si="0"/>
        <v>2066</v>
      </c>
      <c r="C189" s="135">
        <f>[26]С2.5!$AY$11</f>
        <v>0</v>
      </c>
    </row>
    <row r="190" spans="2:3" hidden="1">
      <c r="B190" s="104">
        <f t="shared" si="0"/>
        <v>2067</v>
      </c>
      <c r="C190" s="135">
        <f>[26]С2.5!$AZ$11</f>
        <v>0</v>
      </c>
    </row>
    <row r="191" spans="2:3" hidden="1">
      <c r="B191" s="104">
        <f t="shared" si="0"/>
        <v>2068</v>
      </c>
      <c r="C191" s="135">
        <f>[26]С2.5!$BA$11</f>
        <v>0</v>
      </c>
    </row>
    <row r="192" spans="2:3" hidden="1">
      <c r="B192" s="104">
        <f t="shared" si="0"/>
        <v>2069</v>
      </c>
      <c r="C192" s="135">
        <f>[26]С2.5!$BB$11</f>
        <v>0</v>
      </c>
    </row>
    <row r="193" spans="2:3" hidden="1">
      <c r="B193" s="104">
        <f t="shared" si="0"/>
        <v>2070</v>
      </c>
      <c r="C193" s="135">
        <f>[26]С2.5!$BC$11</f>
        <v>0</v>
      </c>
    </row>
    <row r="194" spans="2:3" hidden="1">
      <c r="B194" s="104">
        <f t="shared" si="0"/>
        <v>2071</v>
      </c>
      <c r="C194" s="135">
        <f>[26]С2.5!$BD$11</f>
        <v>0</v>
      </c>
    </row>
    <row r="195" spans="2:3" hidden="1">
      <c r="B195" s="104">
        <f t="shared" si="0"/>
        <v>2072</v>
      </c>
      <c r="C195" s="135">
        <f>[26]С2.5!$BE$11</f>
        <v>0</v>
      </c>
    </row>
    <row r="196" spans="2:3" hidden="1">
      <c r="B196" s="104">
        <f t="shared" si="0"/>
        <v>2073</v>
      </c>
      <c r="C196" s="135">
        <f>[26]С2.5!$BF$11</f>
        <v>0</v>
      </c>
    </row>
    <row r="197" spans="2:3" hidden="1">
      <c r="B197" s="104">
        <f t="shared" si="0"/>
        <v>2074</v>
      </c>
      <c r="C197" s="135">
        <f>[26]С2.5!$BG$11</f>
        <v>0</v>
      </c>
    </row>
    <row r="198" spans="2:3" hidden="1">
      <c r="B198" s="104">
        <f t="shared" si="0"/>
        <v>2075</v>
      </c>
      <c r="C198" s="135">
        <f>[26]С2.5!$BH$11</f>
        <v>0</v>
      </c>
    </row>
    <row r="199" spans="2:3" hidden="1">
      <c r="B199" s="104">
        <f t="shared" si="0"/>
        <v>2076</v>
      </c>
      <c r="C199" s="135">
        <f>[26]С2.5!$BI$11</f>
        <v>0</v>
      </c>
    </row>
    <row r="200" spans="2:3" hidden="1">
      <c r="B200" s="104">
        <f t="shared" si="0"/>
        <v>2077</v>
      </c>
      <c r="C200" s="135">
        <f>[26]С2.5!$BJ$11</f>
        <v>0</v>
      </c>
    </row>
    <row r="201" spans="2:3" hidden="1">
      <c r="B201" s="104">
        <f t="shared" si="0"/>
        <v>2078</v>
      </c>
      <c r="C201" s="135">
        <f>[26]С2.5!$BK$11</f>
        <v>0</v>
      </c>
    </row>
    <row r="202" spans="2:3" hidden="1">
      <c r="B202" s="104">
        <f t="shared" si="0"/>
        <v>2079</v>
      </c>
      <c r="C202" s="135">
        <f>[26]С2.5!$BL$11</f>
        <v>0</v>
      </c>
    </row>
    <row r="203" spans="2:3" hidden="1">
      <c r="B203" s="104">
        <f t="shared" si="0"/>
        <v>2080</v>
      </c>
      <c r="C203" s="135">
        <f>[26]С2.5!$BM$11</f>
        <v>0</v>
      </c>
    </row>
    <row r="204" spans="2:3" hidden="1">
      <c r="B204" s="104">
        <f t="shared" si="0"/>
        <v>2081</v>
      </c>
      <c r="C204" s="135">
        <f>[26]С2.5!$BN$11</f>
        <v>0</v>
      </c>
    </row>
    <row r="205" spans="2:3" hidden="1">
      <c r="B205" s="104">
        <f t="shared" si="0"/>
        <v>2082</v>
      </c>
      <c r="C205" s="135">
        <f>[26]С2.5!$BO$11</f>
        <v>0</v>
      </c>
    </row>
    <row r="206" spans="2:3" hidden="1">
      <c r="B206" s="104">
        <f t="shared" si="0"/>
        <v>2083</v>
      </c>
      <c r="C206" s="135">
        <f>[26]С2.5!$BP$11</f>
        <v>0</v>
      </c>
    </row>
    <row r="207" spans="2:3" hidden="1">
      <c r="B207" s="104">
        <f t="shared" si="0"/>
        <v>2084</v>
      </c>
      <c r="C207" s="135">
        <f>[26]С2.5!$BQ$11</f>
        <v>0</v>
      </c>
    </row>
    <row r="208" spans="2:3" hidden="1">
      <c r="B208" s="104">
        <f t="shared" si="0"/>
        <v>2085</v>
      </c>
      <c r="C208" s="135">
        <f>[26]С2.5!$BR$11</f>
        <v>0</v>
      </c>
    </row>
    <row r="209" spans="2:3" hidden="1">
      <c r="B209" s="104">
        <f t="shared" ref="B209:B223" si="1">B208+1</f>
        <v>2086</v>
      </c>
      <c r="C209" s="135">
        <f>[26]С2.5!$BS$11</f>
        <v>0</v>
      </c>
    </row>
    <row r="210" spans="2:3" hidden="1">
      <c r="B210" s="104">
        <f t="shared" si="1"/>
        <v>2087</v>
      </c>
      <c r="C210" s="135">
        <f>[26]С2.5!$BT$11</f>
        <v>0</v>
      </c>
    </row>
    <row r="211" spans="2:3" hidden="1">
      <c r="B211" s="104">
        <f t="shared" si="1"/>
        <v>2088</v>
      </c>
      <c r="C211" s="135">
        <f>[26]С2.5!$BU$11</f>
        <v>0</v>
      </c>
    </row>
    <row r="212" spans="2:3" hidden="1">
      <c r="B212" s="104">
        <f t="shared" si="1"/>
        <v>2089</v>
      </c>
      <c r="C212" s="135">
        <f>[26]С2.5!$BV$11</f>
        <v>0</v>
      </c>
    </row>
    <row r="213" spans="2:3" hidden="1">
      <c r="B213" s="104">
        <f t="shared" si="1"/>
        <v>2090</v>
      </c>
      <c r="C213" s="135">
        <f>[26]С2.5!$BW$11</f>
        <v>0</v>
      </c>
    </row>
    <row r="214" spans="2:3" hidden="1">
      <c r="B214" s="104">
        <f t="shared" si="1"/>
        <v>2091</v>
      </c>
      <c r="C214" s="135">
        <f>[26]С2.5!$BX$11</f>
        <v>0</v>
      </c>
    </row>
    <row r="215" spans="2:3" hidden="1">
      <c r="B215" s="104">
        <f t="shared" si="1"/>
        <v>2092</v>
      </c>
      <c r="C215" s="135">
        <f>[26]С2.5!$BY$11</f>
        <v>0</v>
      </c>
    </row>
    <row r="216" spans="2:3" hidden="1">
      <c r="B216" s="104">
        <f t="shared" si="1"/>
        <v>2093</v>
      </c>
      <c r="C216" s="135">
        <f>[26]С2.5!$BZ$11</f>
        <v>0</v>
      </c>
    </row>
    <row r="217" spans="2:3" hidden="1">
      <c r="B217" s="104">
        <f t="shared" si="1"/>
        <v>2094</v>
      </c>
      <c r="C217" s="135">
        <f>[26]С2.5!$CA$11</f>
        <v>0</v>
      </c>
    </row>
    <row r="218" spans="2:3" hidden="1">
      <c r="B218" s="104">
        <f t="shared" si="1"/>
        <v>2095</v>
      </c>
      <c r="C218" s="135">
        <f>[26]С2.5!$CB$11</f>
        <v>0</v>
      </c>
    </row>
    <row r="219" spans="2:3" hidden="1">
      <c r="B219" s="104">
        <f t="shared" si="1"/>
        <v>2096</v>
      </c>
      <c r="C219" s="135">
        <f>[26]С2.5!$CC$11</f>
        <v>0</v>
      </c>
    </row>
    <row r="220" spans="2:3" hidden="1">
      <c r="B220" s="104">
        <f t="shared" si="1"/>
        <v>2097</v>
      </c>
      <c r="C220" s="135">
        <f>[26]С2.5!$CD$11</f>
        <v>0</v>
      </c>
    </row>
    <row r="221" spans="2:3" hidden="1">
      <c r="B221" s="104">
        <f t="shared" si="1"/>
        <v>2098</v>
      </c>
      <c r="C221" s="135">
        <f>[26]С2.5!$CE$11</f>
        <v>0</v>
      </c>
    </row>
    <row r="222" spans="2:3" hidden="1">
      <c r="B222" s="104">
        <f t="shared" si="1"/>
        <v>2099</v>
      </c>
      <c r="C222" s="135">
        <f>[26]С2.5!$CF$11</f>
        <v>0</v>
      </c>
    </row>
    <row r="223" spans="2:3" ht="13.5" hidden="1" thickBot="1">
      <c r="B223" s="106">
        <f t="shared" si="1"/>
        <v>2100</v>
      </c>
      <c r="C223" s="136">
        <f>[26]С2.5!$CG$11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7649" r:id="rId3" name="Button 1">
              <controlPr defaultSize="0" print="0" autoFill="0" autoPict="0" macro="[27]!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7650" r:id="rId4" name="Button 2">
              <controlPr defaultSize="0" print="0" autoFill="0" autoPict="0" macro="[2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[28]И1!D13</f>
        <v>Субъект Российской Федерации</v>
      </c>
      <c r="C4" s="9" t="str">
        <f>[28]И1!E13</f>
        <v>Новосибирская область</v>
      </c>
    </row>
    <row r="5" spans="1:3" ht="46.9" customHeight="1">
      <c r="A5" s="7"/>
      <c r="B5" s="8" t="str">
        <f>[28]И1!D14</f>
        <v>Тип муниципального образования (выберите из списка)</v>
      </c>
      <c r="C5" s="9" t="str">
        <f>[28]И1!E14</f>
        <v>село Кунчурук, Болотнинский муниципальный район</v>
      </c>
    </row>
    <row r="6" spans="1:3">
      <c r="A6" s="7"/>
      <c r="B6" s="8" t="str">
        <f>IF([28]И1!E15="","",[28]И1!D15)</f>
        <v/>
      </c>
      <c r="C6" s="9" t="str">
        <f>IF([28]И1!E15="","",[28]И1!E15)</f>
        <v/>
      </c>
    </row>
    <row r="7" spans="1:3">
      <c r="A7" s="7"/>
      <c r="B7" s="8" t="str">
        <f>[28]И1!D16</f>
        <v>Код ОКТМО</v>
      </c>
      <c r="C7" s="10" t="str">
        <f>[28]И1!E16</f>
        <v>50606428101</v>
      </c>
    </row>
    <row r="8" spans="1:3">
      <c r="A8" s="7"/>
      <c r="B8" s="11" t="str">
        <f>[28]И1!D17</f>
        <v>Система теплоснабжения</v>
      </c>
      <c r="C8" s="12">
        <f>[28]И1!E17</f>
        <v>0</v>
      </c>
    </row>
    <row r="9" spans="1:3">
      <c r="A9" s="7"/>
      <c r="B9" s="8" t="str">
        <f>[28]И1!D8</f>
        <v>Период регулирования (i)-й</v>
      </c>
      <c r="C9" s="13">
        <f>[28]И1!E8</f>
        <v>2024</v>
      </c>
    </row>
    <row r="10" spans="1:3">
      <c r="A10" s="7"/>
      <c r="B10" s="8" t="str">
        <f>[28]И1!D9</f>
        <v>Период регулирования (i-1)-й</v>
      </c>
      <c r="C10" s="13">
        <f>[28]И1!E9</f>
        <v>2023</v>
      </c>
    </row>
    <row r="11" spans="1:3">
      <c r="A11" s="7"/>
      <c r="B11" s="8" t="str">
        <f>[28]И1!D10</f>
        <v>Период регулирования (i-2)-й</v>
      </c>
      <c r="C11" s="13">
        <f>[28]И1!E10</f>
        <v>2022</v>
      </c>
    </row>
    <row r="12" spans="1:3">
      <c r="A12" s="7"/>
      <c r="B12" s="8" t="str">
        <f>[28]И1!D11</f>
        <v>Базовый год (б)</v>
      </c>
      <c r="C12" s="13">
        <f>[28]И1!E11</f>
        <v>2019</v>
      </c>
    </row>
    <row r="13" spans="1:3" ht="38.25">
      <c r="A13" s="7"/>
      <c r="B13" s="8" t="str">
        <f>[28]И1!D18</f>
        <v>Вид топлива, использование которого преобладает в системе теплоснабжения</v>
      </c>
      <c r="C13" s="14" t="str">
        <f>[28]С1.1!E13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3655.2820024247267</v>
      </c>
    </row>
    <row r="18" spans="1:3" ht="42.75">
      <c r="A18" s="21" t="s">
        <v>8</v>
      </c>
      <c r="B18" s="24" t="s">
        <v>9</v>
      </c>
      <c r="C18" s="25">
        <f>[28]С1!F12</f>
        <v>676.60152105220402</v>
      </c>
    </row>
    <row r="19" spans="1:3" ht="42.75">
      <c r="A19" s="21" t="s">
        <v>10</v>
      </c>
      <c r="B19" s="24" t="s">
        <v>11</v>
      </c>
      <c r="C19" s="25">
        <f>[28]С2!F12</f>
        <v>1993.3494362887216</v>
      </c>
    </row>
    <row r="20" spans="1:3" ht="30">
      <c r="A20" s="21" t="s">
        <v>12</v>
      </c>
      <c r="B20" s="24" t="s">
        <v>13</v>
      </c>
      <c r="C20" s="25">
        <f>[28]С3!F12</f>
        <v>473.85859951490778</v>
      </c>
    </row>
    <row r="21" spans="1:3" ht="42.75">
      <c r="A21" s="21" t="s">
        <v>14</v>
      </c>
      <c r="B21" s="24" t="s">
        <v>226</v>
      </c>
      <c r="C21" s="25">
        <f>[28]С4!F12</f>
        <v>439.80024944291841</v>
      </c>
    </row>
    <row r="22" spans="1:3" ht="30">
      <c r="A22" s="21" t="s">
        <v>16</v>
      </c>
      <c r="B22" s="24" t="s">
        <v>227</v>
      </c>
      <c r="C22" s="25">
        <f>[28]С5!F12</f>
        <v>71.672196125975034</v>
      </c>
    </row>
    <row r="23" spans="1:3" ht="43.5" thickBot="1">
      <c r="A23" s="26" t="s">
        <v>18</v>
      </c>
      <c r="B23" s="140" t="s">
        <v>228</v>
      </c>
      <c r="C23" s="27" t="str">
        <f>[28]С6!F12</f>
        <v>-</v>
      </c>
    </row>
    <row r="24" spans="1:3" ht="13.5" thickBot="1">
      <c r="A24" s="1"/>
    </row>
    <row r="25" spans="1:3">
      <c r="A25" s="15" t="s">
        <v>4</v>
      </c>
      <c r="B25" s="28" t="s">
        <v>5</v>
      </c>
      <c r="C25" s="16" t="s">
        <v>6</v>
      </c>
    </row>
    <row r="26" spans="1:3">
      <c r="A26" s="18">
        <v>1</v>
      </c>
      <c r="B26" s="29">
        <v>2</v>
      </c>
      <c r="C26" s="30">
        <v>3</v>
      </c>
    </row>
    <row r="27" spans="1:3" ht="35.25" customHeight="1">
      <c r="A27" s="21">
        <v>1</v>
      </c>
      <c r="B27" s="144" t="s">
        <v>20</v>
      </c>
      <c r="C27" s="144"/>
    </row>
    <row r="28" spans="1:3">
      <c r="A28" s="21" t="s">
        <v>8</v>
      </c>
      <c r="B28" s="31" t="s">
        <v>229</v>
      </c>
      <c r="C28" s="32">
        <f>[28]С1.1!E16</f>
        <v>5100</v>
      </c>
    </row>
    <row r="29" spans="1:3" ht="42.75">
      <c r="A29" s="21" t="s">
        <v>10</v>
      </c>
      <c r="B29" s="31" t="s">
        <v>230</v>
      </c>
      <c r="C29" s="32">
        <f>[28]С1.1!E27</f>
        <v>3040</v>
      </c>
    </row>
    <row r="30" spans="1:3" ht="17.25">
      <c r="A30" s="21" t="s">
        <v>12</v>
      </c>
      <c r="B30" s="31" t="s">
        <v>29</v>
      </c>
      <c r="C30" s="34">
        <f>[28]С1.1!E19</f>
        <v>-0.19900000000000001</v>
      </c>
    </row>
    <row r="31" spans="1:3" ht="17.25">
      <c r="A31" s="21" t="s">
        <v>14</v>
      </c>
      <c r="B31" s="31" t="s">
        <v>30</v>
      </c>
      <c r="C31" s="34">
        <f>[28]С1.1!E20</f>
        <v>5.7000000000000002E-2</v>
      </c>
    </row>
    <row r="32" spans="1:3" ht="30">
      <c r="A32" s="21" t="s">
        <v>16</v>
      </c>
      <c r="B32" s="35" t="s">
        <v>231</v>
      </c>
      <c r="C32" s="117">
        <f>[28]С1!F13</f>
        <v>176.4</v>
      </c>
    </row>
    <row r="33" spans="1:3">
      <c r="A33" s="21" t="s">
        <v>18</v>
      </c>
      <c r="B33" s="35" t="s">
        <v>32</v>
      </c>
      <c r="C33" s="37">
        <f>[28]С1!F16</f>
        <v>7000</v>
      </c>
    </row>
    <row r="34" spans="1:3" ht="14.25">
      <c r="A34" s="21" t="s">
        <v>33</v>
      </c>
      <c r="B34" s="39" t="s">
        <v>232</v>
      </c>
      <c r="C34" s="40">
        <f>[28]С1!F17</f>
        <v>0.72857142857142854</v>
      </c>
    </row>
    <row r="35" spans="1:3" ht="15.75">
      <c r="A35" s="118" t="s">
        <v>35</v>
      </c>
      <c r="B35" s="42" t="s">
        <v>36</v>
      </c>
      <c r="C35" s="40">
        <f>[28]С1!F20</f>
        <v>21.588411179999994</v>
      </c>
    </row>
    <row r="36" spans="1:3" ht="15.75">
      <c r="A36" s="118" t="s">
        <v>37</v>
      </c>
      <c r="B36" s="43" t="s">
        <v>38</v>
      </c>
      <c r="C36" s="40">
        <f>[28]С1!F21</f>
        <v>20.818139999999996</v>
      </c>
    </row>
    <row r="37" spans="1:3" ht="14.25">
      <c r="A37" s="118" t="s">
        <v>39</v>
      </c>
      <c r="B37" s="44" t="s">
        <v>40</v>
      </c>
      <c r="C37" s="40">
        <f>[28]С1!F22</f>
        <v>1.0369999999999999</v>
      </c>
    </row>
    <row r="38" spans="1:3" ht="53.25" thickBot="1">
      <c r="A38" s="26" t="s">
        <v>41</v>
      </c>
      <c r="B38" s="45" t="s">
        <v>42</v>
      </c>
      <c r="C38" s="46">
        <f>[28]С1!F23</f>
        <v>1.0469999999999999</v>
      </c>
    </row>
    <row r="39" spans="1:3" ht="13.5" thickBot="1">
      <c r="A39" s="47"/>
      <c r="B39" s="119"/>
      <c r="C39" s="120"/>
    </row>
    <row r="40" spans="1:3" ht="34.5" customHeight="1">
      <c r="A40" s="49" t="s">
        <v>43</v>
      </c>
      <c r="B40" s="145" t="s">
        <v>44</v>
      </c>
      <c r="C40" s="145"/>
    </row>
    <row r="41" spans="1:3" ht="25.5">
      <c r="A41" s="21" t="s">
        <v>45</v>
      </c>
      <c r="B41" s="35" t="s">
        <v>46</v>
      </c>
      <c r="C41" s="50" t="str">
        <f>[28]С2.1!E12</f>
        <v>V</v>
      </c>
    </row>
    <row r="42" spans="1:3" ht="25.5">
      <c r="A42" s="21" t="s">
        <v>47</v>
      </c>
      <c r="B42" s="31" t="s">
        <v>48</v>
      </c>
      <c r="C42" s="50" t="str">
        <f>[28]С2.1!E13</f>
        <v>6 и менее баллов</v>
      </c>
    </row>
    <row r="43" spans="1:3" ht="25.5">
      <c r="A43" s="21" t="s">
        <v>49</v>
      </c>
      <c r="B43" s="31" t="s">
        <v>233</v>
      </c>
      <c r="C43" s="50" t="str">
        <f>[28]С2.1!E14</f>
        <v>от 200 до 500</v>
      </c>
    </row>
    <row r="44" spans="1:3" ht="25.5">
      <c r="A44" s="21" t="s">
        <v>51</v>
      </c>
      <c r="B44" s="31" t="s">
        <v>234</v>
      </c>
      <c r="C44" s="51" t="str">
        <f>[28]С2.1!E15</f>
        <v>нет</v>
      </c>
    </row>
    <row r="45" spans="1:3" ht="30">
      <c r="A45" s="21" t="s">
        <v>53</v>
      </c>
      <c r="B45" s="31" t="s">
        <v>54</v>
      </c>
      <c r="C45" s="32">
        <f>[28]С2!F18</f>
        <v>35106.652004551666</v>
      </c>
    </row>
    <row r="46" spans="1:3" ht="30">
      <c r="A46" s="21" t="s">
        <v>55</v>
      </c>
      <c r="B46" s="52" t="s">
        <v>56</v>
      </c>
      <c r="C46" s="32">
        <f>IF([28]С2!F19&gt;0,[28]С2!F19,[28]С2!F20)</f>
        <v>23441.524932855718</v>
      </c>
    </row>
    <row r="47" spans="1:3" ht="25.5">
      <c r="A47" s="21" t="s">
        <v>57</v>
      </c>
      <c r="B47" s="53" t="s">
        <v>58</v>
      </c>
      <c r="C47" s="32">
        <f>[28]С2.1!E19</f>
        <v>-38</v>
      </c>
    </row>
    <row r="48" spans="1:3" ht="25.5">
      <c r="A48" s="21" t="s">
        <v>59</v>
      </c>
      <c r="B48" s="53" t="s">
        <v>60</v>
      </c>
      <c r="C48" s="32" t="str">
        <f>[28]С2.1!E22</f>
        <v>нет</v>
      </c>
    </row>
    <row r="49" spans="1:3" ht="38.25">
      <c r="A49" s="21" t="s">
        <v>61</v>
      </c>
      <c r="B49" s="54" t="s">
        <v>62</v>
      </c>
      <c r="C49" s="32">
        <f>[28]С2.2!E10</f>
        <v>1287</v>
      </c>
    </row>
    <row r="50" spans="1:3" ht="25.5">
      <c r="A50" s="21" t="s">
        <v>63</v>
      </c>
      <c r="B50" s="55" t="s">
        <v>64</v>
      </c>
      <c r="C50" s="32">
        <f>[28]С2.2!E12</f>
        <v>5.97</v>
      </c>
    </row>
    <row r="51" spans="1:3" ht="52.5">
      <c r="A51" s="21" t="s">
        <v>65</v>
      </c>
      <c r="B51" s="56" t="s">
        <v>66</v>
      </c>
      <c r="C51" s="32">
        <f>[28]С2.2!E13</f>
        <v>1</v>
      </c>
    </row>
    <row r="52" spans="1:3" ht="27.75">
      <c r="A52" s="21" t="s">
        <v>67</v>
      </c>
      <c r="B52" s="55" t="s">
        <v>68</v>
      </c>
      <c r="C52" s="32">
        <f>[28]С2.2!E14</f>
        <v>12104</v>
      </c>
    </row>
    <row r="53" spans="1:3" ht="25.5">
      <c r="A53" s="21" t="s">
        <v>69</v>
      </c>
      <c r="B53" s="56" t="s">
        <v>70</v>
      </c>
      <c r="C53" s="34">
        <f>[28]С2.2!E15</f>
        <v>4.8000000000000001E-2</v>
      </c>
    </row>
    <row r="54" spans="1:3">
      <c r="A54" s="21" t="s">
        <v>71</v>
      </c>
      <c r="B54" s="56" t="s">
        <v>72</v>
      </c>
      <c r="C54" s="32">
        <f>[28]С2.2!E16</f>
        <v>1</v>
      </c>
    </row>
    <row r="55" spans="1:3" ht="15.75">
      <c r="A55" s="21" t="s">
        <v>73</v>
      </c>
      <c r="B55" s="58" t="s">
        <v>74</v>
      </c>
      <c r="C55" s="32">
        <f>[28]С2!F21</f>
        <v>1</v>
      </c>
    </row>
    <row r="56" spans="1:3" ht="30">
      <c r="A56" s="59" t="s">
        <v>75</v>
      </c>
      <c r="B56" s="31" t="s">
        <v>235</v>
      </c>
      <c r="C56" s="32">
        <f>[28]С2!F13</f>
        <v>183796.83936385796</v>
      </c>
    </row>
    <row r="57" spans="1:3" ht="30">
      <c r="A57" s="59" t="s">
        <v>77</v>
      </c>
      <c r="B57" s="58" t="s">
        <v>236</v>
      </c>
      <c r="C57" s="32">
        <f>[28]С2!F14</f>
        <v>113455</v>
      </c>
    </row>
    <row r="58" spans="1:3" ht="15.75">
      <c r="A58" s="59" t="s">
        <v>79</v>
      </c>
      <c r="B58" s="60" t="s">
        <v>80</v>
      </c>
      <c r="C58" s="40">
        <f>[28]С2!F15</f>
        <v>1.071</v>
      </c>
    </row>
    <row r="59" spans="1:3" ht="15.75">
      <c r="A59" s="59" t="s">
        <v>81</v>
      </c>
      <c r="B59" s="60" t="s">
        <v>82</v>
      </c>
      <c r="C59" s="40">
        <f>[28]С2!F16</f>
        <v>1</v>
      </c>
    </row>
    <row r="60" spans="1:3" ht="17.25">
      <c r="A60" s="59" t="s">
        <v>83</v>
      </c>
      <c r="B60" s="58" t="s">
        <v>84</v>
      </c>
      <c r="C60" s="32">
        <f>[28]С2!F17</f>
        <v>1.01</v>
      </c>
    </row>
    <row r="61" spans="1:3" s="65" customFormat="1" ht="14.25">
      <c r="A61" s="59" t="s">
        <v>85</v>
      </c>
      <c r="B61" s="63" t="s">
        <v>86</v>
      </c>
      <c r="C61" s="64">
        <f>[28]С2!F33</f>
        <v>10</v>
      </c>
    </row>
    <row r="62" spans="1:3" ht="30">
      <c r="A62" s="59" t="s">
        <v>87</v>
      </c>
      <c r="B62" s="66" t="s">
        <v>88</v>
      </c>
      <c r="C62" s="32">
        <f>[28]С2!F26</f>
        <v>1867.194948000021</v>
      </c>
    </row>
    <row r="63" spans="1:3" ht="17.25">
      <c r="A63" s="59" t="s">
        <v>89</v>
      </c>
      <c r="B63" s="52" t="s">
        <v>237</v>
      </c>
      <c r="C63" s="32">
        <f>[28]С2!F27</f>
        <v>0.29684983999999998</v>
      </c>
    </row>
    <row r="64" spans="1:3" ht="17.25">
      <c r="A64" s="59" t="s">
        <v>91</v>
      </c>
      <c r="B64" s="58" t="s">
        <v>238</v>
      </c>
      <c r="C64" s="64">
        <f>[28]С2!F28</f>
        <v>4200</v>
      </c>
    </row>
    <row r="65" spans="1:3" ht="42.75">
      <c r="A65" s="59" t="s">
        <v>93</v>
      </c>
      <c r="B65" s="31" t="s">
        <v>239</v>
      </c>
      <c r="C65" s="32">
        <f>[28]С2!F22</f>
        <v>38698.422798410109</v>
      </c>
    </row>
    <row r="66" spans="1:3" ht="30">
      <c r="A66" s="59" t="s">
        <v>95</v>
      </c>
      <c r="B66" s="60" t="s">
        <v>240</v>
      </c>
      <c r="C66" s="32">
        <f>[28]С2!F23</f>
        <v>1990</v>
      </c>
    </row>
    <row r="67" spans="1:3" ht="30">
      <c r="A67" s="59" t="s">
        <v>97</v>
      </c>
      <c r="B67" s="52" t="s">
        <v>98</v>
      </c>
      <c r="C67" s="32">
        <f>[28]С2.1!E27</f>
        <v>14307.876789999998</v>
      </c>
    </row>
    <row r="68" spans="1:3" ht="38.25">
      <c r="A68" s="59" t="s">
        <v>99</v>
      </c>
      <c r="B68" s="67" t="s">
        <v>100</v>
      </c>
      <c r="C68" s="51">
        <f>[28]С2.3!E21</f>
        <v>0</v>
      </c>
    </row>
    <row r="69" spans="1:3" ht="25.5">
      <c r="A69" s="59" t="s">
        <v>101</v>
      </c>
      <c r="B69" s="68" t="s">
        <v>102</v>
      </c>
      <c r="C69" s="69">
        <f>[28]С2.3!E11</f>
        <v>9.89</v>
      </c>
    </row>
    <row r="70" spans="1:3" ht="25.5">
      <c r="A70" s="59" t="s">
        <v>103</v>
      </c>
      <c r="B70" s="68" t="s">
        <v>104</v>
      </c>
      <c r="C70" s="64">
        <f>[28]С2.3!E13</f>
        <v>300</v>
      </c>
    </row>
    <row r="71" spans="1:3" ht="25.5">
      <c r="A71" s="59" t="s">
        <v>105</v>
      </c>
      <c r="B71" s="67" t="s">
        <v>106</v>
      </c>
      <c r="C71" s="70">
        <f>IF([28]С2.3!E22&gt;0,[28]С2.3!E22,[28]С2.3!E14)</f>
        <v>61211</v>
      </c>
    </row>
    <row r="72" spans="1:3" ht="38.25">
      <c r="A72" s="59" t="s">
        <v>107</v>
      </c>
      <c r="B72" s="67" t="s">
        <v>108</v>
      </c>
      <c r="C72" s="70">
        <f>IF([28]С2.3!E23&gt;0,[28]С2.3!E23,[28]С2.3!E15)</f>
        <v>45675</v>
      </c>
    </row>
    <row r="73" spans="1:3" ht="30">
      <c r="A73" s="59" t="s">
        <v>109</v>
      </c>
      <c r="B73" s="52" t="s">
        <v>110</v>
      </c>
      <c r="C73" s="32">
        <f>[28]С2.1!E28</f>
        <v>9541.9567200000001</v>
      </c>
    </row>
    <row r="74" spans="1:3" ht="38.25">
      <c r="A74" s="59" t="s">
        <v>111</v>
      </c>
      <c r="B74" s="67" t="s">
        <v>112</v>
      </c>
      <c r="C74" s="51">
        <f>[28]С2.3!E25</f>
        <v>0</v>
      </c>
    </row>
    <row r="75" spans="1:3" ht="25.5">
      <c r="A75" s="59" t="s">
        <v>113</v>
      </c>
      <c r="B75" s="68" t="s">
        <v>114</v>
      </c>
      <c r="C75" s="69">
        <f>[28]С2.3!E12</f>
        <v>0.56000000000000005</v>
      </c>
    </row>
    <row r="76" spans="1:3" ht="25.5">
      <c r="A76" s="59" t="s">
        <v>115</v>
      </c>
      <c r="B76" s="68" t="s">
        <v>104</v>
      </c>
      <c r="C76" s="64">
        <f>[28]С2.3!E13</f>
        <v>300</v>
      </c>
    </row>
    <row r="77" spans="1:3" ht="25.5">
      <c r="A77" s="59" t="s">
        <v>116</v>
      </c>
      <c r="B77" s="71" t="s">
        <v>117</v>
      </c>
      <c r="C77" s="70">
        <f>IF([28]С2.3!E26&gt;0,[28]С2.3!E26,[28]С2.3!E16)</f>
        <v>65637</v>
      </c>
    </row>
    <row r="78" spans="1:3" ht="38.25">
      <c r="A78" s="59" t="s">
        <v>118</v>
      </c>
      <c r="B78" s="71" t="s">
        <v>119</v>
      </c>
      <c r="C78" s="70">
        <f>IF([28]С2.3!E27&gt;0,[28]С2.3!E27,[28]С2.3!E17)</f>
        <v>31684</v>
      </c>
    </row>
    <row r="79" spans="1:3" ht="17.25">
      <c r="A79" s="59" t="s">
        <v>122</v>
      </c>
      <c r="B79" s="31" t="s">
        <v>123</v>
      </c>
      <c r="C79" s="34">
        <f>[28]С2!F29</f>
        <v>9.5962865259740182E-2</v>
      </c>
    </row>
    <row r="80" spans="1:3" ht="30">
      <c r="A80" s="59" t="s">
        <v>124</v>
      </c>
      <c r="B80" s="52" t="s">
        <v>125</v>
      </c>
      <c r="C80" s="72">
        <f>[28]С2!F30</f>
        <v>8.4029304029304031E-2</v>
      </c>
    </row>
    <row r="81" spans="1:3" ht="17.25">
      <c r="A81" s="59" t="s">
        <v>126</v>
      </c>
      <c r="B81" s="73" t="s">
        <v>127</v>
      </c>
      <c r="C81" s="34">
        <f>[28]С2!F31</f>
        <v>0.13880000000000001</v>
      </c>
    </row>
    <row r="82" spans="1:3" s="65" customFormat="1" ht="18" thickBot="1">
      <c r="A82" s="74" t="s">
        <v>128</v>
      </c>
      <c r="B82" s="75" t="s">
        <v>129</v>
      </c>
      <c r="C82" s="76">
        <f>[28]С2!F32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[28]С3!F14</f>
        <v>6081.0916722812572</v>
      </c>
    </row>
    <row r="86" spans="1:3" s="65" customFormat="1" ht="42.75">
      <c r="A86" s="78" t="s">
        <v>134</v>
      </c>
      <c r="B86" s="52" t="s">
        <v>135</v>
      </c>
      <c r="C86" s="79">
        <f>[28]С3!F15</f>
        <v>0.2</v>
      </c>
    </row>
    <row r="87" spans="1:3" s="65" customFormat="1" ht="14.25">
      <c r="A87" s="78" t="s">
        <v>136</v>
      </c>
      <c r="B87" s="80" t="s">
        <v>137</v>
      </c>
      <c r="C87" s="64">
        <f>[28]С3!F18</f>
        <v>15</v>
      </c>
    </row>
    <row r="88" spans="1:3" s="65" customFormat="1" ht="17.25">
      <c r="A88" s="78" t="s">
        <v>138</v>
      </c>
      <c r="B88" s="31" t="s">
        <v>139</v>
      </c>
      <c r="C88" s="32">
        <f>[28]С3!F19</f>
        <v>3778.1614077800232</v>
      </c>
    </row>
    <row r="89" spans="1:3" s="65" customFormat="1" ht="55.5">
      <c r="A89" s="78" t="s">
        <v>140</v>
      </c>
      <c r="B89" s="52" t="s">
        <v>141</v>
      </c>
      <c r="C89" s="81">
        <f>[28]С3!F20</f>
        <v>2.1999999999999999E-2</v>
      </c>
    </row>
    <row r="90" spans="1:3" s="65" customFormat="1" ht="14.25">
      <c r="A90" s="78" t="s">
        <v>142</v>
      </c>
      <c r="B90" s="58" t="s">
        <v>86</v>
      </c>
      <c r="C90" s="64">
        <f>[28]С3!F21</f>
        <v>10</v>
      </c>
    </row>
    <row r="91" spans="1:3" s="65" customFormat="1" ht="17.25">
      <c r="A91" s="78" t="s">
        <v>143</v>
      </c>
      <c r="B91" s="31" t="s">
        <v>144</v>
      </c>
      <c r="C91" s="32">
        <f>[28]С3!F22</f>
        <v>5.6015848440000635</v>
      </c>
    </row>
    <row r="92" spans="1:3" s="65" customFormat="1" ht="55.5">
      <c r="A92" s="78" t="s">
        <v>145</v>
      </c>
      <c r="B92" s="52" t="s">
        <v>146</v>
      </c>
      <c r="C92" s="81">
        <f>[28]С3!F23</f>
        <v>3.0000000000000001E-3</v>
      </c>
    </row>
    <row r="93" spans="1:3" s="65" customFormat="1" ht="27.75" thickBot="1">
      <c r="A93" s="82" t="s">
        <v>147</v>
      </c>
      <c r="B93" s="83" t="s">
        <v>241</v>
      </c>
      <c r="C93" s="84">
        <f>[28]С3!F24</f>
        <v>1867.194948000021</v>
      </c>
    </row>
    <row r="94" spans="1:3" ht="13.5" thickBot="1">
      <c r="A94" s="47"/>
      <c r="B94" s="48"/>
      <c r="C94" s="14"/>
    </row>
    <row r="95" spans="1:3" ht="30" customHeight="1">
      <c r="A95" s="85" t="s">
        <v>148</v>
      </c>
      <c r="B95" s="145" t="s">
        <v>149</v>
      </c>
      <c r="C95" s="145"/>
    </row>
    <row r="96" spans="1:3" ht="30">
      <c r="A96" s="59" t="s">
        <v>150</v>
      </c>
      <c r="B96" s="31" t="s">
        <v>242</v>
      </c>
      <c r="C96" s="32">
        <f>[28]С4!F16</f>
        <v>1652.5</v>
      </c>
    </row>
    <row r="97" spans="1:3" ht="30">
      <c r="A97" s="59" t="s">
        <v>152</v>
      </c>
      <c r="B97" s="58" t="s">
        <v>243</v>
      </c>
      <c r="C97" s="32">
        <f>[28]С4!F17</f>
        <v>73547</v>
      </c>
    </row>
    <row r="98" spans="1:3" ht="17.25">
      <c r="A98" s="59" t="s">
        <v>154</v>
      </c>
      <c r="B98" s="58" t="s">
        <v>155</v>
      </c>
      <c r="C98" s="40">
        <f>[28]С4!F18</f>
        <v>0.02</v>
      </c>
    </row>
    <row r="99" spans="1:3" ht="30">
      <c r="A99" s="59" t="s">
        <v>156</v>
      </c>
      <c r="B99" s="58" t="s">
        <v>157</v>
      </c>
      <c r="C99" s="32">
        <f>[28]С4!F19</f>
        <v>12104</v>
      </c>
    </row>
    <row r="100" spans="1:3" ht="31.5">
      <c r="A100" s="59" t="s">
        <v>158</v>
      </c>
      <c r="B100" s="58" t="s">
        <v>159</v>
      </c>
      <c r="C100" s="40">
        <f>[28]С4!F20</f>
        <v>1.4999999999999999E-2</v>
      </c>
    </row>
    <row r="101" spans="1:3" ht="30">
      <c r="A101" s="59" t="s">
        <v>160</v>
      </c>
      <c r="B101" s="31" t="s">
        <v>244</v>
      </c>
      <c r="C101" s="32">
        <f>[28]С4!F21</f>
        <v>1933.1949342509995</v>
      </c>
    </row>
    <row r="102" spans="1:3" ht="24" customHeight="1">
      <c r="A102" s="59" t="s">
        <v>162</v>
      </c>
      <c r="B102" s="52" t="s">
        <v>163</v>
      </c>
      <c r="C102" s="33">
        <f>IF([28]С4.2!F8="да",[28]С4.2!D21,[28]С4.2!D15)</f>
        <v>0</v>
      </c>
    </row>
    <row r="103" spans="1:3" ht="68.25">
      <c r="A103" s="59" t="s">
        <v>164</v>
      </c>
      <c r="B103" s="52" t="s">
        <v>165</v>
      </c>
      <c r="C103" s="32">
        <f>[28]С4!F22</f>
        <v>3.6112641666666665</v>
      </c>
    </row>
    <row r="104" spans="1:3" ht="30">
      <c r="A104" s="59" t="s">
        <v>166</v>
      </c>
      <c r="B104" s="58" t="s">
        <v>245</v>
      </c>
      <c r="C104" s="32">
        <f>[28]С4!F23</f>
        <v>180</v>
      </c>
    </row>
    <row r="105" spans="1:3" ht="14.25">
      <c r="A105" s="59" t="s">
        <v>168</v>
      </c>
      <c r="B105" s="52" t="s">
        <v>169</v>
      </c>
      <c r="C105" s="32">
        <f>[28]С4!F24</f>
        <v>8497.1999999999989</v>
      </c>
    </row>
    <row r="106" spans="1:3" ht="14.25">
      <c r="A106" s="59" t="s">
        <v>170</v>
      </c>
      <c r="B106" s="58" t="s">
        <v>171</v>
      </c>
      <c r="C106" s="40">
        <f>[28]С4!F25</f>
        <v>0.35</v>
      </c>
    </row>
    <row r="107" spans="1:3" ht="17.25">
      <c r="A107" s="59" t="s">
        <v>172</v>
      </c>
      <c r="B107" s="31" t="s">
        <v>173</v>
      </c>
      <c r="C107" s="32">
        <f>[28]С4!F26</f>
        <v>85.988129999999998</v>
      </c>
    </row>
    <row r="108" spans="1:3" ht="25.5">
      <c r="A108" s="59" t="s">
        <v>174</v>
      </c>
      <c r="B108" s="52" t="s">
        <v>100</v>
      </c>
      <c r="C108" s="33">
        <f>[28]С4.3!E16</f>
        <v>0</v>
      </c>
    </row>
    <row r="109" spans="1:3" ht="25.5">
      <c r="A109" s="59" t="s">
        <v>175</v>
      </c>
      <c r="B109" s="52" t="s">
        <v>176</v>
      </c>
      <c r="C109" s="32">
        <f>[28]С4.3!E17</f>
        <v>20.350000000000001</v>
      </c>
    </row>
    <row r="110" spans="1:3" ht="38.25">
      <c r="A110" s="59" t="s">
        <v>177</v>
      </c>
      <c r="B110" s="52" t="s">
        <v>112</v>
      </c>
      <c r="C110" s="33">
        <f>[28]С4.3!E18</f>
        <v>0</v>
      </c>
    </row>
    <row r="111" spans="1:3">
      <c r="A111" s="59" t="s">
        <v>178</v>
      </c>
      <c r="B111" s="52" t="s">
        <v>179</v>
      </c>
      <c r="C111" s="32">
        <f>[28]С4.3!E19</f>
        <v>71.67</v>
      </c>
    </row>
    <row r="112" spans="1:3">
      <c r="A112" s="59" t="s">
        <v>180</v>
      </c>
      <c r="B112" s="58" t="s">
        <v>181</v>
      </c>
      <c r="C112" s="32">
        <f>[28]С4.3!E11</f>
        <v>1871</v>
      </c>
    </row>
    <row r="113" spans="1:3">
      <c r="A113" s="59" t="s">
        <v>182</v>
      </c>
      <c r="B113" s="58" t="s">
        <v>183</v>
      </c>
      <c r="C113" s="51">
        <f>[28]С4.3!E12</f>
        <v>1636</v>
      </c>
    </row>
    <row r="114" spans="1:3">
      <c r="A114" s="59" t="s">
        <v>184</v>
      </c>
      <c r="B114" s="58" t="s">
        <v>185</v>
      </c>
      <c r="C114" s="51">
        <f>[28]С4.3!E13</f>
        <v>204</v>
      </c>
    </row>
    <row r="115" spans="1:3" ht="30">
      <c r="A115" s="59" t="s">
        <v>186</v>
      </c>
      <c r="B115" s="31" t="s">
        <v>246</v>
      </c>
      <c r="C115" s="32">
        <f>[28]С4!F27</f>
        <v>1291.2863994686898</v>
      </c>
    </row>
    <row r="116" spans="1:3" ht="25.5">
      <c r="A116" s="59" t="s">
        <v>188</v>
      </c>
      <c r="B116" s="52" t="s">
        <v>247</v>
      </c>
      <c r="C116" s="32">
        <f>[28]С4!F28</f>
        <v>991.77142816335618</v>
      </c>
    </row>
    <row r="117" spans="1:3" ht="42.75">
      <c r="A117" s="59" t="s">
        <v>190</v>
      </c>
      <c r="B117" s="52" t="s">
        <v>191</v>
      </c>
      <c r="C117" s="32">
        <f>[28]С4!F29</f>
        <v>299.51497130533357</v>
      </c>
    </row>
    <row r="118" spans="1:3" ht="30">
      <c r="A118" s="59" t="s">
        <v>192</v>
      </c>
      <c r="B118" s="39" t="s">
        <v>193</v>
      </c>
      <c r="C118" s="32">
        <f>[28]С4!F30</f>
        <v>1723.1479285318933</v>
      </c>
    </row>
    <row r="119" spans="1:3" ht="42.75">
      <c r="A119" s="59" t="s">
        <v>248</v>
      </c>
      <c r="B119" s="89" t="s">
        <v>249</v>
      </c>
      <c r="C119" s="32">
        <f>[28]С4!F33</f>
        <v>1003.031644263441</v>
      </c>
    </row>
    <row r="120" spans="1:3" ht="30">
      <c r="A120" s="59" t="s">
        <v>250</v>
      </c>
      <c r="B120" s="121" t="s">
        <v>251</v>
      </c>
      <c r="C120" s="32">
        <f>[28]С4!F35</f>
        <v>17.040680999999999</v>
      </c>
    </row>
    <row r="121" spans="1:3" ht="14.25">
      <c r="A121" s="59" t="s">
        <v>252</v>
      </c>
      <c r="B121" s="55" t="s">
        <v>253</v>
      </c>
      <c r="C121" s="32">
        <f>[28]С4!F36</f>
        <v>14319.9</v>
      </c>
    </row>
    <row r="122" spans="1:3" ht="28.5" thickBot="1">
      <c r="A122" s="74" t="s">
        <v>254</v>
      </c>
      <c r="B122" s="122" t="s">
        <v>255</v>
      </c>
      <c r="C122" s="84">
        <f>[28]С4!F37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[28]С5!F17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[28]С2!F37</f>
        <v>20.818139999999996</v>
      </c>
    </row>
    <row r="136" spans="1:4" ht="14.25">
      <c r="A136" s="59" t="s">
        <v>214</v>
      </c>
      <c r="B136" s="128" t="s">
        <v>215</v>
      </c>
      <c r="C136" s="32">
        <f>[28]С2!F38</f>
        <v>7</v>
      </c>
    </row>
    <row r="137" spans="1:4" ht="17.25">
      <c r="A137" s="59" t="s">
        <v>216</v>
      </c>
      <c r="B137" s="128" t="s">
        <v>217</v>
      </c>
      <c r="C137" s="32">
        <f>[28]С2!F40</f>
        <v>0.97</v>
      </c>
    </row>
    <row r="138" spans="1:4" ht="15" thickBot="1">
      <c r="A138" s="74" t="s">
        <v>218</v>
      </c>
      <c r="B138" s="129" t="s">
        <v>219</v>
      </c>
      <c r="C138" s="46">
        <f>[28]С2!F42</f>
        <v>0.35</v>
      </c>
    </row>
    <row r="139" spans="1:4" s="87" customFormat="1" ht="13.5" thickBot="1">
      <c r="A139" s="47"/>
      <c r="B139" s="48"/>
      <c r="C139" s="14"/>
    </row>
    <row r="140" spans="1:4" ht="30">
      <c r="A140" s="85" t="s">
        <v>220</v>
      </c>
      <c r="B140" s="95" t="s">
        <v>258</v>
      </c>
      <c r="C140" s="130">
        <f>[28]С2!F35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[28]С2.5!$E$11</f>
        <v>-2.9000000000000026E-2</v>
      </c>
      <c r="D143" s="87"/>
    </row>
    <row r="144" spans="1:4">
      <c r="A144" s="97"/>
      <c r="B144" s="104">
        <f>B143+1</f>
        <v>2021</v>
      </c>
      <c r="C144" s="135">
        <f>[28]С2.5!$F$11</f>
        <v>0.245</v>
      </c>
      <c r="D144" s="87"/>
    </row>
    <row r="145" spans="1:4">
      <c r="A145" s="97"/>
      <c r="B145" s="104">
        <f t="shared" ref="B145:B208" si="0">B144+1</f>
        <v>2022</v>
      </c>
      <c r="C145" s="135">
        <f>[28]С2.5!$G$11</f>
        <v>0.114</v>
      </c>
      <c r="D145" s="87"/>
    </row>
    <row r="146" spans="1:4" ht="13.5" thickBot="1">
      <c r="A146" s="97"/>
      <c r="B146" s="106">
        <f t="shared" si="0"/>
        <v>2023</v>
      </c>
      <c r="C146" s="136">
        <f>[28]С2.5!$H$11</f>
        <v>2.4E-2</v>
      </c>
      <c r="D146" s="87"/>
    </row>
    <row r="147" spans="1:4">
      <c r="A147" s="97"/>
      <c r="B147" s="137">
        <f t="shared" si="0"/>
        <v>2024</v>
      </c>
      <c r="C147" s="138">
        <f>[28]С2.5!$I$11</f>
        <v>8.5999999999999993E-2</v>
      </c>
      <c r="D147" s="87"/>
    </row>
    <row r="148" spans="1:4" hidden="1">
      <c r="A148" s="97"/>
      <c r="B148" s="104">
        <f t="shared" si="0"/>
        <v>2025</v>
      </c>
      <c r="C148" s="135">
        <f>[28]С2.5!$J$11</f>
        <v>0.21215960863291</v>
      </c>
      <c r="D148" s="87"/>
    </row>
    <row r="149" spans="1:4" hidden="1">
      <c r="A149" s="97"/>
      <c r="B149" s="104">
        <f t="shared" si="0"/>
        <v>2026</v>
      </c>
      <c r="C149" s="135">
        <f>[28]С2.5!$K$11</f>
        <v>3.5813361771260002E-2</v>
      </c>
      <c r="D149" s="87"/>
    </row>
    <row r="150" spans="1:4" hidden="1">
      <c r="A150" s="97"/>
      <c r="B150" s="104">
        <f t="shared" si="0"/>
        <v>2027</v>
      </c>
      <c r="C150" s="135">
        <f>[28]С2.5!$L$11</f>
        <v>3.2682303599220003E-2</v>
      </c>
      <c r="D150" s="87"/>
    </row>
    <row r="151" spans="1:4" hidden="1">
      <c r="A151" s="97"/>
      <c r="B151" s="104">
        <f t="shared" si="0"/>
        <v>2028</v>
      </c>
      <c r="C151" s="135">
        <f>[28]С2.5!$M$11</f>
        <v>0</v>
      </c>
      <c r="D151" s="87"/>
    </row>
    <row r="152" spans="1:4" hidden="1">
      <c r="A152" s="97"/>
      <c r="B152" s="104">
        <f t="shared" si="0"/>
        <v>2029</v>
      </c>
      <c r="C152" s="135">
        <f>[28]С2.5!$N$11</f>
        <v>0</v>
      </c>
      <c r="D152" s="87"/>
    </row>
    <row r="153" spans="1:4" hidden="1">
      <c r="A153" s="97"/>
      <c r="B153" s="104">
        <f t="shared" si="0"/>
        <v>2030</v>
      </c>
      <c r="C153" s="135">
        <f>[28]С2.5!$O$11</f>
        <v>0</v>
      </c>
      <c r="D153" s="87"/>
    </row>
    <row r="154" spans="1:4" hidden="1">
      <c r="A154" s="97"/>
      <c r="B154" s="104">
        <f t="shared" si="0"/>
        <v>2031</v>
      </c>
      <c r="C154" s="135">
        <f>[28]С2.5!$P$11</f>
        <v>0</v>
      </c>
      <c r="D154" s="87"/>
    </row>
    <row r="155" spans="1:4" hidden="1">
      <c r="A155" s="87"/>
      <c r="B155" s="104">
        <f t="shared" si="0"/>
        <v>2032</v>
      </c>
      <c r="C155" s="135">
        <f>[28]С2.5!$Q$11</f>
        <v>0</v>
      </c>
      <c r="D155" s="87"/>
    </row>
    <row r="156" spans="1:4" hidden="1">
      <c r="A156" s="87"/>
      <c r="B156" s="104">
        <f t="shared" si="0"/>
        <v>2033</v>
      </c>
      <c r="C156" s="135">
        <f>[28]С2.5!$R$11</f>
        <v>0</v>
      </c>
      <c r="D156" s="87"/>
    </row>
    <row r="157" spans="1:4" hidden="1">
      <c r="B157" s="104">
        <f t="shared" si="0"/>
        <v>2034</v>
      </c>
      <c r="C157" s="135">
        <f>[28]С2.5!$S$11</f>
        <v>0</v>
      </c>
    </row>
    <row r="158" spans="1:4" hidden="1">
      <c r="B158" s="104">
        <f t="shared" si="0"/>
        <v>2035</v>
      </c>
      <c r="C158" s="135">
        <f>[28]С2.5!$T$11</f>
        <v>0</v>
      </c>
    </row>
    <row r="159" spans="1:4" hidden="1">
      <c r="B159" s="104">
        <f t="shared" si="0"/>
        <v>2036</v>
      </c>
      <c r="C159" s="135">
        <f>[28]С2.5!$U$11</f>
        <v>0</v>
      </c>
    </row>
    <row r="160" spans="1:4" hidden="1">
      <c r="B160" s="104">
        <f t="shared" si="0"/>
        <v>2037</v>
      </c>
      <c r="C160" s="135">
        <f>[28]С2.5!$V$11</f>
        <v>0</v>
      </c>
    </row>
    <row r="161" spans="2:3" hidden="1">
      <c r="B161" s="104">
        <f t="shared" si="0"/>
        <v>2038</v>
      </c>
      <c r="C161" s="135">
        <f>[28]С2.5!$W$11</f>
        <v>0</v>
      </c>
    </row>
    <row r="162" spans="2:3" hidden="1">
      <c r="B162" s="104">
        <f t="shared" si="0"/>
        <v>2039</v>
      </c>
      <c r="C162" s="135">
        <f>[28]С2.5!$X$11</f>
        <v>0</v>
      </c>
    </row>
    <row r="163" spans="2:3" hidden="1">
      <c r="B163" s="104">
        <f t="shared" si="0"/>
        <v>2040</v>
      </c>
      <c r="C163" s="135">
        <f>[28]С2.5!$Y$11</f>
        <v>0</v>
      </c>
    </row>
    <row r="164" spans="2:3" hidden="1">
      <c r="B164" s="104">
        <f t="shared" si="0"/>
        <v>2041</v>
      </c>
      <c r="C164" s="135">
        <f>[28]С2.5!$Z$11</f>
        <v>0</v>
      </c>
    </row>
    <row r="165" spans="2:3" hidden="1">
      <c r="B165" s="104">
        <f t="shared" si="0"/>
        <v>2042</v>
      </c>
      <c r="C165" s="135">
        <f>[28]С2.5!$AA$11</f>
        <v>0</v>
      </c>
    </row>
    <row r="166" spans="2:3" hidden="1">
      <c r="B166" s="104">
        <f t="shared" si="0"/>
        <v>2043</v>
      </c>
      <c r="C166" s="135">
        <f>[28]С2.5!$AB$11</f>
        <v>0</v>
      </c>
    </row>
    <row r="167" spans="2:3" hidden="1">
      <c r="B167" s="104">
        <f t="shared" si="0"/>
        <v>2044</v>
      </c>
      <c r="C167" s="135">
        <f>[28]С2.5!$AC$11</f>
        <v>0</v>
      </c>
    </row>
    <row r="168" spans="2:3" hidden="1">
      <c r="B168" s="104">
        <f t="shared" si="0"/>
        <v>2045</v>
      </c>
      <c r="C168" s="135">
        <f>[28]С2.5!$AD$11</f>
        <v>0</v>
      </c>
    </row>
    <row r="169" spans="2:3" hidden="1">
      <c r="B169" s="104">
        <f t="shared" si="0"/>
        <v>2046</v>
      </c>
      <c r="C169" s="135">
        <f>[28]С2.5!$AE$11</f>
        <v>0</v>
      </c>
    </row>
    <row r="170" spans="2:3" hidden="1">
      <c r="B170" s="104">
        <f t="shared" si="0"/>
        <v>2047</v>
      </c>
      <c r="C170" s="135">
        <f>[28]С2.5!$AF$11</f>
        <v>0</v>
      </c>
    </row>
    <row r="171" spans="2:3" hidden="1">
      <c r="B171" s="104">
        <f t="shared" si="0"/>
        <v>2048</v>
      </c>
      <c r="C171" s="135">
        <f>[28]С2.5!$AG$11</f>
        <v>0</v>
      </c>
    </row>
    <row r="172" spans="2:3" hidden="1">
      <c r="B172" s="104">
        <f t="shared" si="0"/>
        <v>2049</v>
      </c>
      <c r="C172" s="135">
        <f>[28]С2.5!$AH$11</f>
        <v>0</v>
      </c>
    </row>
    <row r="173" spans="2:3" hidden="1">
      <c r="B173" s="104">
        <f t="shared" si="0"/>
        <v>2050</v>
      </c>
      <c r="C173" s="135">
        <f>[28]С2.5!$AI$11</f>
        <v>0</v>
      </c>
    </row>
    <row r="174" spans="2:3" hidden="1">
      <c r="B174" s="104">
        <f t="shared" si="0"/>
        <v>2051</v>
      </c>
      <c r="C174" s="135">
        <f>[28]С2.5!$AJ$11</f>
        <v>0</v>
      </c>
    </row>
    <row r="175" spans="2:3" hidden="1">
      <c r="B175" s="104">
        <f t="shared" si="0"/>
        <v>2052</v>
      </c>
      <c r="C175" s="135">
        <f>[28]С2.5!$AK$11</f>
        <v>0</v>
      </c>
    </row>
    <row r="176" spans="2:3" hidden="1">
      <c r="B176" s="104">
        <f t="shared" si="0"/>
        <v>2053</v>
      </c>
      <c r="C176" s="135">
        <f>[28]С2.5!$AL$11</f>
        <v>0</v>
      </c>
    </row>
    <row r="177" spans="2:3" hidden="1">
      <c r="B177" s="104">
        <f t="shared" si="0"/>
        <v>2054</v>
      </c>
      <c r="C177" s="135">
        <f>[28]С2.5!$AM$11</f>
        <v>0</v>
      </c>
    </row>
    <row r="178" spans="2:3" hidden="1">
      <c r="B178" s="104">
        <f t="shared" si="0"/>
        <v>2055</v>
      </c>
      <c r="C178" s="135">
        <f>[28]С2.5!$AN$11</f>
        <v>0</v>
      </c>
    </row>
    <row r="179" spans="2:3" hidden="1">
      <c r="B179" s="104">
        <f t="shared" si="0"/>
        <v>2056</v>
      </c>
      <c r="C179" s="135">
        <f>[28]С2.5!$AO$11</f>
        <v>0</v>
      </c>
    </row>
    <row r="180" spans="2:3" hidden="1">
      <c r="B180" s="104">
        <f t="shared" si="0"/>
        <v>2057</v>
      </c>
      <c r="C180" s="135">
        <f>[28]С2.5!$AP$11</f>
        <v>0</v>
      </c>
    </row>
    <row r="181" spans="2:3" hidden="1">
      <c r="B181" s="104">
        <f t="shared" si="0"/>
        <v>2058</v>
      </c>
      <c r="C181" s="135">
        <f>[28]С2.5!$AQ$11</f>
        <v>0</v>
      </c>
    </row>
    <row r="182" spans="2:3" hidden="1">
      <c r="B182" s="104">
        <f t="shared" si="0"/>
        <v>2059</v>
      </c>
      <c r="C182" s="135">
        <f>[28]С2.5!$AR$11</f>
        <v>0</v>
      </c>
    </row>
    <row r="183" spans="2:3" hidden="1">
      <c r="B183" s="104">
        <f t="shared" si="0"/>
        <v>2060</v>
      </c>
      <c r="C183" s="135">
        <f>[28]С2.5!$AS$11</f>
        <v>0</v>
      </c>
    </row>
    <row r="184" spans="2:3" hidden="1">
      <c r="B184" s="104">
        <f t="shared" si="0"/>
        <v>2061</v>
      </c>
      <c r="C184" s="135">
        <f>[28]С2.5!$AT$11</f>
        <v>0</v>
      </c>
    </row>
    <row r="185" spans="2:3" hidden="1">
      <c r="B185" s="104">
        <f t="shared" si="0"/>
        <v>2062</v>
      </c>
      <c r="C185" s="135">
        <f>[28]С2.5!$AU$11</f>
        <v>0</v>
      </c>
    </row>
    <row r="186" spans="2:3" hidden="1">
      <c r="B186" s="104">
        <f t="shared" si="0"/>
        <v>2063</v>
      </c>
      <c r="C186" s="135">
        <f>[28]С2.5!$AV$11</f>
        <v>0</v>
      </c>
    </row>
    <row r="187" spans="2:3" hidden="1">
      <c r="B187" s="104">
        <f t="shared" si="0"/>
        <v>2064</v>
      </c>
      <c r="C187" s="135">
        <f>[28]С2.5!$AW$11</f>
        <v>0</v>
      </c>
    </row>
    <row r="188" spans="2:3" hidden="1">
      <c r="B188" s="104">
        <f t="shared" si="0"/>
        <v>2065</v>
      </c>
      <c r="C188" s="135">
        <f>[28]С2.5!$AX$11</f>
        <v>0</v>
      </c>
    </row>
    <row r="189" spans="2:3" hidden="1">
      <c r="B189" s="104">
        <f t="shared" si="0"/>
        <v>2066</v>
      </c>
      <c r="C189" s="135">
        <f>[28]С2.5!$AY$11</f>
        <v>0</v>
      </c>
    </row>
    <row r="190" spans="2:3" hidden="1">
      <c r="B190" s="104">
        <f t="shared" si="0"/>
        <v>2067</v>
      </c>
      <c r="C190" s="135">
        <f>[28]С2.5!$AZ$11</f>
        <v>0</v>
      </c>
    </row>
    <row r="191" spans="2:3" hidden="1">
      <c r="B191" s="104">
        <f t="shared" si="0"/>
        <v>2068</v>
      </c>
      <c r="C191" s="135">
        <f>[28]С2.5!$BA$11</f>
        <v>0</v>
      </c>
    </row>
    <row r="192" spans="2:3" hidden="1">
      <c r="B192" s="104">
        <f t="shared" si="0"/>
        <v>2069</v>
      </c>
      <c r="C192" s="135">
        <f>[28]С2.5!$BB$11</f>
        <v>0</v>
      </c>
    </row>
    <row r="193" spans="2:3" hidden="1">
      <c r="B193" s="104">
        <f t="shared" si="0"/>
        <v>2070</v>
      </c>
      <c r="C193" s="135">
        <f>[28]С2.5!$BC$11</f>
        <v>0</v>
      </c>
    </row>
    <row r="194" spans="2:3" hidden="1">
      <c r="B194" s="104">
        <f t="shared" si="0"/>
        <v>2071</v>
      </c>
      <c r="C194" s="135">
        <f>[28]С2.5!$BD$11</f>
        <v>0</v>
      </c>
    </row>
    <row r="195" spans="2:3" hidden="1">
      <c r="B195" s="104">
        <f t="shared" si="0"/>
        <v>2072</v>
      </c>
      <c r="C195" s="135">
        <f>[28]С2.5!$BE$11</f>
        <v>0</v>
      </c>
    </row>
    <row r="196" spans="2:3" hidden="1">
      <c r="B196" s="104">
        <f t="shared" si="0"/>
        <v>2073</v>
      </c>
      <c r="C196" s="135">
        <f>[28]С2.5!$BF$11</f>
        <v>0</v>
      </c>
    </row>
    <row r="197" spans="2:3" hidden="1">
      <c r="B197" s="104">
        <f t="shared" si="0"/>
        <v>2074</v>
      </c>
      <c r="C197" s="135">
        <f>[28]С2.5!$BG$11</f>
        <v>0</v>
      </c>
    </row>
    <row r="198" spans="2:3" hidden="1">
      <c r="B198" s="104">
        <f t="shared" si="0"/>
        <v>2075</v>
      </c>
      <c r="C198" s="135">
        <f>[28]С2.5!$BH$11</f>
        <v>0</v>
      </c>
    </row>
    <row r="199" spans="2:3" hidden="1">
      <c r="B199" s="104">
        <f t="shared" si="0"/>
        <v>2076</v>
      </c>
      <c r="C199" s="135">
        <f>[28]С2.5!$BI$11</f>
        <v>0</v>
      </c>
    </row>
    <row r="200" spans="2:3" hidden="1">
      <c r="B200" s="104">
        <f t="shared" si="0"/>
        <v>2077</v>
      </c>
      <c r="C200" s="135">
        <f>[28]С2.5!$BJ$11</f>
        <v>0</v>
      </c>
    </row>
    <row r="201" spans="2:3" hidden="1">
      <c r="B201" s="104">
        <f t="shared" si="0"/>
        <v>2078</v>
      </c>
      <c r="C201" s="135">
        <f>[28]С2.5!$BK$11</f>
        <v>0</v>
      </c>
    </row>
    <row r="202" spans="2:3" hidden="1">
      <c r="B202" s="104">
        <f t="shared" si="0"/>
        <v>2079</v>
      </c>
      <c r="C202" s="135">
        <f>[28]С2.5!$BL$11</f>
        <v>0</v>
      </c>
    </row>
    <row r="203" spans="2:3" hidden="1">
      <c r="B203" s="104">
        <f t="shared" si="0"/>
        <v>2080</v>
      </c>
      <c r="C203" s="135">
        <f>[28]С2.5!$BM$11</f>
        <v>0</v>
      </c>
    </row>
    <row r="204" spans="2:3" hidden="1">
      <c r="B204" s="104">
        <f t="shared" si="0"/>
        <v>2081</v>
      </c>
      <c r="C204" s="135">
        <f>[28]С2.5!$BN$11</f>
        <v>0</v>
      </c>
    </row>
    <row r="205" spans="2:3" hidden="1">
      <c r="B205" s="104">
        <f t="shared" si="0"/>
        <v>2082</v>
      </c>
      <c r="C205" s="135">
        <f>[28]С2.5!$BO$11</f>
        <v>0</v>
      </c>
    </row>
    <row r="206" spans="2:3" hidden="1">
      <c r="B206" s="104">
        <f t="shared" si="0"/>
        <v>2083</v>
      </c>
      <c r="C206" s="135">
        <f>[28]С2.5!$BP$11</f>
        <v>0</v>
      </c>
    </row>
    <row r="207" spans="2:3" hidden="1">
      <c r="B207" s="104">
        <f t="shared" si="0"/>
        <v>2084</v>
      </c>
      <c r="C207" s="135">
        <f>[28]С2.5!$BQ$11</f>
        <v>0</v>
      </c>
    </row>
    <row r="208" spans="2:3" hidden="1">
      <c r="B208" s="104">
        <f t="shared" si="0"/>
        <v>2085</v>
      </c>
      <c r="C208" s="135">
        <f>[28]С2.5!$BR$11</f>
        <v>0</v>
      </c>
    </row>
    <row r="209" spans="2:3" hidden="1">
      <c r="B209" s="104">
        <f t="shared" ref="B209:B223" si="1">B208+1</f>
        <v>2086</v>
      </c>
      <c r="C209" s="135">
        <f>[28]С2.5!$BS$11</f>
        <v>0</v>
      </c>
    </row>
    <row r="210" spans="2:3" hidden="1">
      <c r="B210" s="104">
        <f t="shared" si="1"/>
        <v>2087</v>
      </c>
      <c r="C210" s="135">
        <f>[28]С2.5!$BT$11</f>
        <v>0</v>
      </c>
    </row>
    <row r="211" spans="2:3" hidden="1">
      <c r="B211" s="104">
        <f t="shared" si="1"/>
        <v>2088</v>
      </c>
      <c r="C211" s="135">
        <f>[28]С2.5!$BU$11</f>
        <v>0</v>
      </c>
    </row>
    <row r="212" spans="2:3" hidden="1">
      <c r="B212" s="104">
        <f t="shared" si="1"/>
        <v>2089</v>
      </c>
      <c r="C212" s="135">
        <f>[28]С2.5!$BV$11</f>
        <v>0</v>
      </c>
    </row>
    <row r="213" spans="2:3" hidden="1">
      <c r="B213" s="104">
        <f t="shared" si="1"/>
        <v>2090</v>
      </c>
      <c r="C213" s="135">
        <f>[28]С2.5!$BW$11</f>
        <v>0</v>
      </c>
    </row>
    <row r="214" spans="2:3" hidden="1">
      <c r="B214" s="104">
        <f t="shared" si="1"/>
        <v>2091</v>
      </c>
      <c r="C214" s="135">
        <f>[28]С2.5!$BX$11</f>
        <v>0</v>
      </c>
    </row>
    <row r="215" spans="2:3" hidden="1">
      <c r="B215" s="104">
        <f t="shared" si="1"/>
        <v>2092</v>
      </c>
      <c r="C215" s="135">
        <f>[28]С2.5!$BY$11</f>
        <v>0</v>
      </c>
    </row>
    <row r="216" spans="2:3" hidden="1">
      <c r="B216" s="104">
        <f t="shared" si="1"/>
        <v>2093</v>
      </c>
      <c r="C216" s="135">
        <f>[28]С2.5!$BZ$11</f>
        <v>0</v>
      </c>
    </row>
    <row r="217" spans="2:3" hidden="1">
      <c r="B217" s="104">
        <f t="shared" si="1"/>
        <v>2094</v>
      </c>
      <c r="C217" s="135">
        <f>[28]С2.5!$CA$11</f>
        <v>0</v>
      </c>
    </row>
    <row r="218" spans="2:3" hidden="1">
      <c r="B218" s="104">
        <f t="shared" si="1"/>
        <v>2095</v>
      </c>
      <c r="C218" s="135">
        <f>[28]С2.5!$CB$11</f>
        <v>0</v>
      </c>
    </row>
    <row r="219" spans="2:3" hidden="1">
      <c r="B219" s="104">
        <f t="shared" si="1"/>
        <v>2096</v>
      </c>
      <c r="C219" s="135">
        <f>[28]С2.5!$CC$11</f>
        <v>0</v>
      </c>
    </row>
    <row r="220" spans="2:3" hidden="1">
      <c r="B220" s="104">
        <f t="shared" si="1"/>
        <v>2097</v>
      </c>
      <c r="C220" s="135">
        <f>[28]С2.5!$CD$11</f>
        <v>0</v>
      </c>
    </row>
    <row r="221" spans="2:3" hidden="1">
      <c r="B221" s="104">
        <f t="shared" si="1"/>
        <v>2098</v>
      </c>
      <c r="C221" s="135">
        <f>[28]С2.5!$CE$11</f>
        <v>0</v>
      </c>
    </row>
    <row r="222" spans="2:3" hidden="1">
      <c r="B222" s="104">
        <f t="shared" si="1"/>
        <v>2099</v>
      </c>
      <c r="C222" s="135">
        <f>[28]С2.5!$CF$11</f>
        <v>0</v>
      </c>
    </row>
    <row r="223" spans="2:3" ht="13.5" hidden="1" thickBot="1">
      <c r="B223" s="106">
        <f t="shared" si="1"/>
        <v>2100</v>
      </c>
      <c r="C223" s="136">
        <f>[28]С2.5!$CG$11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8673" r:id="rId3" name="Button 1">
              <controlPr defaultSize="0" print="0" autoFill="0" autoPict="0" macro="[29]!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8674" r:id="rId4" name="Button 2">
              <controlPr defaultSize="0" print="0" autoFill="0" autoPict="0" macro="[2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[30]И1!D13</f>
        <v>Субъект Российской Федерации</v>
      </c>
      <c r="C4" s="9" t="str">
        <f>[30]И1!E13</f>
        <v>Новосибирская область</v>
      </c>
    </row>
    <row r="5" spans="1:3" ht="46.9" customHeight="1">
      <c r="A5" s="7"/>
      <c r="B5" s="8" t="str">
        <f>[30]И1!D14</f>
        <v>Тип муниципального образования (выберите из списка)</v>
      </c>
      <c r="C5" s="9" t="str">
        <f>[30]И1!E14</f>
        <v>село Новобибеево, Болотнинский муниципальный район</v>
      </c>
    </row>
    <row r="6" spans="1:3">
      <c r="A6" s="7"/>
      <c r="B6" s="8" t="str">
        <f>IF([30]И1!E15="","",[30]И1!D15)</f>
        <v/>
      </c>
      <c r="C6" s="9" t="str">
        <f>IF([30]И1!E15="","",[30]И1!E15)</f>
        <v/>
      </c>
    </row>
    <row r="7" spans="1:3">
      <c r="A7" s="7"/>
      <c r="B7" s="8" t="str">
        <f>[30]И1!D16</f>
        <v>Код ОКТМО</v>
      </c>
      <c r="C7" s="10" t="str">
        <f>[30]И1!E16</f>
        <v>50606434101</v>
      </c>
    </row>
    <row r="8" spans="1:3">
      <c r="A8" s="7"/>
      <c r="B8" s="11" t="str">
        <f>[30]И1!D17</f>
        <v>Система теплоснабжения</v>
      </c>
      <c r="C8" s="12">
        <f>[30]И1!E17</f>
        <v>0</v>
      </c>
    </row>
    <row r="9" spans="1:3">
      <c r="A9" s="7"/>
      <c r="B9" s="8" t="str">
        <f>[30]И1!D8</f>
        <v>Период регулирования (i)-й</v>
      </c>
      <c r="C9" s="13">
        <f>[30]И1!E8</f>
        <v>2024</v>
      </c>
    </row>
    <row r="10" spans="1:3">
      <c r="A10" s="7"/>
      <c r="B10" s="8" t="str">
        <f>[30]И1!D9</f>
        <v>Период регулирования (i-1)-й</v>
      </c>
      <c r="C10" s="13">
        <f>[30]И1!E9</f>
        <v>2023</v>
      </c>
    </row>
    <row r="11" spans="1:3">
      <c r="A11" s="7"/>
      <c r="B11" s="8" t="str">
        <f>[30]И1!D10</f>
        <v>Период регулирования (i-2)-й</v>
      </c>
      <c r="C11" s="13">
        <f>[30]И1!E10</f>
        <v>2022</v>
      </c>
    </row>
    <row r="12" spans="1:3">
      <c r="A12" s="7"/>
      <c r="B12" s="8" t="str">
        <f>[30]И1!D11</f>
        <v>Базовый год (б)</v>
      </c>
      <c r="C12" s="13">
        <f>[30]И1!E11</f>
        <v>2019</v>
      </c>
    </row>
    <row r="13" spans="1:3" ht="38.25">
      <c r="A13" s="7"/>
      <c r="B13" s="8" t="str">
        <f>[30]И1!D18</f>
        <v>Вид топлива, использование которого преобладает в системе теплоснабжения</v>
      </c>
      <c r="C13" s="14" t="str">
        <f>[30]С1.1!E13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3655.2820024247267</v>
      </c>
    </row>
    <row r="18" spans="1:3" ht="42.75">
      <c r="A18" s="21" t="s">
        <v>8</v>
      </c>
      <c r="B18" s="24" t="s">
        <v>9</v>
      </c>
      <c r="C18" s="25">
        <f>[30]С1!F12</f>
        <v>676.60152105220402</v>
      </c>
    </row>
    <row r="19" spans="1:3" ht="42.75">
      <c r="A19" s="21" t="s">
        <v>10</v>
      </c>
      <c r="B19" s="24" t="s">
        <v>11</v>
      </c>
      <c r="C19" s="25">
        <f>[30]С2!F12</f>
        <v>1993.3494362887216</v>
      </c>
    </row>
    <row r="20" spans="1:3" ht="30">
      <c r="A20" s="21" t="s">
        <v>12</v>
      </c>
      <c r="B20" s="24" t="s">
        <v>13</v>
      </c>
      <c r="C20" s="25">
        <f>[30]С3!F12</f>
        <v>473.85859951490778</v>
      </c>
    </row>
    <row r="21" spans="1:3" ht="42.75">
      <c r="A21" s="21" t="s">
        <v>14</v>
      </c>
      <c r="B21" s="24" t="s">
        <v>226</v>
      </c>
      <c r="C21" s="25">
        <f>[30]С4!F12</f>
        <v>439.80024944291841</v>
      </c>
    </row>
    <row r="22" spans="1:3" ht="30">
      <c r="A22" s="21" t="s">
        <v>16</v>
      </c>
      <c r="B22" s="24" t="s">
        <v>227</v>
      </c>
      <c r="C22" s="25">
        <f>[30]С5!F12</f>
        <v>71.672196125975034</v>
      </c>
    </row>
    <row r="23" spans="1:3" ht="43.5" thickBot="1">
      <c r="A23" s="26" t="s">
        <v>18</v>
      </c>
      <c r="B23" s="140" t="s">
        <v>228</v>
      </c>
      <c r="C23" s="27" t="str">
        <f>[30]С6!F12</f>
        <v>-</v>
      </c>
    </row>
    <row r="24" spans="1:3" ht="13.5" thickBot="1">
      <c r="A24" s="1"/>
    </row>
    <row r="25" spans="1:3">
      <c r="A25" s="15" t="s">
        <v>4</v>
      </c>
      <c r="B25" s="28" t="s">
        <v>5</v>
      </c>
      <c r="C25" s="16" t="s">
        <v>6</v>
      </c>
    </row>
    <row r="26" spans="1:3">
      <c r="A26" s="18">
        <v>1</v>
      </c>
      <c r="B26" s="29">
        <v>2</v>
      </c>
      <c r="C26" s="30">
        <v>3</v>
      </c>
    </row>
    <row r="27" spans="1:3" ht="36" customHeight="1">
      <c r="A27" s="21">
        <v>1</v>
      </c>
      <c r="B27" s="144" t="s">
        <v>20</v>
      </c>
      <c r="C27" s="144"/>
    </row>
    <row r="28" spans="1:3">
      <c r="A28" s="21" t="s">
        <v>8</v>
      </c>
      <c r="B28" s="31" t="s">
        <v>229</v>
      </c>
      <c r="C28" s="32">
        <f>[30]С1.1!E16</f>
        <v>5100</v>
      </c>
    </row>
    <row r="29" spans="1:3" ht="42.75">
      <c r="A29" s="21" t="s">
        <v>10</v>
      </c>
      <c r="B29" s="31" t="s">
        <v>230</v>
      </c>
      <c r="C29" s="32">
        <f>[30]С1.1!E27</f>
        <v>3040</v>
      </c>
    </row>
    <row r="30" spans="1:3" ht="17.25">
      <c r="A30" s="21" t="s">
        <v>12</v>
      </c>
      <c r="B30" s="31" t="s">
        <v>29</v>
      </c>
      <c r="C30" s="34">
        <f>[30]С1.1!E19</f>
        <v>-0.19900000000000001</v>
      </c>
    </row>
    <row r="31" spans="1:3" ht="17.25">
      <c r="A31" s="21" t="s">
        <v>14</v>
      </c>
      <c r="B31" s="31" t="s">
        <v>30</v>
      </c>
      <c r="C31" s="34">
        <f>[30]С1.1!E20</f>
        <v>5.7000000000000002E-2</v>
      </c>
    </row>
    <row r="32" spans="1:3" ht="30">
      <c r="A32" s="21" t="s">
        <v>16</v>
      </c>
      <c r="B32" s="35" t="s">
        <v>231</v>
      </c>
      <c r="C32" s="117">
        <f>[30]С1!F13</f>
        <v>176.4</v>
      </c>
    </row>
    <row r="33" spans="1:3">
      <c r="A33" s="21" t="s">
        <v>18</v>
      </c>
      <c r="B33" s="35" t="s">
        <v>32</v>
      </c>
      <c r="C33" s="37">
        <f>[30]С1!F16</f>
        <v>7000</v>
      </c>
    </row>
    <row r="34" spans="1:3" ht="14.25">
      <c r="A34" s="21" t="s">
        <v>33</v>
      </c>
      <c r="B34" s="39" t="s">
        <v>232</v>
      </c>
      <c r="C34" s="40">
        <f>[30]С1!F17</f>
        <v>0.72857142857142854</v>
      </c>
    </row>
    <row r="35" spans="1:3" ht="15.75">
      <c r="A35" s="118" t="s">
        <v>35</v>
      </c>
      <c r="B35" s="42" t="s">
        <v>36</v>
      </c>
      <c r="C35" s="40">
        <f>[30]С1!F20</f>
        <v>21.588411179999994</v>
      </c>
    </row>
    <row r="36" spans="1:3" ht="15.75">
      <c r="A36" s="118" t="s">
        <v>37</v>
      </c>
      <c r="B36" s="43" t="s">
        <v>38</v>
      </c>
      <c r="C36" s="40">
        <f>[30]С1!F21</f>
        <v>20.818139999999996</v>
      </c>
    </row>
    <row r="37" spans="1:3" ht="14.25">
      <c r="A37" s="118" t="s">
        <v>39</v>
      </c>
      <c r="B37" s="44" t="s">
        <v>40</v>
      </c>
      <c r="C37" s="40">
        <f>[30]С1!F22</f>
        <v>1.0369999999999999</v>
      </c>
    </row>
    <row r="38" spans="1:3" ht="53.25" thickBot="1">
      <c r="A38" s="26" t="s">
        <v>41</v>
      </c>
      <c r="B38" s="45" t="s">
        <v>42</v>
      </c>
      <c r="C38" s="46">
        <f>[30]С1!F23</f>
        <v>1.0469999999999999</v>
      </c>
    </row>
    <row r="39" spans="1:3" ht="13.5" thickBot="1">
      <c r="A39" s="47"/>
      <c r="B39" s="119"/>
      <c r="C39" s="120"/>
    </row>
    <row r="40" spans="1:3" ht="39" customHeight="1">
      <c r="A40" s="49" t="s">
        <v>43</v>
      </c>
      <c r="B40" s="145" t="s">
        <v>44</v>
      </c>
      <c r="C40" s="145"/>
    </row>
    <row r="41" spans="1:3" ht="25.5">
      <c r="A41" s="21" t="s">
        <v>45</v>
      </c>
      <c r="B41" s="35" t="s">
        <v>46</v>
      </c>
      <c r="C41" s="50" t="str">
        <f>[30]С2.1!E12</f>
        <v>V</v>
      </c>
    </row>
    <row r="42" spans="1:3" ht="25.5">
      <c r="A42" s="21" t="s">
        <v>47</v>
      </c>
      <c r="B42" s="31" t="s">
        <v>48</v>
      </c>
      <c r="C42" s="50" t="str">
        <f>[30]С2.1!E13</f>
        <v>6 и менее баллов</v>
      </c>
    </row>
    <row r="43" spans="1:3" ht="25.5">
      <c r="A43" s="21" t="s">
        <v>49</v>
      </c>
      <c r="B43" s="31" t="s">
        <v>233</v>
      </c>
      <c r="C43" s="50" t="str">
        <f>[30]С2.1!E14</f>
        <v>от 200 до 500</v>
      </c>
    </row>
    <row r="44" spans="1:3" ht="25.5">
      <c r="A44" s="21" t="s">
        <v>51</v>
      </c>
      <c r="B44" s="31" t="s">
        <v>234</v>
      </c>
      <c r="C44" s="51" t="str">
        <f>[30]С2.1!E15</f>
        <v>нет</v>
      </c>
    </row>
    <row r="45" spans="1:3" ht="30">
      <c r="A45" s="21" t="s">
        <v>53</v>
      </c>
      <c r="B45" s="31" t="s">
        <v>54</v>
      </c>
      <c r="C45" s="32">
        <f>[30]С2!F18</f>
        <v>35106.652004551666</v>
      </c>
    </row>
    <row r="46" spans="1:3" ht="30">
      <c r="A46" s="21" t="s">
        <v>55</v>
      </c>
      <c r="B46" s="52" t="s">
        <v>56</v>
      </c>
      <c r="C46" s="32">
        <f>IF([30]С2!F19&gt;0,[30]С2!F19,[30]С2!F20)</f>
        <v>23441.524932855718</v>
      </c>
    </row>
    <row r="47" spans="1:3" ht="25.5">
      <c r="A47" s="21" t="s">
        <v>57</v>
      </c>
      <c r="B47" s="53" t="s">
        <v>58</v>
      </c>
      <c r="C47" s="32">
        <f>[30]С2.1!E19</f>
        <v>-38</v>
      </c>
    </row>
    <row r="48" spans="1:3" ht="25.5">
      <c r="A48" s="21" t="s">
        <v>59</v>
      </c>
      <c r="B48" s="53" t="s">
        <v>60</v>
      </c>
      <c r="C48" s="32" t="str">
        <f>[30]С2.1!E22</f>
        <v>нет</v>
      </c>
    </row>
    <row r="49" spans="1:3" ht="38.25">
      <c r="A49" s="21" t="s">
        <v>61</v>
      </c>
      <c r="B49" s="54" t="s">
        <v>62</v>
      </c>
      <c r="C49" s="32">
        <f>[30]С2.2!E10</f>
        <v>1287</v>
      </c>
    </row>
    <row r="50" spans="1:3" ht="25.5">
      <c r="A50" s="21" t="s">
        <v>63</v>
      </c>
      <c r="B50" s="55" t="s">
        <v>64</v>
      </c>
      <c r="C50" s="32">
        <f>[30]С2.2!E12</f>
        <v>5.97</v>
      </c>
    </row>
    <row r="51" spans="1:3" ht="52.5">
      <c r="A51" s="21" t="s">
        <v>65</v>
      </c>
      <c r="B51" s="56" t="s">
        <v>66</v>
      </c>
      <c r="C51" s="32">
        <f>[30]С2.2!E13</f>
        <v>1</v>
      </c>
    </row>
    <row r="52" spans="1:3" ht="27.75">
      <c r="A52" s="21" t="s">
        <v>67</v>
      </c>
      <c r="B52" s="55" t="s">
        <v>68</v>
      </c>
      <c r="C52" s="32">
        <f>[30]С2.2!E14</f>
        <v>12104</v>
      </c>
    </row>
    <row r="53" spans="1:3" ht="25.5">
      <c r="A53" s="21" t="s">
        <v>69</v>
      </c>
      <c r="B53" s="56" t="s">
        <v>70</v>
      </c>
      <c r="C53" s="34">
        <f>[30]С2.2!E15</f>
        <v>4.8000000000000001E-2</v>
      </c>
    </row>
    <row r="54" spans="1:3">
      <c r="A54" s="21" t="s">
        <v>71</v>
      </c>
      <c r="B54" s="56" t="s">
        <v>72</v>
      </c>
      <c r="C54" s="32">
        <f>[30]С2.2!E16</f>
        <v>1</v>
      </c>
    </row>
    <row r="55" spans="1:3" ht="15.75">
      <c r="A55" s="21" t="s">
        <v>73</v>
      </c>
      <c r="B55" s="58" t="s">
        <v>74</v>
      </c>
      <c r="C55" s="32">
        <f>[30]С2!F21</f>
        <v>1</v>
      </c>
    </row>
    <row r="56" spans="1:3" ht="30">
      <c r="A56" s="59" t="s">
        <v>75</v>
      </c>
      <c r="B56" s="31" t="s">
        <v>235</v>
      </c>
      <c r="C56" s="32">
        <f>[30]С2!F13</f>
        <v>183796.83936385796</v>
      </c>
    </row>
    <row r="57" spans="1:3" ht="30">
      <c r="A57" s="59" t="s">
        <v>77</v>
      </c>
      <c r="B57" s="58" t="s">
        <v>236</v>
      </c>
      <c r="C57" s="32">
        <f>[30]С2!F14</f>
        <v>113455</v>
      </c>
    </row>
    <row r="58" spans="1:3" ht="15.75">
      <c r="A58" s="59" t="s">
        <v>79</v>
      </c>
      <c r="B58" s="60" t="s">
        <v>80</v>
      </c>
      <c r="C58" s="40">
        <f>[30]С2!F15</f>
        <v>1.071</v>
      </c>
    </row>
    <row r="59" spans="1:3" ht="15.75">
      <c r="A59" s="59" t="s">
        <v>81</v>
      </c>
      <c r="B59" s="60" t="s">
        <v>82</v>
      </c>
      <c r="C59" s="40">
        <f>[30]С2!F16</f>
        <v>1</v>
      </c>
    </row>
    <row r="60" spans="1:3" ht="17.25">
      <c r="A60" s="59" t="s">
        <v>83</v>
      </c>
      <c r="B60" s="58" t="s">
        <v>84</v>
      </c>
      <c r="C60" s="32">
        <f>[30]С2!F17</f>
        <v>1.01</v>
      </c>
    </row>
    <row r="61" spans="1:3" s="65" customFormat="1" ht="14.25">
      <c r="A61" s="59" t="s">
        <v>85</v>
      </c>
      <c r="B61" s="63" t="s">
        <v>86</v>
      </c>
      <c r="C61" s="64">
        <f>[30]С2!F33</f>
        <v>10</v>
      </c>
    </row>
    <row r="62" spans="1:3" ht="30">
      <c r="A62" s="59" t="s">
        <v>87</v>
      </c>
      <c r="B62" s="66" t="s">
        <v>88</v>
      </c>
      <c r="C62" s="32">
        <f>[30]С2!F26</f>
        <v>1867.194948000021</v>
      </c>
    </row>
    <row r="63" spans="1:3" ht="17.25">
      <c r="A63" s="59" t="s">
        <v>89</v>
      </c>
      <c r="B63" s="52" t="s">
        <v>237</v>
      </c>
      <c r="C63" s="32">
        <f>[30]С2!F27</f>
        <v>0.29684983999999998</v>
      </c>
    </row>
    <row r="64" spans="1:3" ht="17.25">
      <c r="A64" s="59" t="s">
        <v>91</v>
      </c>
      <c r="B64" s="58" t="s">
        <v>238</v>
      </c>
      <c r="C64" s="64">
        <f>[30]С2!F28</f>
        <v>4200</v>
      </c>
    </row>
    <row r="65" spans="1:3" ht="42.75">
      <c r="A65" s="59" t="s">
        <v>93</v>
      </c>
      <c r="B65" s="31" t="s">
        <v>239</v>
      </c>
      <c r="C65" s="32">
        <f>[30]С2!F22</f>
        <v>38698.422798410109</v>
      </c>
    </row>
    <row r="66" spans="1:3" ht="30">
      <c r="A66" s="59" t="s">
        <v>95</v>
      </c>
      <c r="B66" s="60" t="s">
        <v>240</v>
      </c>
      <c r="C66" s="32">
        <f>[30]С2!F23</f>
        <v>1990</v>
      </c>
    </row>
    <row r="67" spans="1:3" ht="30">
      <c r="A67" s="59" t="s">
        <v>97</v>
      </c>
      <c r="B67" s="52" t="s">
        <v>98</v>
      </c>
      <c r="C67" s="32">
        <f>[30]С2.1!E27</f>
        <v>14307.876789999998</v>
      </c>
    </row>
    <row r="68" spans="1:3" ht="38.25">
      <c r="A68" s="59" t="s">
        <v>99</v>
      </c>
      <c r="B68" s="67" t="s">
        <v>100</v>
      </c>
      <c r="C68" s="51">
        <f>[30]С2.3!E21</f>
        <v>0</v>
      </c>
    </row>
    <row r="69" spans="1:3" ht="25.5">
      <c r="A69" s="59" t="s">
        <v>101</v>
      </c>
      <c r="B69" s="68" t="s">
        <v>102</v>
      </c>
      <c r="C69" s="69">
        <f>[30]С2.3!E11</f>
        <v>9.89</v>
      </c>
    </row>
    <row r="70" spans="1:3" ht="25.5">
      <c r="A70" s="59" t="s">
        <v>103</v>
      </c>
      <c r="B70" s="68" t="s">
        <v>104</v>
      </c>
      <c r="C70" s="64">
        <f>[30]С2.3!E13</f>
        <v>300</v>
      </c>
    </row>
    <row r="71" spans="1:3" ht="25.5">
      <c r="A71" s="59" t="s">
        <v>105</v>
      </c>
      <c r="B71" s="67" t="s">
        <v>106</v>
      </c>
      <c r="C71" s="70">
        <f>IF([30]С2.3!E22&gt;0,[30]С2.3!E22,[30]С2.3!E14)</f>
        <v>61211</v>
      </c>
    </row>
    <row r="72" spans="1:3" ht="38.25">
      <c r="A72" s="59" t="s">
        <v>107</v>
      </c>
      <c r="B72" s="67" t="s">
        <v>108</v>
      </c>
      <c r="C72" s="70">
        <f>IF([30]С2.3!E23&gt;0,[30]С2.3!E23,[30]С2.3!E15)</f>
        <v>45675</v>
      </c>
    </row>
    <row r="73" spans="1:3" ht="30">
      <c r="A73" s="59" t="s">
        <v>109</v>
      </c>
      <c r="B73" s="52" t="s">
        <v>110</v>
      </c>
      <c r="C73" s="32">
        <f>[30]С2.1!E28</f>
        <v>9541.9567200000001</v>
      </c>
    </row>
    <row r="74" spans="1:3" ht="38.25">
      <c r="A74" s="59" t="s">
        <v>111</v>
      </c>
      <c r="B74" s="67" t="s">
        <v>112</v>
      </c>
      <c r="C74" s="51">
        <f>[30]С2.3!E25</f>
        <v>0</v>
      </c>
    </row>
    <row r="75" spans="1:3" ht="25.5">
      <c r="A75" s="59" t="s">
        <v>113</v>
      </c>
      <c r="B75" s="68" t="s">
        <v>114</v>
      </c>
      <c r="C75" s="69">
        <f>[30]С2.3!E12</f>
        <v>0.56000000000000005</v>
      </c>
    </row>
    <row r="76" spans="1:3" ht="25.5">
      <c r="A76" s="59" t="s">
        <v>115</v>
      </c>
      <c r="B76" s="68" t="s">
        <v>104</v>
      </c>
      <c r="C76" s="64">
        <f>[30]С2.3!E13</f>
        <v>300</v>
      </c>
    </row>
    <row r="77" spans="1:3" ht="25.5">
      <c r="A77" s="59" t="s">
        <v>116</v>
      </c>
      <c r="B77" s="71" t="s">
        <v>117</v>
      </c>
      <c r="C77" s="70">
        <f>IF([30]С2.3!E26&gt;0,[30]С2.3!E26,[30]С2.3!E16)</f>
        <v>65637</v>
      </c>
    </row>
    <row r="78" spans="1:3" ht="38.25">
      <c r="A78" s="59" t="s">
        <v>118</v>
      </c>
      <c r="B78" s="71" t="s">
        <v>119</v>
      </c>
      <c r="C78" s="70">
        <f>IF([30]С2.3!E27&gt;0,[30]С2.3!E27,[30]С2.3!E17)</f>
        <v>31684</v>
      </c>
    </row>
    <row r="79" spans="1:3" ht="17.25">
      <c r="A79" s="59" t="s">
        <v>122</v>
      </c>
      <c r="B79" s="31" t="s">
        <v>123</v>
      </c>
      <c r="C79" s="34">
        <f>[30]С2!F29</f>
        <v>9.5962865259740182E-2</v>
      </c>
    </row>
    <row r="80" spans="1:3" ht="30">
      <c r="A80" s="59" t="s">
        <v>124</v>
      </c>
      <c r="B80" s="52" t="s">
        <v>125</v>
      </c>
      <c r="C80" s="72">
        <f>[30]С2!F30</f>
        <v>8.4029304029304031E-2</v>
      </c>
    </row>
    <row r="81" spans="1:3" ht="17.25">
      <c r="A81" s="59" t="s">
        <v>126</v>
      </c>
      <c r="B81" s="73" t="s">
        <v>127</v>
      </c>
      <c r="C81" s="34">
        <f>[30]С2!F31</f>
        <v>0.13880000000000001</v>
      </c>
    </row>
    <row r="82" spans="1:3" s="65" customFormat="1" ht="18" thickBot="1">
      <c r="A82" s="74" t="s">
        <v>128</v>
      </c>
      <c r="B82" s="75" t="s">
        <v>129</v>
      </c>
      <c r="C82" s="76">
        <f>[30]С2!F32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[30]С3!F14</f>
        <v>6081.0916722812572</v>
      </c>
    </row>
    <row r="86" spans="1:3" s="65" customFormat="1" ht="42.75">
      <c r="A86" s="78" t="s">
        <v>134</v>
      </c>
      <c r="B86" s="52" t="s">
        <v>135</v>
      </c>
      <c r="C86" s="79">
        <f>[30]С3!F15</f>
        <v>0.2</v>
      </c>
    </row>
    <row r="87" spans="1:3" s="65" customFormat="1" ht="14.25">
      <c r="A87" s="78" t="s">
        <v>136</v>
      </c>
      <c r="B87" s="80" t="s">
        <v>137</v>
      </c>
      <c r="C87" s="64">
        <f>[30]С3!F18</f>
        <v>15</v>
      </c>
    </row>
    <row r="88" spans="1:3" s="65" customFormat="1" ht="17.25">
      <c r="A88" s="78" t="s">
        <v>138</v>
      </c>
      <c r="B88" s="31" t="s">
        <v>139</v>
      </c>
      <c r="C88" s="32">
        <f>[30]С3!F19</f>
        <v>3778.1614077800232</v>
      </c>
    </row>
    <row r="89" spans="1:3" s="65" customFormat="1" ht="55.5">
      <c r="A89" s="78" t="s">
        <v>140</v>
      </c>
      <c r="B89" s="52" t="s">
        <v>141</v>
      </c>
      <c r="C89" s="81">
        <f>[30]С3!F20</f>
        <v>2.1999999999999999E-2</v>
      </c>
    </row>
    <row r="90" spans="1:3" s="65" customFormat="1" ht="14.25">
      <c r="A90" s="78" t="s">
        <v>142</v>
      </c>
      <c r="B90" s="58" t="s">
        <v>86</v>
      </c>
      <c r="C90" s="64">
        <f>[30]С3!F21</f>
        <v>10</v>
      </c>
    </row>
    <row r="91" spans="1:3" s="65" customFormat="1" ht="17.25">
      <c r="A91" s="78" t="s">
        <v>143</v>
      </c>
      <c r="B91" s="31" t="s">
        <v>144</v>
      </c>
      <c r="C91" s="32">
        <f>[30]С3!F22</f>
        <v>5.6015848440000635</v>
      </c>
    </row>
    <row r="92" spans="1:3" s="65" customFormat="1" ht="55.5">
      <c r="A92" s="78" t="s">
        <v>145</v>
      </c>
      <c r="B92" s="52" t="s">
        <v>146</v>
      </c>
      <c r="C92" s="81">
        <f>[30]С3!F23</f>
        <v>3.0000000000000001E-3</v>
      </c>
    </row>
    <row r="93" spans="1:3" s="65" customFormat="1" ht="27.75" thickBot="1">
      <c r="A93" s="82" t="s">
        <v>147</v>
      </c>
      <c r="B93" s="83" t="s">
        <v>241</v>
      </c>
      <c r="C93" s="84">
        <f>[30]С3!F24</f>
        <v>1867.194948000021</v>
      </c>
    </row>
    <row r="94" spans="1:3" ht="13.5" thickBot="1">
      <c r="A94" s="47"/>
      <c r="B94" s="48"/>
      <c r="C94" s="14"/>
    </row>
    <row r="95" spans="1:3" ht="30" customHeight="1">
      <c r="A95" s="85" t="s">
        <v>148</v>
      </c>
      <c r="B95" s="145" t="s">
        <v>149</v>
      </c>
      <c r="C95" s="145"/>
    </row>
    <row r="96" spans="1:3" ht="30">
      <c r="A96" s="59" t="s">
        <v>150</v>
      </c>
      <c r="B96" s="31" t="s">
        <v>242</v>
      </c>
      <c r="C96" s="32">
        <f>[30]С4!F16</f>
        <v>1652.5</v>
      </c>
    </row>
    <row r="97" spans="1:3" ht="30">
      <c r="A97" s="59" t="s">
        <v>152</v>
      </c>
      <c r="B97" s="58" t="s">
        <v>243</v>
      </c>
      <c r="C97" s="32">
        <f>[30]С4!F17</f>
        <v>73547</v>
      </c>
    </row>
    <row r="98" spans="1:3" ht="17.25">
      <c r="A98" s="59" t="s">
        <v>154</v>
      </c>
      <c r="B98" s="58" t="s">
        <v>155</v>
      </c>
      <c r="C98" s="40">
        <f>[30]С4!F18</f>
        <v>0.02</v>
      </c>
    </row>
    <row r="99" spans="1:3" ht="30">
      <c r="A99" s="59" t="s">
        <v>156</v>
      </c>
      <c r="B99" s="58" t="s">
        <v>157</v>
      </c>
      <c r="C99" s="32">
        <f>[30]С4!F19</f>
        <v>12104</v>
      </c>
    </row>
    <row r="100" spans="1:3" ht="31.5">
      <c r="A100" s="59" t="s">
        <v>158</v>
      </c>
      <c r="B100" s="58" t="s">
        <v>159</v>
      </c>
      <c r="C100" s="40">
        <f>[30]С4!F20</f>
        <v>1.4999999999999999E-2</v>
      </c>
    </row>
    <row r="101" spans="1:3" ht="30">
      <c r="A101" s="59" t="s">
        <v>160</v>
      </c>
      <c r="B101" s="31" t="s">
        <v>244</v>
      </c>
      <c r="C101" s="32">
        <f>[30]С4!F21</f>
        <v>1933.1949342509995</v>
      </c>
    </row>
    <row r="102" spans="1:3" ht="24" customHeight="1">
      <c r="A102" s="59" t="s">
        <v>162</v>
      </c>
      <c r="B102" s="52" t="s">
        <v>163</v>
      </c>
      <c r="C102" s="33">
        <f>IF([30]С4.2!F8="да",[30]С4.2!D21,[30]С4.2!D15)</f>
        <v>0</v>
      </c>
    </row>
    <row r="103" spans="1:3" ht="68.25">
      <c r="A103" s="59" t="s">
        <v>164</v>
      </c>
      <c r="B103" s="52" t="s">
        <v>165</v>
      </c>
      <c r="C103" s="32">
        <f>[30]С4!F22</f>
        <v>3.6112641666666665</v>
      </c>
    </row>
    <row r="104" spans="1:3" ht="30">
      <c r="A104" s="59" t="s">
        <v>166</v>
      </c>
      <c r="B104" s="58" t="s">
        <v>245</v>
      </c>
      <c r="C104" s="32">
        <f>[30]С4!F23</f>
        <v>180</v>
      </c>
    </row>
    <row r="105" spans="1:3" ht="14.25">
      <c r="A105" s="59" t="s">
        <v>168</v>
      </c>
      <c r="B105" s="52" t="s">
        <v>169</v>
      </c>
      <c r="C105" s="32">
        <f>[30]С4!F24</f>
        <v>8497.1999999999989</v>
      </c>
    </row>
    <row r="106" spans="1:3" ht="14.25">
      <c r="A106" s="59" t="s">
        <v>170</v>
      </c>
      <c r="B106" s="58" t="s">
        <v>171</v>
      </c>
      <c r="C106" s="40">
        <f>[30]С4!F25</f>
        <v>0.35</v>
      </c>
    </row>
    <row r="107" spans="1:3" ht="17.25">
      <c r="A107" s="59" t="s">
        <v>172</v>
      </c>
      <c r="B107" s="31" t="s">
        <v>173</v>
      </c>
      <c r="C107" s="32">
        <f>[30]С4!F26</f>
        <v>85.988129999999998</v>
      </c>
    </row>
    <row r="108" spans="1:3" ht="25.5">
      <c r="A108" s="59" t="s">
        <v>174</v>
      </c>
      <c r="B108" s="52" t="s">
        <v>100</v>
      </c>
      <c r="C108" s="33">
        <f>[30]С4.3!E16</f>
        <v>0</v>
      </c>
    </row>
    <row r="109" spans="1:3" ht="25.5">
      <c r="A109" s="59" t="s">
        <v>175</v>
      </c>
      <c r="B109" s="52" t="s">
        <v>176</v>
      </c>
      <c r="C109" s="32">
        <f>[30]С4.3!E17</f>
        <v>20.350000000000001</v>
      </c>
    </row>
    <row r="110" spans="1:3" ht="38.25">
      <c r="A110" s="59" t="s">
        <v>177</v>
      </c>
      <c r="B110" s="52" t="s">
        <v>112</v>
      </c>
      <c r="C110" s="33">
        <f>[30]С4.3!E18</f>
        <v>0</v>
      </c>
    </row>
    <row r="111" spans="1:3">
      <c r="A111" s="59" t="s">
        <v>178</v>
      </c>
      <c r="B111" s="52" t="s">
        <v>179</v>
      </c>
      <c r="C111" s="32">
        <f>[30]С4.3!E19</f>
        <v>71.67</v>
      </c>
    </row>
    <row r="112" spans="1:3">
      <c r="A112" s="59" t="s">
        <v>180</v>
      </c>
      <c r="B112" s="58" t="s">
        <v>181</v>
      </c>
      <c r="C112" s="32">
        <f>[30]С4.3!E11</f>
        <v>1871</v>
      </c>
    </row>
    <row r="113" spans="1:3">
      <c r="A113" s="59" t="s">
        <v>182</v>
      </c>
      <c r="B113" s="58" t="s">
        <v>183</v>
      </c>
      <c r="C113" s="51">
        <f>[30]С4.3!E12</f>
        <v>1636</v>
      </c>
    </row>
    <row r="114" spans="1:3">
      <c r="A114" s="59" t="s">
        <v>184</v>
      </c>
      <c r="B114" s="58" t="s">
        <v>185</v>
      </c>
      <c r="C114" s="51">
        <f>[30]С4.3!E13</f>
        <v>204</v>
      </c>
    </row>
    <row r="115" spans="1:3" ht="30">
      <c r="A115" s="59" t="s">
        <v>186</v>
      </c>
      <c r="B115" s="31" t="s">
        <v>246</v>
      </c>
      <c r="C115" s="32">
        <f>[30]С4!F27</f>
        <v>1291.2863994686898</v>
      </c>
    </row>
    <row r="116" spans="1:3" ht="25.5">
      <c r="A116" s="59" t="s">
        <v>188</v>
      </c>
      <c r="B116" s="52" t="s">
        <v>247</v>
      </c>
      <c r="C116" s="32">
        <f>[30]С4!F28</f>
        <v>991.77142816335618</v>
      </c>
    </row>
    <row r="117" spans="1:3" ht="42.75">
      <c r="A117" s="59" t="s">
        <v>190</v>
      </c>
      <c r="B117" s="52" t="s">
        <v>191</v>
      </c>
      <c r="C117" s="32">
        <f>[30]С4!F29</f>
        <v>299.51497130533357</v>
      </c>
    </row>
    <row r="118" spans="1:3" ht="30">
      <c r="A118" s="59" t="s">
        <v>192</v>
      </c>
      <c r="B118" s="39" t="s">
        <v>193</v>
      </c>
      <c r="C118" s="32">
        <f>[30]С4!F30</f>
        <v>1723.1479285318933</v>
      </c>
    </row>
    <row r="119" spans="1:3" ht="42.75">
      <c r="A119" s="59" t="s">
        <v>248</v>
      </c>
      <c r="B119" s="89" t="s">
        <v>249</v>
      </c>
      <c r="C119" s="32">
        <f>[30]С4!F33</f>
        <v>1003.031644263441</v>
      </c>
    </row>
    <row r="120" spans="1:3" ht="30">
      <c r="A120" s="59" t="s">
        <v>250</v>
      </c>
      <c r="B120" s="121" t="s">
        <v>251</v>
      </c>
      <c r="C120" s="32">
        <f>[30]С4!F35</f>
        <v>17.040680999999999</v>
      </c>
    </row>
    <row r="121" spans="1:3" ht="14.25">
      <c r="A121" s="59" t="s">
        <v>252</v>
      </c>
      <c r="B121" s="55" t="s">
        <v>253</v>
      </c>
      <c r="C121" s="32">
        <f>[30]С4!F36</f>
        <v>14319.9</v>
      </c>
    </row>
    <row r="122" spans="1:3" ht="28.5" thickBot="1">
      <c r="A122" s="74" t="s">
        <v>254</v>
      </c>
      <c r="B122" s="122" t="s">
        <v>255</v>
      </c>
      <c r="C122" s="84">
        <f>[30]С4!F37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[30]С5!F17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[30]С2!F37</f>
        <v>20.818139999999996</v>
      </c>
    </row>
    <row r="136" spans="1:4" ht="14.25">
      <c r="A136" s="59" t="s">
        <v>214</v>
      </c>
      <c r="B136" s="128" t="s">
        <v>215</v>
      </c>
      <c r="C136" s="32">
        <f>[30]С2!F38</f>
        <v>7</v>
      </c>
    </row>
    <row r="137" spans="1:4" ht="17.25">
      <c r="A137" s="59" t="s">
        <v>216</v>
      </c>
      <c r="B137" s="128" t="s">
        <v>217</v>
      </c>
      <c r="C137" s="32">
        <f>[30]С2!F40</f>
        <v>0.97</v>
      </c>
    </row>
    <row r="138" spans="1:4" ht="15" thickBot="1">
      <c r="A138" s="74" t="s">
        <v>218</v>
      </c>
      <c r="B138" s="129" t="s">
        <v>219</v>
      </c>
      <c r="C138" s="46">
        <f>[30]С2!F42</f>
        <v>0.35</v>
      </c>
    </row>
    <row r="139" spans="1:4" s="87" customFormat="1" ht="13.5" thickBot="1">
      <c r="A139" s="47"/>
      <c r="B139" s="48"/>
      <c r="C139" s="14"/>
    </row>
    <row r="140" spans="1:4" ht="30">
      <c r="A140" s="85" t="s">
        <v>220</v>
      </c>
      <c r="B140" s="95" t="s">
        <v>258</v>
      </c>
      <c r="C140" s="130">
        <f>[30]С2!F35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[30]С2.5!$E$11</f>
        <v>-2.9000000000000026E-2</v>
      </c>
      <c r="D143" s="87"/>
    </row>
    <row r="144" spans="1:4">
      <c r="A144" s="97"/>
      <c r="B144" s="104">
        <f>B143+1</f>
        <v>2021</v>
      </c>
      <c r="C144" s="135">
        <f>[30]С2.5!$F$11</f>
        <v>0.245</v>
      </c>
      <c r="D144" s="87"/>
    </row>
    <row r="145" spans="1:4">
      <c r="A145" s="97"/>
      <c r="B145" s="104">
        <f t="shared" ref="B145:B208" si="0">B144+1</f>
        <v>2022</v>
      </c>
      <c r="C145" s="135">
        <f>[30]С2.5!$G$11</f>
        <v>0.114</v>
      </c>
      <c r="D145" s="87"/>
    </row>
    <row r="146" spans="1:4" ht="13.5" thickBot="1">
      <c r="A146" s="97"/>
      <c r="B146" s="106">
        <f t="shared" si="0"/>
        <v>2023</v>
      </c>
      <c r="C146" s="136">
        <f>[30]С2.5!$H$11</f>
        <v>2.4E-2</v>
      </c>
      <c r="D146" s="87"/>
    </row>
    <row r="147" spans="1:4">
      <c r="A147" s="97"/>
      <c r="B147" s="137">
        <f t="shared" si="0"/>
        <v>2024</v>
      </c>
      <c r="C147" s="138">
        <f>[30]С2.5!$I$11</f>
        <v>8.5999999999999993E-2</v>
      </c>
      <c r="D147" s="87"/>
    </row>
    <row r="148" spans="1:4" hidden="1">
      <c r="A148" s="97"/>
      <c r="B148" s="104">
        <f t="shared" si="0"/>
        <v>2025</v>
      </c>
      <c r="C148" s="135">
        <f>[30]С2.5!$J$11</f>
        <v>0.21215960863291</v>
      </c>
      <c r="D148" s="87"/>
    </row>
    <row r="149" spans="1:4" hidden="1">
      <c r="A149" s="97"/>
      <c r="B149" s="104">
        <f t="shared" si="0"/>
        <v>2026</v>
      </c>
      <c r="C149" s="135">
        <f>[30]С2.5!$K$11</f>
        <v>3.5813361771260002E-2</v>
      </c>
      <c r="D149" s="87"/>
    </row>
    <row r="150" spans="1:4" hidden="1">
      <c r="A150" s="97"/>
      <c r="B150" s="104">
        <f t="shared" si="0"/>
        <v>2027</v>
      </c>
      <c r="C150" s="135">
        <f>[30]С2.5!$L$11</f>
        <v>3.2682303599220003E-2</v>
      </c>
      <c r="D150" s="87"/>
    </row>
    <row r="151" spans="1:4" hidden="1">
      <c r="A151" s="97"/>
      <c r="B151" s="104">
        <f t="shared" si="0"/>
        <v>2028</v>
      </c>
      <c r="C151" s="135">
        <f>[30]С2.5!$M$11</f>
        <v>0</v>
      </c>
      <c r="D151" s="87"/>
    </row>
    <row r="152" spans="1:4" hidden="1">
      <c r="A152" s="97"/>
      <c r="B152" s="104">
        <f t="shared" si="0"/>
        <v>2029</v>
      </c>
      <c r="C152" s="135">
        <f>[30]С2.5!$N$11</f>
        <v>0</v>
      </c>
      <c r="D152" s="87"/>
    </row>
    <row r="153" spans="1:4" hidden="1">
      <c r="A153" s="97"/>
      <c r="B153" s="104">
        <f t="shared" si="0"/>
        <v>2030</v>
      </c>
      <c r="C153" s="135">
        <f>[30]С2.5!$O$11</f>
        <v>0</v>
      </c>
      <c r="D153" s="87"/>
    </row>
    <row r="154" spans="1:4" hidden="1">
      <c r="A154" s="97"/>
      <c r="B154" s="104">
        <f t="shared" si="0"/>
        <v>2031</v>
      </c>
      <c r="C154" s="135">
        <f>[30]С2.5!$P$11</f>
        <v>0</v>
      </c>
      <c r="D154" s="87"/>
    </row>
    <row r="155" spans="1:4" hidden="1">
      <c r="A155" s="87"/>
      <c r="B155" s="104">
        <f t="shared" si="0"/>
        <v>2032</v>
      </c>
      <c r="C155" s="135">
        <f>[30]С2.5!$Q$11</f>
        <v>0</v>
      </c>
      <c r="D155" s="87"/>
    </row>
    <row r="156" spans="1:4" hidden="1">
      <c r="A156" s="87"/>
      <c r="B156" s="104">
        <f t="shared" si="0"/>
        <v>2033</v>
      </c>
      <c r="C156" s="135">
        <f>[30]С2.5!$R$11</f>
        <v>0</v>
      </c>
      <c r="D156" s="87"/>
    </row>
    <row r="157" spans="1:4" hidden="1">
      <c r="B157" s="104">
        <f t="shared" si="0"/>
        <v>2034</v>
      </c>
      <c r="C157" s="135">
        <f>[30]С2.5!$S$11</f>
        <v>0</v>
      </c>
    </row>
    <row r="158" spans="1:4" hidden="1">
      <c r="B158" s="104">
        <f t="shared" si="0"/>
        <v>2035</v>
      </c>
      <c r="C158" s="135">
        <f>[30]С2.5!$T$11</f>
        <v>0</v>
      </c>
    </row>
    <row r="159" spans="1:4" hidden="1">
      <c r="B159" s="104">
        <f t="shared" si="0"/>
        <v>2036</v>
      </c>
      <c r="C159" s="135">
        <f>[30]С2.5!$U$11</f>
        <v>0</v>
      </c>
    </row>
    <row r="160" spans="1:4" hidden="1">
      <c r="B160" s="104">
        <f t="shared" si="0"/>
        <v>2037</v>
      </c>
      <c r="C160" s="135">
        <f>[30]С2.5!$V$11</f>
        <v>0</v>
      </c>
    </row>
    <row r="161" spans="2:3" hidden="1">
      <c r="B161" s="104">
        <f t="shared" si="0"/>
        <v>2038</v>
      </c>
      <c r="C161" s="135">
        <f>[30]С2.5!$W$11</f>
        <v>0</v>
      </c>
    </row>
    <row r="162" spans="2:3" hidden="1">
      <c r="B162" s="104">
        <f t="shared" si="0"/>
        <v>2039</v>
      </c>
      <c r="C162" s="135">
        <f>[30]С2.5!$X$11</f>
        <v>0</v>
      </c>
    </row>
    <row r="163" spans="2:3" hidden="1">
      <c r="B163" s="104">
        <f t="shared" si="0"/>
        <v>2040</v>
      </c>
      <c r="C163" s="135">
        <f>[30]С2.5!$Y$11</f>
        <v>0</v>
      </c>
    </row>
    <row r="164" spans="2:3" hidden="1">
      <c r="B164" s="104">
        <f t="shared" si="0"/>
        <v>2041</v>
      </c>
      <c r="C164" s="135">
        <f>[30]С2.5!$Z$11</f>
        <v>0</v>
      </c>
    </row>
    <row r="165" spans="2:3" hidden="1">
      <c r="B165" s="104">
        <f t="shared" si="0"/>
        <v>2042</v>
      </c>
      <c r="C165" s="135">
        <f>[30]С2.5!$AA$11</f>
        <v>0</v>
      </c>
    </row>
    <row r="166" spans="2:3" hidden="1">
      <c r="B166" s="104">
        <f t="shared" si="0"/>
        <v>2043</v>
      </c>
      <c r="C166" s="135">
        <f>[30]С2.5!$AB$11</f>
        <v>0</v>
      </c>
    </row>
    <row r="167" spans="2:3" hidden="1">
      <c r="B167" s="104">
        <f t="shared" si="0"/>
        <v>2044</v>
      </c>
      <c r="C167" s="135">
        <f>[30]С2.5!$AC$11</f>
        <v>0</v>
      </c>
    </row>
    <row r="168" spans="2:3" hidden="1">
      <c r="B168" s="104">
        <f t="shared" si="0"/>
        <v>2045</v>
      </c>
      <c r="C168" s="135">
        <f>[30]С2.5!$AD$11</f>
        <v>0</v>
      </c>
    </row>
    <row r="169" spans="2:3" hidden="1">
      <c r="B169" s="104">
        <f t="shared" si="0"/>
        <v>2046</v>
      </c>
      <c r="C169" s="135">
        <f>[30]С2.5!$AE$11</f>
        <v>0</v>
      </c>
    </row>
    <row r="170" spans="2:3" hidden="1">
      <c r="B170" s="104">
        <f t="shared" si="0"/>
        <v>2047</v>
      </c>
      <c r="C170" s="135">
        <f>[30]С2.5!$AF$11</f>
        <v>0</v>
      </c>
    </row>
    <row r="171" spans="2:3" hidden="1">
      <c r="B171" s="104">
        <f t="shared" si="0"/>
        <v>2048</v>
      </c>
      <c r="C171" s="135">
        <f>[30]С2.5!$AG$11</f>
        <v>0</v>
      </c>
    </row>
    <row r="172" spans="2:3" hidden="1">
      <c r="B172" s="104">
        <f t="shared" si="0"/>
        <v>2049</v>
      </c>
      <c r="C172" s="135">
        <f>[30]С2.5!$AH$11</f>
        <v>0</v>
      </c>
    </row>
    <row r="173" spans="2:3" hidden="1">
      <c r="B173" s="104">
        <f t="shared" si="0"/>
        <v>2050</v>
      </c>
      <c r="C173" s="135">
        <f>[30]С2.5!$AI$11</f>
        <v>0</v>
      </c>
    </row>
    <row r="174" spans="2:3" hidden="1">
      <c r="B174" s="104">
        <f t="shared" si="0"/>
        <v>2051</v>
      </c>
      <c r="C174" s="135">
        <f>[30]С2.5!$AJ$11</f>
        <v>0</v>
      </c>
    </row>
    <row r="175" spans="2:3" hidden="1">
      <c r="B175" s="104">
        <f t="shared" si="0"/>
        <v>2052</v>
      </c>
      <c r="C175" s="135">
        <f>[30]С2.5!$AK$11</f>
        <v>0</v>
      </c>
    </row>
    <row r="176" spans="2:3" hidden="1">
      <c r="B176" s="104">
        <f t="shared" si="0"/>
        <v>2053</v>
      </c>
      <c r="C176" s="135">
        <f>[30]С2.5!$AL$11</f>
        <v>0</v>
      </c>
    </row>
    <row r="177" spans="2:3" hidden="1">
      <c r="B177" s="104">
        <f t="shared" si="0"/>
        <v>2054</v>
      </c>
      <c r="C177" s="135">
        <f>[30]С2.5!$AM$11</f>
        <v>0</v>
      </c>
    </row>
    <row r="178" spans="2:3" hidden="1">
      <c r="B178" s="104">
        <f t="shared" si="0"/>
        <v>2055</v>
      </c>
      <c r="C178" s="135">
        <f>[30]С2.5!$AN$11</f>
        <v>0</v>
      </c>
    </row>
    <row r="179" spans="2:3" hidden="1">
      <c r="B179" s="104">
        <f t="shared" si="0"/>
        <v>2056</v>
      </c>
      <c r="C179" s="135">
        <f>[30]С2.5!$AO$11</f>
        <v>0</v>
      </c>
    </row>
    <row r="180" spans="2:3" hidden="1">
      <c r="B180" s="104">
        <f t="shared" si="0"/>
        <v>2057</v>
      </c>
      <c r="C180" s="135">
        <f>[30]С2.5!$AP$11</f>
        <v>0</v>
      </c>
    </row>
    <row r="181" spans="2:3" hidden="1">
      <c r="B181" s="104">
        <f t="shared" si="0"/>
        <v>2058</v>
      </c>
      <c r="C181" s="135">
        <f>[30]С2.5!$AQ$11</f>
        <v>0</v>
      </c>
    </row>
    <row r="182" spans="2:3" hidden="1">
      <c r="B182" s="104">
        <f t="shared" si="0"/>
        <v>2059</v>
      </c>
      <c r="C182" s="135">
        <f>[30]С2.5!$AR$11</f>
        <v>0</v>
      </c>
    </row>
    <row r="183" spans="2:3" hidden="1">
      <c r="B183" s="104">
        <f t="shared" si="0"/>
        <v>2060</v>
      </c>
      <c r="C183" s="135">
        <f>[30]С2.5!$AS$11</f>
        <v>0</v>
      </c>
    </row>
    <row r="184" spans="2:3" hidden="1">
      <c r="B184" s="104">
        <f t="shared" si="0"/>
        <v>2061</v>
      </c>
      <c r="C184" s="135">
        <f>[30]С2.5!$AT$11</f>
        <v>0</v>
      </c>
    </row>
    <row r="185" spans="2:3" hidden="1">
      <c r="B185" s="104">
        <f t="shared" si="0"/>
        <v>2062</v>
      </c>
      <c r="C185" s="135">
        <f>[30]С2.5!$AU$11</f>
        <v>0</v>
      </c>
    </row>
    <row r="186" spans="2:3" hidden="1">
      <c r="B186" s="104">
        <f t="shared" si="0"/>
        <v>2063</v>
      </c>
      <c r="C186" s="135">
        <f>[30]С2.5!$AV$11</f>
        <v>0</v>
      </c>
    </row>
    <row r="187" spans="2:3" hidden="1">
      <c r="B187" s="104">
        <f t="shared" si="0"/>
        <v>2064</v>
      </c>
      <c r="C187" s="135">
        <f>[30]С2.5!$AW$11</f>
        <v>0</v>
      </c>
    </row>
    <row r="188" spans="2:3" hidden="1">
      <c r="B188" s="104">
        <f t="shared" si="0"/>
        <v>2065</v>
      </c>
      <c r="C188" s="135">
        <f>[30]С2.5!$AX$11</f>
        <v>0</v>
      </c>
    </row>
    <row r="189" spans="2:3" hidden="1">
      <c r="B189" s="104">
        <f t="shared" si="0"/>
        <v>2066</v>
      </c>
      <c r="C189" s="135">
        <f>[30]С2.5!$AY$11</f>
        <v>0</v>
      </c>
    </row>
    <row r="190" spans="2:3" hidden="1">
      <c r="B190" s="104">
        <f t="shared" si="0"/>
        <v>2067</v>
      </c>
      <c r="C190" s="135">
        <f>[30]С2.5!$AZ$11</f>
        <v>0</v>
      </c>
    </row>
    <row r="191" spans="2:3" hidden="1">
      <c r="B191" s="104">
        <f t="shared" si="0"/>
        <v>2068</v>
      </c>
      <c r="C191" s="135">
        <f>[30]С2.5!$BA$11</f>
        <v>0</v>
      </c>
    </row>
    <row r="192" spans="2:3" hidden="1">
      <c r="B192" s="104">
        <f t="shared" si="0"/>
        <v>2069</v>
      </c>
      <c r="C192" s="135">
        <f>[30]С2.5!$BB$11</f>
        <v>0</v>
      </c>
    </row>
    <row r="193" spans="2:3" hidden="1">
      <c r="B193" s="104">
        <f t="shared" si="0"/>
        <v>2070</v>
      </c>
      <c r="C193" s="135">
        <f>[30]С2.5!$BC$11</f>
        <v>0</v>
      </c>
    </row>
    <row r="194" spans="2:3" hidden="1">
      <c r="B194" s="104">
        <f t="shared" si="0"/>
        <v>2071</v>
      </c>
      <c r="C194" s="135">
        <f>[30]С2.5!$BD$11</f>
        <v>0</v>
      </c>
    </row>
    <row r="195" spans="2:3" hidden="1">
      <c r="B195" s="104">
        <f t="shared" si="0"/>
        <v>2072</v>
      </c>
      <c r="C195" s="135">
        <f>[30]С2.5!$BE$11</f>
        <v>0</v>
      </c>
    </row>
    <row r="196" spans="2:3" hidden="1">
      <c r="B196" s="104">
        <f t="shared" si="0"/>
        <v>2073</v>
      </c>
      <c r="C196" s="135">
        <f>[30]С2.5!$BF$11</f>
        <v>0</v>
      </c>
    </row>
    <row r="197" spans="2:3" hidden="1">
      <c r="B197" s="104">
        <f t="shared" si="0"/>
        <v>2074</v>
      </c>
      <c r="C197" s="135">
        <f>[30]С2.5!$BG$11</f>
        <v>0</v>
      </c>
    </row>
    <row r="198" spans="2:3" hidden="1">
      <c r="B198" s="104">
        <f t="shared" si="0"/>
        <v>2075</v>
      </c>
      <c r="C198" s="135">
        <f>[30]С2.5!$BH$11</f>
        <v>0</v>
      </c>
    </row>
    <row r="199" spans="2:3" hidden="1">
      <c r="B199" s="104">
        <f t="shared" si="0"/>
        <v>2076</v>
      </c>
      <c r="C199" s="135">
        <f>[30]С2.5!$BI$11</f>
        <v>0</v>
      </c>
    </row>
    <row r="200" spans="2:3" hidden="1">
      <c r="B200" s="104">
        <f t="shared" si="0"/>
        <v>2077</v>
      </c>
      <c r="C200" s="135">
        <f>[30]С2.5!$BJ$11</f>
        <v>0</v>
      </c>
    </row>
    <row r="201" spans="2:3" hidden="1">
      <c r="B201" s="104">
        <f t="shared" si="0"/>
        <v>2078</v>
      </c>
      <c r="C201" s="135">
        <f>[30]С2.5!$BK$11</f>
        <v>0</v>
      </c>
    </row>
    <row r="202" spans="2:3" hidden="1">
      <c r="B202" s="104">
        <f t="shared" si="0"/>
        <v>2079</v>
      </c>
      <c r="C202" s="135">
        <f>[30]С2.5!$BL$11</f>
        <v>0</v>
      </c>
    </row>
    <row r="203" spans="2:3" hidden="1">
      <c r="B203" s="104">
        <f t="shared" si="0"/>
        <v>2080</v>
      </c>
      <c r="C203" s="135">
        <f>[30]С2.5!$BM$11</f>
        <v>0</v>
      </c>
    </row>
    <row r="204" spans="2:3" hidden="1">
      <c r="B204" s="104">
        <f t="shared" si="0"/>
        <v>2081</v>
      </c>
      <c r="C204" s="135">
        <f>[30]С2.5!$BN$11</f>
        <v>0</v>
      </c>
    </row>
    <row r="205" spans="2:3" hidden="1">
      <c r="B205" s="104">
        <f t="shared" si="0"/>
        <v>2082</v>
      </c>
      <c r="C205" s="135">
        <f>[30]С2.5!$BO$11</f>
        <v>0</v>
      </c>
    </row>
    <row r="206" spans="2:3" hidden="1">
      <c r="B206" s="104">
        <f t="shared" si="0"/>
        <v>2083</v>
      </c>
      <c r="C206" s="135">
        <f>[30]С2.5!$BP$11</f>
        <v>0</v>
      </c>
    </row>
    <row r="207" spans="2:3" hidden="1">
      <c r="B207" s="104">
        <f t="shared" si="0"/>
        <v>2084</v>
      </c>
      <c r="C207" s="135">
        <f>[30]С2.5!$BQ$11</f>
        <v>0</v>
      </c>
    </row>
    <row r="208" spans="2:3" hidden="1">
      <c r="B208" s="104">
        <f t="shared" si="0"/>
        <v>2085</v>
      </c>
      <c r="C208" s="135">
        <f>[30]С2.5!$BR$11</f>
        <v>0</v>
      </c>
    </row>
    <row r="209" spans="2:3" hidden="1">
      <c r="B209" s="104">
        <f t="shared" ref="B209:B223" si="1">B208+1</f>
        <v>2086</v>
      </c>
      <c r="C209" s="135">
        <f>[30]С2.5!$BS$11</f>
        <v>0</v>
      </c>
    </row>
    <row r="210" spans="2:3" hidden="1">
      <c r="B210" s="104">
        <f t="shared" si="1"/>
        <v>2087</v>
      </c>
      <c r="C210" s="135">
        <f>[30]С2.5!$BT$11</f>
        <v>0</v>
      </c>
    </row>
    <row r="211" spans="2:3" hidden="1">
      <c r="B211" s="104">
        <f t="shared" si="1"/>
        <v>2088</v>
      </c>
      <c r="C211" s="135">
        <f>[30]С2.5!$BU$11</f>
        <v>0</v>
      </c>
    </row>
    <row r="212" spans="2:3" hidden="1">
      <c r="B212" s="104">
        <f t="shared" si="1"/>
        <v>2089</v>
      </c>
      <c r="C212" s="135">
        <f>[30]С2.5!$BV$11</f>
        <v>0</v>
      </c>
    </row>
    <row r="213" spans="2:3" hidden="1">
      <c r="B213" s="104">
        <f t="shared" si="1"/>
        <v>2090</v>
      </c>
      <c r="C213" s="135">
        <f>[30]С2.5!$BW$11</f>
        <v>0</v>
      </c>
    </row>
    <row r="214" spans="2:3" hidden="1">
      <c r="B214" s="104">
        <f t="shared" si="1"/>
        <v>2091</v>
      </c>
      <c r="C214" s="135">
        <f>[30]С2.5!$BX$11</f>
        <v>0</v>
      </c>
    </row>
    <row r="215" spans="2:3" hidden="1">
      <c r="B215" s="104">
        <f t="shared" si="1"/>
        <v>2092</v>
      </c>
      <c r="C215" s="135">
        <f>[30]С2.5!$BY$11</f>
        <v>0</v>
      </c>
    </row>
    <row r="216" spans="2:3" hidden="1">
      <c r="B216" s="104">
        <f t="shared" si="1"/>
        <v>2093</v>
      </c>
      <c r="C216" s="135">
        <f>[30]С2.5!$BZ$11</f>
        <v>0</v>
      </c>
    </row>
    <row r="217" spans="2:3" hidden="1">
      <c r="B217" s="104">
        <f t="shared" si="1"/>
        <v>2094</v>
      </c>
      <c r="C217" s="135">
        <f>[30]С2.5!$CA$11</f>
        <v>0</v>
      </c>
    </row>
    <row r="218" spans="2:3" hidden="1">
      <c r="B218" s="104">
        <f t="shared" si="1"/>
        <v>2095</v>
      </c>
      <c r="C218" s="135">
        <f>[30]С2.5!$CB$11</f>
        <v>0</v>
      </c>
    </row>
    <row r="219" spans="2:3" hidden="1">
      <c r="B219" s="104">
        <f t="shared" si="1"/>
        <v>2096</v>
      </c>
      <c r="C219" s="135">
        <f>[30]С2.5!$CC$11</f>
        <v>0</v>
      </c>
    </row>
    <row r="220" spans="2:3" hidden="1">
      <c r="B220" s="104">
        <f t="shared" si="1"/>
        <v>2097</v>
      </c>
      <c r="C220" s="135">
        <f>[30]С2.5!$CD$11</f>
        <v>0</v>
      </c>
    </row>
    <row r="221" spans="2:3" hidden="1">
      <c r="B221" s="104">
        <f t="shared" si="1"/>
        <v>2098</v>
      </c>
      <c r="C221" s="135">
        <f>[30]С2.5!$CE$11</f>
        <v>0</v>
      </c>
    </row>
    <row r="222" spans="2:3" hidden="1">
      <c r="B222" s="104">
        <f t="shared" si="1"/>
        <v>2099</v>
      </c>
      <c r="C222" s="135">
        <f>[30]С2.5!$CF$11</f>
        <v>0</v>
      </c>
    </row>
    <row r="223" spans="2:3" ht="13.5" hidden="1" thickBot="1">
      <c r="B223" s="106">
        <f t="shared" si="1"/>
        <v>2100</v>
      </c>
      <c r="C223" s="136">
        <f>[30]С2.5!$CG$11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9697" r:id="rId3" name="Button 1">
              <controlPr defaultSize="0" print="0" autoFill="0" autoPict="0" macro="[31]!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9698" r:id="rId4" name="Button 2">
              <controlPr defaultSize="0" print="0" autoFill="0" autoPict="0" macro="[3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H10" sqref="H10"/>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[32]И1!D13</f>
        <v>Субъект Российской Федерации</v>
      </c>
      <c r="C4" s="9" t="str">
        <f>[32]И1!E13</f>
        <v>Новосибирская область</v>
      </c>
    </row>
    <row r="5" spans="1:3" ht="46.9" customHeight="1">
      <c r="A5" s="7"/>
      <c r="B5" s="8" t="str">
        <f>[32]И1!D14</f>
        <v>Тип муниципального образования (выберите из списка)</v>
      </c>
      <c r="C5" s="9" t="str">
        <f>[32]И1!E14</f>
        <v>село Ояш, Болотнинский муниципальный район</v>
      </c>
    </row>
    <row r="6" spans="1:3">
      <c r="A6" s="7"/>
      <c r="B6" s="8" t="str">
        <f>IF([32]И1!E15="","",[32]И1!D15)</f>
        <v/>
      </c>
      <c r="C6" s="9" t="str">
        <f>IF([32]И1!E15="","",[32]И1!E15)</f>
        <v/>
      </c>
    </row>
    <row r="7" spans="1:3">
      <c r="A7" s="7"/>
      <c r="B7" s="8" t="str">
        <f>[32]И1!D16</f>
        <v>Код ОКТМО</v>
      </c>
      <c r="C7" s="10" t="str">
        <f>[32]И1!E16</f>
        <v>50606437101</v>
      </c>
    </row>
    <row r="8" spans="1:3">
      <c r="A8" s="7"/>
      <c r="B8" s="11" t="str">
        <f>[32]И1!D17</f>
        <v>Система теплоснабжения</v>
      </c>
      <c r="C8" s="12">
        <f>[32]И1!E17</f>
        <v>0</v>
      </c>
    </row>
    <row r="9" spans="1:3">
      <c r="A9" s="7"/>
      <c r="B9" s="8" t="str">
        <f>[32]И1!D8</f>
        <v>Период регулирования (i)-й</v>
      </c>
      <c r="C9" s="13">
        <f>[32]И1!E8</f>
        <v>2024</v>
      </c>
    </row>
    <row r="10" spans="1:3">
      <c r="A10" s="7"/>
      <c r="B10" s="8" t="str">
        <f>[32]И1!D9</f>
        <v>Период регулирования (i-1)-й</v>
      </c>
      <c r="C10" s="13">
        <f>[32]И1!E9</f>
        <v>2023</v>
      </c>
    </row>
    <row r="11" spans="1:3">
      <c r="A11" s="7"/>
      <c r="B11" s="8" t="str">
        <f>[32]И1!D10</f>
        <v>Период регулирования (i-2)-й</v>
      </c>
      <c r="C11" s="13">
        <f>[32]И1!E10</f>
        <v>2022</v>
      </c>
    </row>
    <row r="12" spans="1:3">
      <c r="A12" s="7"/>
      <c r="B12" s="8" t="str">
        <f>[32]И1!D11</f>
        <v>Базовый год (б)</v>
      </c>
      <c r="C12" s="13">
        <f>[32]И1!E11</f>
        <v>2019</v>
      </c>
    </row>
    <row r="13" spans="1:3" ht="38.25">
      <c r="A13" s="7"/>
      <c r="B13" s="8" t="str">
        <f>[32]И1!D18</f>
        <v>Вид топлива, использование которого преобладает в системе теплоснабжения</v>
      </c>
      <c r="C13" s="14" t="str">
        <f>[32]С1.1!E13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3655.2820024247267</v>
      </c>
    </row>
    <row r="18" spans="1:3" ht="42.75">
      <c r="A18" s="21" t="s">
        <v>8</v>
      </c>
      <c r="B18" s="24" t="s">
        <v>9</v>
      </c>
      <c r="C18" s="25">
        <f>[32]С1!F12</f>
        <v>676.60152105220402</v>
      </c>
    </row>
    <row r="19" spans="1:3" ht="42.75">
      <c r="A19" s="21" t="s">
        <v>10</v>
      </c>
      <c r="B19" s="24" t="s">
        <v>11</v>
      </c>
      <c r="C19" s="25">
        <f>[32]С2!F12</f>
        <v>1993.3494362887216</v>
      </c>
    </row>
    <row r="20" spans="1:3" ht="30">
      <c r="A20" s="21" t="s">
        <v>12</v>
      </c>
      <c r="B20" s="24" t="s">
        <v>13</v>
      </c>
      <c r="C20" s="25">
        <f>[32]С3!F12</f>
        <v>473.85859951490778</v>
      </c>
    </row>
    <row r="21" spans="1:3" ht="42.75">
      <c r="A21" s="21" t="s">
        <v>14</v>
      </c>
      <c r="B21" s="24" t="s">
        <v>226</v>
      </c>
      <c r="C21" s="25">
        <f>[32]С4!F12</f>
        <v>439.80024944291841</v>
      </c>
    </row>
    <row r="22" spans="1:3" ht="30">
      <c r="A22" s="21" t="s">
        <v>16</v>
      </c>
      <c r="B22" s="24" t="s">
        <v>227</v>
      </c>
      <c r="C22" s="25">
        <f>[32]С5!F12</f>
        <v>71.672196125975034</v>
      </c>
    </row>
    <row r="23" spans="1:3" ht="43.5" thickBot="1">
      <c r="A23" s="26" t="s">
        <v>18</v>
      </c>
      <c r="B23" s="140" t="s">
        <v>228</v>
      </c>
      <c r="C23" s="27" t="str">
        <f>[32]С6!F12</f>
        <v>-</v>
      </c>
    </row>
    <row r="24" spans="1:3" ht="13.5" thickBot="1">
      <c r="A24" s="1"/>
    </row>
    <row r="25" spans="1:3">
      <c r="A25" s="15" t="s">
        <v>4</v>
      </c>
      <c r="B25" s="28" t="s">
        <v>5</v>
      </c>
      <c r="C25" s="16" t="s">
        <v>6</v>
      </c>
    </row>
    <row r="26" spans="1:3">
      <c r="A26" s="18">
        <v>1</v>
      </c>
      <c r="B26" s="29">
        <v>2</v>
      </c>
      <c r="C26" s="30">
        <v>3</v>
      </c>
    </row>
    <row r="27" spans="1:3" ht="37.5" customHeight="1">
      <c r="A27" s="21">
        <v>1</v>
      </c>
      <c r="B27" s="144" t="s">
        <v>20</v>
      </c>
      <c r="C27" s="144"/>
    </row>
    <row r="28" spans="1:3">
      <c r="A28" s="21" t="s">
        <v>8</v>
      </c>
      <c r="B28" s="31" t="s">
        <v>229</v>
      </c>
      <c r="C28" s="32">
        <f>[32]С1.1!E16</f>
        <v>5100</v>
      </c>
    </row>
    <row r="29" spans="1:3" ht="42.75">
      <c r="A29" s="21" t="s">
        <v>10</v>
      </c>
      <c r="B29" s="31" t="s">
        <v>230</v>
      </c>
      <c r="C29" s="32">
        <f>[32]С1.1!E27</f>
        <v>3040</v>
      </c>
    </row>
    <row r="30" spans="1:3" ht="17.25">
      <c r="A30" s="21" t="s">
        <v>12</v>
      </c>
      <c r="B30" s="31" t="s">
        <v>29</v>
      </c>
      <c r="C30" s="34">
        <f>[32]С1.1!E19</f>
        <v>-0.19900000000000001</v>
      </c>
    </row>
    <row r="31" spans="1:3" ht="17.25">
      <c r="A31" s="21" t="s">
        <v>14</v>
      </c>
      <c r="B31" s="31" t="s">
        <v>30</v>
      </c>
      <c r="C31" s="34">
        <f>[32]С1.1!E20</f>
        <v>5.7000000000000002E-2</v>
      </c>
    </row>
    <row r="32" spans="1:3" ht="30">
      <c r="A32" s="21" t="s">
        <v>16</v>
      </c>
      <c r="B32" s="35" t="s">
        <v>231</v>
      </c>
      <c r="C32" s="117">
        <f>[32]С1!F13</f>
        <v>176.4</v>
      </c>
    </row>
    <row r="33" spans="1:3">
      <c r="A33" s="21" t="s">
        <v>18</v>
      </c>
      <c r="B33" s="35" t="s">
        <v>32</v>
      </c>
      <c r="C33" s="37">
        <f>[32]С1!F16</f>
        <v>7000</v>
      </c>
    </row>
    <row r="34" spans="1:3" ht="14.25">
      <c r="A34" s="21" t="s">
        <v>33</v>
      </c>
      <c r="B34" s="39" t="s">
        <v>232</v>
      </c>
      <c r="C34" s="40">
        <f>[32]С1!F17</f>
        <v>0.72857142857142854</v>
      </c>
    </row>
    <row r="35" spans="1:3" ht="15.75">
      <c r="A35" s="118" t="s">
        <v>35</v>
      </c>
      <c r="B35" s="42" t="s">
        <v>36</v>
      </c>
      <c r="C35" s="40">
        <f>[32]С1!F20</f>
        <v>21.588411179999994</v>
      </c>
    </row>
    <row r="36" spans="1:3" ht="15.75">
      <c r="A36" s="118" t="s">
        <v>37</v>
      </c>
      <c r="B36" s="43" t="s">
        <v>38</v>
      </c>
      <c r="C36" s="40">
        <f>[32]С1!F21</f>
        <v>20.818139999999996</v>
      </c>
    </row>
    <row r="37" spans="1:3" ht="14.25">
      <c r="A37" s="118" t="s">
        <v>39</v>
      </c>
      <c r="B37" s="44" t="s">
        <v>40</v>
      </c>
      <c r="C37" s="40">
        <f>[32]С1!F22</f>
        <v>1.0369999999999999</v>
      </c>
    </row>
    <row r="38" spans="1:3" ht="53.25" thickBot="1">
      <c r="A38" s="26" t="s">
        <v>41</v>
      </c>
      <c r="B38" s="45" t="s">
        <v>42</v>
      </c>
      <c r="C38" s="46">
        <f>[32]С1!F23</f>
        <v>1.0469999999999999</v>
      </c>
    </row>
    <row r="39" spans="1:3" ht="13.5" thickBot="1">
      <c r="A39" s="47"/>
      <c r="B39" s="119"/>
      <c r="C39" s="120"/>
    </row>
    <row r="40" spans="1:3" ht="36" customHeight="1">
      <c r="A40" s="49" t="s">
        <v>43</v>
      </c>
      <c r="B40" s="145" t="s">
        <v>44</v>
      </c>
      <c r="C40" s="145"/>
    </row>
    <row r="41" spans="1:3" ht="25.5">
      <c r="A41" s="21" t="s">
        <v>45</v>
      </c>
      <c r="B41" s="35" t="s">
        <v>46</v>
      </c>
      <c r="C41" s="50" t="str">
        <f>[32]С2.1!E12</f>
        <v>V</v>
      </c>
    </row>
    <row r="42" spans="1:3" ht="25.5">
      <c r="A42" s="21" t="s">
        <v>47</v>
      </c>
      <c r="B42" s="31" t="s">
        <v>48</v>
      </c>
      <c r="C42" s="50" t="str">
        <f>[32]С2.1!E13</f>
        <v>6 и менее баллов</v>
      </c>
    </row>
    <row r="43" spans="1:3" ht="25.5">
      <c r="A43" s="21" t="s">
        <v>49</v>
      </c>
      <c r="B43" s="31" t="s">
        <v>233</v>
      </c>
      <c r="C43" s="50" t="str">
        <f>[32]С2.1!E14</f>
        <v>от 200 до 500</v>
      </c>
    </row>
    <row r="44" spans="1:3" ht="25.5">
      <c r="A44" s="21" t="s">
        <v>51</v>
      </c>
      <c r="B44" s="31" t="s">
        <v>234</v>
      </c>
      <c r="C44" s="51" t="str">
        <f>[32]С2.1!E15</f>
        <v>нет</v>
      </c>
    </row>
    <row r="45" spans="1:3" ht="30">
      <c r="A45" s="21" t="s">
        <v>53</v>
      </c>
      <c r="B45" s="31" t="s">
        <v>54</v>
      </c>
      <c r="C45" s="32">
        <f>[32]С2!F18</f>
        <v>35106.652004551666</v>
      </c>
    </row>
    <row r="46" spans="1:3" ht="30">
      <c r="A46" s="21" t="s">
        <v>55</v>
      </c>
      <c r="B46" s="52" t="s">
        <v>56</v>
      </c>
      <c r="C46" s="32">
        <f>IF([32]С2!F19&gt;0,[32]С2!F19,[32]С2!F20)</f>
        <v>23441.524932855718</v>
      </c>
    </row>
    <row r="47" spans="1:3" ht="25.5">
      <c r="A47" s="21" t="s">
        <v>57</v>
      </c>
      <c r="B47" s="53" t="s">
        <v>58</v>
      </c>
      <c r="C47" s="32">
        <f>[32]С2.1!E19</f>
        <v>-38</v>
      </c>
    </row>
    <row r="48" spans="1:3" ht="25.5">
      <c r="A48" s="21" t="s">
        <v>59</v>
      </c>
      <c r="B48" s="53" t="s">
        <v>60</v>
      </c>
      <c r="C48" s="32" t="str">
        <f>[32]С2.1!E22</f>
        <v>нет</v>
      </c>
    </row>
    <row r="49" spans="1:3" ht="38.25">
      <c r="A49" s="21" t="s">
        <v>61</v>
      </c>
      <c r="B49" s="54" t="s">
        <v>62</v>
      </c>
      <c r="C49" s="32">
        <f>[32]С2.2!E10</f>
        <v>1287</v>
      </c>
    </row>
    <row r="50" spans="1:3" ht="25.5">
      <c r="A50" s="21" t="s">
        <v>63</v>
      </c>
      <c r="B50" s="55" t="s">
        <v>64</v>
      </c>
      <c r="C50" s="32">
        <f>[32]С2.2!E12</f>
        <v>5.97</v>
      </c>
    </row>
    <row r="51" spans="1:3" ht="52.5">
      <c r="A51" s="21" t="s">
        <v>65</v>
      </c>
      <c r="B51" s="56" t="s">
        <v>66</v>
      </c>
      <c r="C51" s="32">
        <f>[32]С2.2!E13</f>
        <v>1</v>
      </c>
    </row>
    <row r="52" spans="1:3" ht="27.75">
      <c r="A52" s="21" t="s">
        <v>67</v>
      </c>
      <c r="B52" s="55" t="s">
        <v>68</v>
      </c>
      <c r="C52" s="32">
        <f>[32]С2.2!E14</f>
        <v>12104</v>
      </c>
    </row>
    <row r="53" spans="1:3" ht="25.5">
      <c r="A53" s="21" t="s">
        <v>69</v>
      </c>
      <c r="B53" s="56" t="s">
        <v>70</v>
      </c>
      <c r="C53" s="34">
        <f>[32]С2.2!E15</f>
        <v>4.8000000000000001E-2</v>
      </c>
    </row>
    <row r="54" spans="1:3">
      <c r="A54" s="21" t="s">
        <v>71</v>
      </c>
      <c r="B54" s="56" t="s">
        <v>72</v>
      </c>
      <c r="C54" s="32">
        <f>[32]С2.2!E16</f>
        <v>1</v>
      </c>
    </row>
    <row r="55" spans="1:3" ht="15.75">
      <c r="A55" s="21" t="s">
        <v>73</v>
      </c>
      <c r="B55" s="58" t="s">
        <v>74</v>
      </c>
      <c r="C55" s="32">
        <f>[32]С2!F21</f>
        <v>1</v>
      </c>
    </row>
    <row r="56" spans="1:3" ht="30">
      <c r="A56" s="59" t="s">
        <v>75</v>
      </c>
      <c r="B56" s="31" t="s">
        <v>235</v>
      </c>
      <c r="C56" s="32">
        <f>[32]С2!F13</f>
        <v>183796.83936385796</v>
      </c>
    </row>
    <row r="57" spans="1:3" ht="30">
      <c r="A57" s="59" t="s">
        <v>77</v>
      </c>
      <c r="B57" s="58" t="s">
        <v>236</v>
      </c>
      <c r="C57" s="32">
        <f>[32]С2!F14</f>
        <v>113455</v>
      </c>
    </row>
    <row r="58" spans="1:3" ht="15.75">
      <c r="A58" s="59" t="s">
        <v>79</v>
      </c>
      <c r="B58" s="60" t="s">
        <v>80</v>
      </c>
      <c r="C58" s="40">
        <f>[32]С2!F15</f>
        <v>1.071</v>
      </c>
    </row>
    <row r="59" spans="1:3" ht="15.75">
      <c r="A59" s="59" t="s">
        <v>81</v>
      </c>
      <c r="B59" s="60" t="s">
        <v>82</v>
      </c>
      <c r="C59" s="40">
        <f>[32]С2!F16</f>
        <v>1</v>
      </c>
    </row>
    <row r="60" spans="1:3" ht="17.25">
      <c r="A60" s="59" t="s">
        <v>83</v>
      </c>
      <c r="B60" s="58" t="s">
        <v>84</v>
      </c>
      <c r="C60" s="32">
        <f>[32]С2!F17</f>
        <v>1.01</v>
      </c>
    </row>
    <row r="61" spans="1:3" s="65" customFormat="1" ht="14.25">
      <c r="A61" s="59" t="s">
        <v>85</v>
      </c>
      <c r="B61" s="63" t="s">
        <v>86</v>
      </c>
      <c r="C61" s="64">
        <f>[32]С2!F33</f>
        <v>10</v>
      </c>
    </row>
    <row r="62" spans="1:3" ht="30">
      <c r="A62" s="59" t="s">
        <v>87</v>
      </c>
      <c r="B62" s="66" t="s">
        <v>88</v>
      </c>
      <c r="C62" s="32">
        <f>[32]С2!F26</f>
        <v>1867.194948000021</v>
      </c>
    </row>
    <row r="63" spans="1:3" ht="17.25">
      <c r="A63" s="59" t="s">
        <v>89</v>
      </c>
      <c r="B63" s="52" t="s">
        <v>237</v>
      </c>
      <c r="C63" s="32">
        <f>[32]С2!F27</f>
        <v>0.29684983999999998</v>
      </c>
    </row>
    <row r="64" spans="1:3" ht="17.25">
      <c r="A64" s="59" t="s">
        <v>91</v>
      </c>
      <c r="B64" s="58" t="s">
        <v>238</v>
      </c>
      <c r="C64" s="64">
        <f>[32]С2!F28</f>
        <v>4200</v>
      </c>
    </row>
    <row r="65" spans="1:3" ht="42.75">
      <c r="A65" s="59" t="s">
        <v>93</v>
      </c>
      <c r="B65" s="31" t="s">
        <v>239</v>
      </c>
      <c r="C65" s="32">
        <f>[32]С2!F22</f>
        <v>38698.422798410109</v>
      </c>
    </row>
    <row r="66" spans="1:3" ht="30">
      <c r="A66" s="59" t="s">
        <v>95</v>
      </c>
      <c r="B66" s="60" t="s">
        <v>240</v>
      </c>
      <c r="C66" s="32">
        <f>[32]С2!F23</f>
        <v>1990</v>
      </c>
    </row>
    <row r="67" spans="1:3" ht="30">
      <c r="A67" s="59" t="s">
        <v>97</v>
      </c>
      <c r="B67" s="52" t="s">
        <v>98</v>
      </c>
      <c r="C67" s="32">
        <f>[32]С2.1!E27</f>
        <v>14307.876789999998</v>
      </c>
    </row>
    <row r="68" spans="1:3" ht="38.25">
      <c r="A68" s="59" t="s">
        <v>99</v>
      </c>
      <c r="B68" s="67" t="s">
        <v>100</v>
      </c>
      <c r="C68" s="51">
        <f>[32]С2.3!E21</f>
        <v>0</v>
      </c>
    </row>
    <row r="69" spans="1:3" ht="25.5">
      <c r="A69" s="59" t="s">
        <v>101</v>
      </c>
      <c r="B69" s="68" t="s">
        <v>102</v>
      </c>
      <c r="C69" s="69">
        <f>[32]С2.3!E11</f>
        <v>9.89</v>
      </c>
    </row>
    <row r="70" spans="1:3" ht="25.5">
      <c r="A70" s="59" t="s">
        <v>103</v>
      </c>
      <c r="B70" s="68" t="s">
        <v>104</v>
      </c>
      <c r="C70" s="64">
        <f>[32]С2.3!E13</f>
        <v>300</v>
      </c>
    </row>
    <row r="71" spans="1:3" ht="25.5">
      <c r="A71" s="59" t="s">
        <v>105</v>
      </c>
      <c r="B71" s="67" t="s">
        <v>106</v>
      </c>
      <c r="C71" s="70">
        <f>IF([32]С2.3!E22&gt;0,[32]С2.3!E22,[32]С2.3!E14)</f>
        <v>61211</v>
      </c>
    </row>
    <row r="72" spans="1:3" ht="38.25">
      <c r="A72" s="59" t="s">
        <v>107</v>
      </c>
      <c r="B72" s="67" t="s">
        <v>108</v>
      </c>
      <c r="C72" s="70">
        <f>IF([32]С2.3!E23&gt;0,[32]С2.3!E23,[32]С2.3!E15)</f>
        <v>45675</v>
      </c>
    </row>
    <row r="73" spans="1:3" ht="30">
      <c r="A73" s="59" t="s">
        <v>109</v>
      </c>
      <c r="B73" s="52" t="s">
        <v>110</v>
      </c>
      <c r="C73" s="32">
        <f>[32]С2.1!E28</f>
        <v>9541.9567200000001</v>
      </c>
    </row>
    <row r="74" spans="1:3" ht="38.25">
      <c r="A74" s="59" t="s">
        <v>111</v>
      </c>
      <c r="B74" s="67" t="s">
        <v>112</v>
      </c>
      <c r="C74" s="51">
        <f>[32]С2.3!E25</f>
        <v>0</v>
      </c>
    </row>
    <row r="75" spans="1:3" ht="25.5">
      <c r="A75" s="59" t="s">
        <v>113</v>
      </c>
      <c r="B75" s="68" t="s">
        <v>114</v>
      </c>
      <c r="C75" s="69">
        <f>[32]С2.3!E12</f>
        <v>0.56000000000000005</v>
      </c>
    </row>
    <row r="76" spans="1:3" ht="25.5">
      <c r="A76" s="59" t="s">
        <v>115</v>
      </c>
      <c r="B76" s="68" t="s">
        <v>104</v>
      </c>
      <c r="C76" s="64">
        <f>[32]С2.3!E13</f>
        <v>300</v>
      </c>
    </row>
    <row r="77" spans="1:3" ht="25.5">
      <c r="A77" s="59" t="s">
        <v>116</v>
      </c>
      <c r="B77" s="71" t="s">
        <v>117</v>
      </c>
      <c r="C77" s="70">
        <f>IF([32]С2.3!E26&gt;0,[32]С2.3!E26,[32]С2.3!E16)</f>
        <v>65637</v>
      </c>
    </row>
    <row r="78" spans="1:3" ht="38.25">
      <c r="A78" s="59" t="s">
        <v>118</v>
      </c>
      <c r="B78" s="71" t="s">
        <v>119</v>
      </c>
      <c r="C78" s="70">
        <f>IF([32]С2.3!E27&gt;0,[32]С2.3!E27,[32]С2.3!E17)</f>
        <v>31684</v>
      </c>
    </row>
    <row r="79" spans="1:3" ht="17.25">
      <c r="A79" s="59" t="s">
        <v>122</v>
      </c>
      <c r="B79" s="31" t="s">
        <v>123</v>
      </c>
      <c r="C79" s="34">
        <f>[32]С2!F29</f>
        <v>9.5962865259740182E-2</v>
      </c>
    </row>
    <row r="80" spans="1:3" ht="30">
      <c r="A80" s="59" t="s">
        <v>124</v>
      </c>
      <c r="B80" s="52" t="s">
        <v>125</v>
      </c>
      <c r="C80" s="72">
        <f>[32]С2!F30</f>
        <v>8.4029304029304031E-2</v>
      </c>
    </row>
    <row r="81" spans="1:3" ht="17.25">
      <c r="A81" s="59" t="s">
        <v>126</v>
      </c>
      <c r="B81" s="73" t="s">
        <v>127</v>
      </c>
      <c r="C81" s="34">
        <f>[32]С2!F31</f>
        <v>0.13880000000000001</v>
      </c>
    </row>
    <row r="82" spans="1:3" s="65" customFormat="1" ht="18" thickBot="1">
      <c r="A82" s="74" t="s">
        <v>128</v>
      </c>
      <c r="B82" s="75" t="s">
        <v>129</v>
      </c>
      <c r="C82" s="76">
        <f>[32]С2!F32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[32]С3!F14</f>
        <v>6081.0916722812572</v>
      </c>
    </row>
    <row r="86" spans="1:3" s="65" customFormat="1" ht="42.75">
      <c r="A86" s="78" t="s">
        <v>134</v>
      </c>
      <c r="B86" s="52" t="s">
        <v>135</v>
      </c>
      <c r="C86" s="79">
        <f>[32]С3!F15</f>
        <v>0.2</v>
      </c>
    </row>
    <row r="87" spans="1:3" s="65" customFormat="1" ht="14.25">
      <c r="A87" s="78" t="s">
        <v>136</v>
      </c>
      <c r="B87" s="80" t="s">
        <v>137</v>
      </c>
      <c r="C87" s="64">
        <f>[32]С3!F18</f>
        <v>15</v>
      </c>
    </row>
    <row r="88" spans="1:3" s="65" customFormat="1" ht="17.25">
      <c r="A88" s="78" t="s">
        <v>138</v>
      </c>
      <c r="B88" s="31" t="s">
        <v>139</v>
      </c>
      <c r="C88" s="32">
        <f>[32]С3!F19</f>
        <v>3778.1614077800232</v>
      </c>
    </row>
    <row r="89" spans="1:3" s="65" customFormat="1" ht="55.5">
      <c r="A89" s="78" t="s">
        <v>140</v>
      </c>
      <c r="B89" s="52" t="s">
        <v>141</v>
      </c>
      <c r="C89" s="81">
        <f>[32]С3!F20</f>
        <v>2.1999999999999999E-2</v>
      </c>
    </row>
    <row r="90" spans="1:3" s="65" customFormat="1" ht="14.25">
      <c r="A90" s="78" t="s">
        <v>142</v>
      </c>
      <c r="B90" s="58" t="s">
        <v>86</v>
      </c>
      <c r="C90" s="64">
        <f>[32]С3!F21</f>
        <v>10</v>
      </c>
    </row>
    <row r="91" spans="1:3" s="65" customFormat="1" ht="17.25">
      <c r="A91" s="78" t="s">
        <v>143</v>
      </c>
      <c r="B91" s="31" t="s">
        <v>144</v>
      </c>
      <c r="C91" s="32">
        <f>[32]С3!F22</f>
        <v>5.6015848440000635</v>
      </c>
    </row>
    <row r="92" spans="1:3" s="65" customFormat="1" ht="55.5">
      <c r="A92" s="78" t="s">
        <v>145</v>
      </c>
      <c r="B92" s="52" t="s">
        <v>146</v>
      </c>
      <c r="C92" s="81">
        <f>[32]С3!F23</f>
        <v>3.0000000000000001E-3</v>
      </c>
    </row>
    <row r="93" spans="1:3" s="65" customFormat="1" ht="27.75" thickBot="1">
      <c r="A93" s="82" t="s">
        <v>147</v>
      </c>
      <c r="B93" s="83" t="s">
        <v>241</v>
      </c>
      <c r="C93" s="84">
        <f>[32]С3!F24</f>
        <v>1867.194948000021</v>
      </c>
    </row>
    <row r="94" spans="1:3" ht="13.5" thickBot="1">
      <c r="A94" s="47"/>
      <c r="B94" s="48"/>
      <c r="C94" s="14"/>
    </row>
    <row r="95" spans="1:3" ht="30" customHeight="1">
      <c r="A95" s="85" t="s">
        <v>148</v>
      </c>
      <c r="B95" s="145" t="s">
        <v>149</v>
      </c>
      <c r="C95" s="145"/>
    </row>
    <row r="96" spans="1:3" ht="30">
      <c r="A96" s="59" t="s">
        <v>150</v>
      </c>
      <c r="B96" s="31" t="s">
        <v>242</v>
      </c>
      <c r="C96" s="32">
        <f>[32]С4!F16</f>
        <v>1652.5</v>
      </c>
    </row>
    <row r="97" spans="1:3" ht="30">
      <c r="A97" s="59" t="s">
        <v>152</v>
      </c>
      <c r="B97" s="58" t="s">
        <v>243</v>
      </c>
      <c r="C97" s="32">
        <f>[32]С4!F17</f>
        <v>73547</v>
      </c>
    </row>
    <row r="98" spans="1:3" ht="17.25">
      <c r="A98" s="59" t="s">
        <v>154</v>
      </c>
      <c r="B98" s="58" t="s">
        <v>155</v>
      </c>
      <c r="C98" s="40">
        <f>[32]С4!F18</f>
        <v>0.02</v>
      </c>
    </row>
    <row r="99" spans="1:3" ht="30">
      <c r="A99" s="59" t="s">
        <v>156</v>
      </c>
      <c r="B99" s="58" t="s">
        <v>157</v>
      </c>
      <c r="C99" s="32">
        <f>[32]С4!F19</f>
        <v>12104</v>
      </c>
    </row>
    <row r="100" spans="1:3" ht="31.5">
      <c r="A100" s="59" t="s">
        <v>158</v>
      </c>
      <c r="B100" s="58" t="s">
        <v>159</v>
      </c>
      <c r="C100" s="40">
        <f>[32]С4!F20</f>
        <v>1.4999999999999999E-2</v>
      </c>
    </row>
    <row r="101" spans="1:3" ht="30">
      <c r="A101" s="59" t="s">
        <v>160</v>
      </c>
      <c r="B101" s="31" t="s">
        <v>244</v>
      </c>
      <c r="C101" s="32">
        <f>[32]С4!F21</f>
        <v>1933.1949342509995</v>
      </c>
    </row>
    <row r="102" spans="1:3" ht="24" customHeight="1">
      <c r="A102" s="59" t="s">
        <v>162</v>
      </c>
      <c r="B102" s="52" t="s">
        <v>163</v>
      </c>
      <c r="C102" s="33">
        <f>IF([32]С4.2!F8="да",[32]С4.2!D21,[32]С4.2!D15)</f>
        <v>0</v>
      </c>
    </row>
    <row r="103" spans="1:3" ht="68.25">
      <c r="A103" s="59" t="s">
        <v>164</v>
      </c>
      <c r="B103" s="52" t="s">
        <v>165</v>
      </c>
      <c r="C103" s="32">
        <f>[32]С4!F22</f>
        <v>3.6112641666666665</v>
      </c>
    </row>
    <row r="104" spans="1:3" ht="30">
      <c r="A104" s="59" t="s">
        <v>166</v>
      </c>
      <c r="B104" s="58" t="s">
        <v>245</v>
      </c>
      <c r="C104" s="32">
        <f>[32]С4!F23</f>
        <v>180</v>
      </c>
    </row>
    <row r="105" spans="1:3" ht="14.25">
      <c r="A105" s="59" t="s">
        <v>168</v>
      </c>
      <c r="B105" s="52" t="s">
        <v>169</v>
      </c>
      <c r="C105" s="32">
        <f>[32]С4!F24</f>
        <v>8497.1999999999989</v>
      </c>
    </row>
    <row r="106" spans="1:3" ht="14.25">
      <c r="A106" s="59" t="s">
        <v>170</v>
      </c>
      <c r="B106" s="58" t="s">
        <v>171</v>
      </c>
      <c r="C106" s="40">
        <f>[32]С4!F25</f>
        <v>0.35</v>
      </c>
    </row>
    <row r="107" spans="1:3" ht="17.25">
      <c r="A107" s="59" t="s">
        <v>172</v>
      </c>
      <c r="B107" s="31" t="s">
        <v>173</v>
      </c>
      <c r="C107" s="32">
        <f>[32]С4!F26</f>
        <v>85.988129999999998</v>
      </c>
    </row>
    <row r="108" spans="1:3" ht="25.5">
      <c r="A108" s="59" t="s">
        <v>174</v>
      </c>
      <c r="B108" s="52" t="s">
        <v>100</v>
      </c>
      <c r="C108" s="33">
        <f>[32]С4.3!E16</f>
        <v>0</v>
      </c>
    </row>
    <row r="109" spans="1:3" ht="25.5">
      <c r="A109" s="59" t="s">
        <v>175</v>
      </c>
      <c r="B109" s="52" t="s">
        <v>176</v>
      </c>
      <c r="C109" s="32">
        <f>[32]С4.3!E17</f>
        <v>20.350000000000001</v>
      </c>
    </row>
    <row r="110" spans="1:3" ht="38.25">
      <c r="A110" s="59" t="s">
        <v>177</v>
      </c>
      <c r="B110" s="52" t="s">
        <v>112</v>
      </c>
      <c r="C110" s="33">
        <f>[32]С4.3!E18</f>
        <v>0</v>
      </c>
    </row>
    <row r="111" spans="1:3">
      <c r="A111" s="59" t="s">
        <v>178</v>
      </c>
      <c r="B111" s="52" t="s">
        <v>179</v>
      </c>
      <c r="C111" s="32">
        <f>[32]С4.3!E19</f>
        <v>71.67</v>
      </c>
    </row>
    <row r="112" spans="1:3">
      <c r="A112" s="59" t="s">
        <v>180</v>
      </c>
      <c r="B112" s="58" t="s">
        <v>181</v>
      </c>
      <c r="C112" s="32">
        <f>[32]С4.3!E11</f>
        <v>1871</v>
      </c>
    </row>
    <row r="113" spans="1:3">
      <c r="A113" s="59" t="s">
        <v>182</v>
      </c>
      <c r="B113" s="58" t="s">
        <v>183</v>
      </c>
      <c r="C113" s="51">
        <f>[32]С4.3!E12</f>
        <v>1636</v>
      </c>
    </row>
    <row r="114" spans="1:3">
      <c r="A114" s="59" t="s">
        <v>184</v>
      </c>
      <c r="B114" s="58" t="s">
        <v>185</v>
      </c>
      <c r="C114" s="51">
        <f>[32]С4.3!E13</f>
        <v>204</v>
      </c>
    </row>
    <row r="115" spans="1:3" ht="30">
      <c r="A115" s="59" t="s">
        <v>186</v>
      </c>
      <c r="B115" s="31" t="s">
        <v>246</v>
      </c>
      <c r="C115" s="32">
        <f>[32]С4!F27</f>
        <v>1291.2863994686898</v>
      </c>
    </row>
    <row r="116" spans="1:3" ht="25.5">
      <c r="A116" s="59" t="s">
        <v>188</v>
      </c>
      <c r="B116" s="52" t="s">
        <v>247</v>
      </c>
      <c r="C116" s="32">
        <f>[32]С4!F28</f>
        <v>991.77142816335618</v>
      </c>
    </row>
    <row r="117" spans="1:3" ht="42.75">
      <c r="A117" s="59" t="s">
        <v>190</v>
      </c>
      <c r="B117" s="52" t="s">
        <v>191</v>
      </c>
      <c r="C117" s="32">
        <f>[32]С4!F29</f>
        <v>299.51497130533357</v>
      </c>
    </row>
    <row r="118" spans="1:3" ht="30">
      <c r="A118" s="59" t="s">
        <v>192</v>
      </c>
      <c r="B118" s="39" t="s">
        <v>193</v>
      </c>
      <c r="C118" s="32">
        <f>[32]С4!F30</f>
        <v>1723.1479285318933</v>
      </c>
    </row>
    <row r="119" spans="1:3" ht="42.75">
      <c r="A119" s="59" t="s">
        <v>248</v>
      </c>
      <c r="B119" s="89" t="s">
        <v>249</v>
      </c>
      <c r="C119" s="32">
        <f>[32]С4!F33</f>
        <v>1003.031644263441</v>
      </c>
    </row>
    <row r="120" spans="1:3" ht="30">
      <c r="A120" s="59" t="s">
        <v>250</v>
      </c>
      <c r="B120" s="121" t="s">
        <v>251</v>
      </c>
      <c r="C120" s="32">
        <f>[32]С4!F35</f>
        <v>17.040680999999999</v>
      </c>
    </row>
    <row r="121" spans="1:3" ht="14.25">
      <c r="A121" s="59" t="s">
        <v>252</v>
      </c>
      <c r="B121" s="55" t="s">
        <v>253</v>
      </c>
      <c r="C121" s="32">
        <f>[32]С4!F36</f>
        <v>14319.9</v>
      </c>
    </row>
    <row r="122" spans="1:3" ht="28.5" thickBot="1">
      <c r="A122" s="74" t="s">
        <v>254</v>
      </c>
      <c r="B122" s="122" t="s">
        <v>255</v>
      </c>
      <c r="C122" s="84">
        <f>[32]С4!F37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[32]С5!F17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[32]С2!F37</f>
        <v>20.818139999999996</v>
      </c>
    </row>
    <row r="136" spans="1:4" ht="14.25">
      <c r="A136" s="59" t="s">
        <v>214</v>
      </c>
      <c r="B136" s="128" t="s">
        <v>215</v>
      </c>
      <c r="C136" s="32">
        <f>[32]С2!F38</f>
        <v>7</v>
      </c>
    </row>
    <row r="137" spans="1:4" ht="17.25">
      <c r="A137" s="59" t="s">
        <v>216</v>
      </c>
      <c r="B137" s="128" t="s">
        <v>217</v>
      </c>
      <c r="C137" s="32">
        <f>[32]С2!F40</f>
        <v>0.97</v>
      </c>
    </row>
    <row r="138" spans="1:4" ht="15" thickBot="1">
      <c r="A138" s="74" t="s">
        <v>218</v>
      </c>
      <c r="B138" s="129" t="s">
        <v>219</v>
      </c>
      <c r="C138" s="46">
        <f>[32]С2!F42</f>
        <v>0.35</v>
      </c>
    </row>
    <row r="139" spans="1:4" s="87" customFormat="1" ht="13.5" thickBot="1">
      <c r="A139" s="47"/>
      <c r="B139" s="48"/>
      <c r="C139" s="14"/>
    </row>
    <row r="140" spans="1:4" ht="30">
      <c r="A140" s="85" t="s">
        <v>220</v>
      </c>
      <c r="B140" s="95" t="s">
        <v>258</v>
      </c>
      <c r="C140" s="130">
        <f>[32]С2!F35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[32]С2.5!$E$11</f>
        <v>-2.9000000000000026E-2</v>
      </c>
      <c r="D143" s="87"/>
    </row>
    <row r="144" spans="1:4">
      <c r="A144" s="97"/>
      <c r="B144" s="104">
        <f>B143+1</f>
        <v>2021</v>
      </c>
      <c r="C144" s="135">
        <f>[32]С2.5!$F$11</f>
        <v>0.245</v>
      </c>
      <c r="D144" s="87"/>
    </row>
    <row r="145" spans="1:4">
      <c r="A145" s="97"/>
      <c r="B145" s="104">
        <f t="shared" ref="B145:B208" si="0">B144+1</f>
        <v>2022</v>
      </c>
      <c r="C145" s="135">
        <f>[32]С2.5!$G$11</f>
        <v>0.114</v>
      </c>
      <c r="D145" s="87"/>
    </row>
    <row r="146" spans="1:4" ht="13.5" thickBot="1">
      <c r="A146" s="97"/>
      <c r="B146" s="106">
        <f t="shared" si="0"/>
        <v>2023</v>
      </c>
      <c r="C146" s="136">
        <f>[32]С2.5!$H$11</f>
        <v>2.4E-2</v>
      </c>
      <c r="D146" s="87"/>
    </row>
    <row r="147" spans="1:4">
      <c r="A147" s="97"/>
      <c r="B147" s="137">
        <f t="shared" si="0"/>
        <v>2024</v>
      </c>
      <c r="C147" s="138">
        <f>[32]С2.5!$I$11</f>
        <v>8.5999999999999993E-2</v>
      </c>
      <c r="D147" s="87"/>
    </row>
    <row r="148" spans="1:4" hidden="1">
      <c r="A148" s="97"/>
      <c r="B148" s="104">
        <f t="shared" si="0"/>
        <v>2025</v>
      </c>
      <c r="C148" s="135">
        <f>[32]С2.5!$J$11</f>
        <v>0.21215960863291</v>
      </c>
      <c r="D148" s="87"/>
    </row>
    <row r="149" spans="1:4" hidden="1">
      <c r="A149" s="97"/>
      <c r="B149" s="104">
        <f t="shared" si="0"/>
        <v>2026</v>
      </c>
      <c r="C149" s="135">
        <f>[32]С2.5!$K$11</f>
        <v>3.5813361771260002E-2</v>
      </c>
      <c r="D149" s="87"/>
    </row>
    <row r="150" spans="1:4" hidden="1">
      <c r="A150" s="97"/>
      <c r="B150" s="104">
        <f t="shared" si="0"/>
        <v>2027</v>
      </c>
      <c r="C150" s="135">
        <f>[32]С2.5!$L$11</f>
        <v>3.2682303599220003E-2</v>
      </c>
      <c r="D150" s="87"/>
    </row>
    <row r="151" spans="1:4" hidden="1">
      <c r="A151" s="97"/>
      <c r="B151" s="104">
        <f t="shared" si="0"/>
        <v>2028</v>
      </c>
      <c r="C151" s="135">
        <f>[32]С2.5!$M$11</f>
        <v>0</v>
      </c>
      <c r="D151" s="87"/>
    </row>
    <row r="152" spans="1:4" hidden="1">
      <c r="A152" s="97"/>
      <c r="B152" s="104">
        <f t="shared" si="0"/>
        <v>2029</v>
      </c>
      <c r="C152" s="135">
        <f>[32]С2.5!$N$11</f>
        <v>0</v>
      </c>
      <c r="D152" s="87"/>
    </row>
    <row r="153" spans="1:4" hidden="1">
      <c r="A153" s="97"/>
      <c r="B153" s="104">
        <f t="shared" si="0"/>
        <v>2030</v>
      </c>
      <c r="C153" s="135">
        <f>[32]С2.5!$O$11</f>
        <v>0</v>
      </c>
      <c r="D153" s="87"/>
    </row>
    <row r="154" spans="1:4" hidden="1">
      <c r="A154" s="97"/>
      <c r="B154" s="104">
        <f t="shared" si="0"/>
        <v>2031</v>
      </c>
      <c r="C154" s="135">
        <f>[32]С2.5!$P$11</f>
        <v>0</v>
      </c>
      <c r="D154" s="87"/>
    </row>
    <row r="155" spans="1:4" hidden="1">
      <c r="A155" s="87"/>
      <c r="B155" s="104">
        <f t="shared" si="0"/>
        <v>2032</v>
      </c>
      <c r="C155" s="135">
        <f>[32]С2.5!$Q$11</f>
        <v>0</v>
      </c>
      <c r="D155" s="87"/>
    </row>
    <row r="156" spans="1:4" hidden="1">
      <c r="A156" s="87"/>
      <c r="B156" s="104">
        <f t="shared" si="0"/>
        <v>2033</v>
      </c>
      <c r="C156" s="135">
        <f>[32]С2.5!$R$11</f>
        <v>0</v>
      </c>
      <c r="D156" s="87"/>
    </row>
    <row r="157" spans="1:4" hidden="1">
      <c r="B157" s="104">
        <f t="shared" si="0"/>
        <v>2034</v>
      </c>
      <c r="C157" s="135">
        <f>[32]С2.5!$S$11</f>
        <v>0</v>
      </c>
    </row>
    <row r="158" spans="1:4" hidden="1">
      <c r="B158" s="104">
        <f t="shared" si="0"/>
        <v>2035</v>
      </c>
      <c r="C158" s="135">
        <f>[32]С2.5!$T$11</f>
        <v>0</v>
      </c>
    </row>
    <row r="159" spans="1:4" hidden="1">
      <c r="B159" s="104">
        <f t="shared" si="0"/>
        <v>2036</v>
      </c>
      <c r="C159" s="135">
        <f>[32]С2.5!$U$11</f>
        <v>0</v>
      </c>
    </row>
    <row r="160" spans="1:4" hidden="1">
      <c r="B160" s="104">
        <f t="shared" si="0"/>
        <v>2037</v>
      </c>
      <c r="C160" s="135">
        <f>[32]С2.5!$V$11</f>
        <v>0</v>
      </c>
    </row>
    <row r="161" spans="2:3" hidden="1">
      <c r="B161" s="104">
        <f t="shared" si="0"/>
        <v>2038</v>
      </c>
      <c r="C161" s="135">
        <f>[32]С2.5!$W$11</f>
        <v>0</v>
      </c>
    </row>
    <row r="162" spans="2:3" hidden="1">
      <c r="B162" s="104">
        <f t="shared" si="0"/>
        <v>2039</v>
      </c>
      <c r="C162" s="135">
        <f>[32]С2.5!$X$11</f>
        <v>0</v>
      </c>
    </row>
    <row r="163" spans="2:3" hidden="1">
      <c r="B163" s="104">
        <f t="shared" si="0"/>
        <v>2040</v>
      </c>
      <c r="C163" s="135">
        <f>[32]С2.5!$Y$11</f>
        <v>0</v>
      </c>
    </row>
    <row r="164" spans="2:3" hidden="1">
      <c r="B164" s="104">
        <f t="shared" si="0"/>
        <v>2041</v>
      </c>
      <c r="C164" s="135">
        <f>[32]С2.5!$Z$11</f>
        <v>0</v>
      </c>
    </row>
    <row r="165" spans="2:3" hidden="1">
      <c r="B165" s="104">
        <f t="shared" si="0"/>
        <v>2042</v>
      </c>
      <c r="C165" s="135">
        <f>[32]С2.5!$AA$11</f>
        <v>0</v>
      </c>
    </row>
    <row r="166" spans="2:3" hidden="1">
      <c r="B166" s="104">
        <f t="shared" si="0"/>
        <v>2043</v>
      </c>
      <c r="C166" s="135">
        <f>[32]С2.5!$AB$11</f>
        <v>0</v>
      </c>
    </row>
    <row r="167" spans="2:3" hidden="1">
      <c r="B167" s="104">
        <f t="shared" si="0"/>
        <v>2044</v>
      </c>
      <c r="C167" s="135">
        <f>[32]С2.5!$AC$11</f>
        <v>0</v>
      </c>
    </row>
    <row r="168" spans="2:3" hidden="1">
      <c r="B168" s="104">
        <f t="shared" si="0"/>
        <v>2045</v>
      </c>
      <c r="C168" s="135">
        <f>[32]С2.5!$AD$11</f>
        <v>0</v>
      </c>
    </row>
    <row r="169" spans="2:3" hidden="1">
      <c r="B169" s="104">
        <f t="shared" si="0"/>
        <v>2046</v>
      </c>
      <c r="C169" s="135">
        <f>[32]С2.5!$AE$11</f>
        <v>0</v>
      </c>
    </row>
    <row r="170" spans="2:3" hidden="1">
      <c r="B170" s="104">
        <f t="shared" si="0"/>
        <v>2047</v>
      </c>
      <c r="C170" s="135">
        <f>[32]С2.5!$AF$11</f>
        <v>0</v>
      </c>
    </row>
    <row r="171" spans="2:3" hidden="1">
      <c r="B171" s="104">
        <f t="shared" si="0"/>
        <v>2048</v>
      </c>
      <c r="C171" s="135">
        <f>[32]С2.5!$AG$11</f>
        <v>0</v>
      </c>
    </row>
    <row r="172" spans="2:3" hidden="1">
      <c r="B172" s="104">
        <f t="shared" si="0"/>
        <v>2049</v>
      </c>
      <c r="C172" s="135">
        <f>[32]С2.5!$AH$11</f>
        <v>0</v>
      </c>
    </row>
    <row r="173" spans="2:3" hidden="1">
      <c r="B173" s="104">
        <f t="shared" si="0"/>
        <v>2050</v>
      </c>
      <c r="C173" s="135">
        <f>[32]С2.5!$AI$11</f>
        <v>0</v>
      </c>
    </row>
    <row r="174" spans="2:3" hidden="1">
      <c r="B174" s="104">
        <f t="shared" si="0"/>
        <v>2051</v>
      </c>
      <c r="C174" s="135">
        <f>[32]С2.5!$AJ$11</f>
        <v>0</v>
      </c>
    </row>
    <row r="175" spans="2:3" hidden="1">
      <c r="B175" s="104">
        <f t="shared" si="0"/>
        <v>2052</v>
      </c>
      <c r="C175" s="135">
        <f>[32]С2.5!$AK$11</f>
        <v>0</v>
      </c>
    </row>
    <row r="176" spans="2:3" hidden="1">
      <c r="B176" s="104">
        <f t="shared" si="0"/>
        <v>2053</v>
      </c>
      <c r="C176" s="135">
        <f>[32]С2.5!$AL$11</f>
        <v>0</v>
      </c>
    </row>
    <row r="177" spans="2:3" hidden="1">
      <c r="B177" s="104">
        <f t="shared" si="0"/>
        <v>2054</v>
      </c>
      <c r="C177" s="135">
        <f>[32]С2.5!$AM$11</f>
        <v>0</v>
      </c>
    </row>
    <row r="178" spans="2:3" hidden="1">
      <c r="B178" s="104">
        <f t="shared" si="0"/>
        <v>2055</v>
      </c>
      <c r="C178" s="135">
        <f>[32]С2.5!$AN$11</f>
        <v>0</v>
      </c>
    </row>
    <row r="179" spans="2:3" hidden="1">
      <c r="B179" s="104">
        <f t="shared" si="0"/>
        <v>2056</v>
      </c>
      <c r="C179" s="135">
        <f>[32]С2.5!$AO$11</f>
        <v>0</v>
      </c>
    </row>
    <row r="180" spans="2:3" hidden="1">
      <c r="B180" s="104">
        <f t="shared" si="0"/>
        <v>2057</v>
      </c>
      <c r="C180" s="135">
        <f>[32]С2.5!$AP$11</f>
        <v>0</v>
      </c>
    </row>
    <row r="181" spans="2:3" hidden="1">
      <c r="B181" s="104">
        <f t="shared" si="0"/>
        <v>2058</v>
      </c>
      <c r="C181" s="135">
        <f>[32]С2.5!$AQ$11</f>
        <v>0</v>
      </c>
    </row>
    <row r="182" spans="2:3" hidden="1">
      <c r="B182" s="104">
        <f t="shared" si="0"/>
        <v>2059</v>
      </c>
      <c r="C182" s="135">
        <f>[32]С2.5!$AR$11</f>
        <v>0</v>
      </c>
    </row>
    <row r="183" spans="2:3" hidden="1">
      <c r="B183" s="104">
        <f t="shared" si="0"/>
        <v>2060</v>
      </c>
      <c r="C183" s="135">
        <f>[32]С2.5!$AS$11</f>
        <v>0</v>
      </c>
    </row>
    <row r="184" spans="2:3" hidden="1">
      <c r="B184" s="104">
        <f t="shared" si="0"/>
        <v>2061</v>
      </c>
      <c r="C184" s="135">
        <f>[32]С2.5!$AT$11</f>
        <v>0</v>
      </c>
    </row>
    <row r="185" spans="2:3" hidden="1">
      <c r="B185" s="104">
        <f t="shared" si="0"/>
        <v>2062</v>
      </c>
      <c r="C185" s="135">
        <f>[32]С2.5!$AU$11</f>
        <v>0</v>
      </c>
    </row>
    <row r="186" spans="2:3" hidden="1">
      <c r="B186" s="104">
        <f t="shared" si="0"/>
        <v>2063</v>
      </c>
      <c r="C186" s="135">
        <f>[32]С2.5!$AV$11</f>
        <v>0</v>
      </c>
    </row>
    <row r="187" spans="2:3" hidden="1">
      <c r="B187" s="104">
        <f t="shared" si="0"/>
        <v>2064</v>
      </c>
      <c r="C187" s="135">
        <f>[32]С2.5!$AW$11</f>
        <v>0</v>
      </c>
    </row>
    <row r="188" spans="2:3" hidden="1">
      <c r="B188" s="104">
        <f t="shared" si="0"/>
        <v>2065</v>
      </c>
      <c r="C188" s="135">
        <f>[32]С2.5!$AX$11</f>
        <v>0</v>
      </c>
    </row>
    <row r="189" spans="2:3" hidden="1">
      <c r="B189" s="104">
        <f t="shared" si="0"/>
        <v>2066</v>
      </c>
      <c r="C189" s="135">
        <f>[32]С2.5!$AY$11</f>
        <v>0</v>
      </c>
    </row>
    <row r="190" spans="2:3" hidden="1">
      <c r="B190" s="104">
        <f t="shared" si="0"/>
        <v>2067</v>
      </c>
      <c r="C190" s="135">
        <f>[32]С2.5!$AZ$11</f>
        <v>0</v>
      </c>
    </row>
    <row r="191" spans="2:3" hidden="1">
      <c r="B191" s="104">
        <f t="shared" si="0"/>
        <v>2068</v>
      </c>
      <c r="C191" s="135">
        <f>[32]С2.5!$BA$11</f>
        <v>0</v>
      </c>
    </row>
    <row r="192" spans="2:3" hidden="1">
      <c r="B192" s="104">
        <f t="shared" si="0"/>
        <v>2069</v>
      </c>
      <c r="C192" s="135">
        <f>[32]С2.5!$BB$11</f>
        <v>0</v>
      </c>
    </row>
    <row r="193" spans="2:3" hidden="1">
      <c r="B193" s="104">
        <f t="shared" si="0"/>
        <v>2070</v>
      </c>
      <c r="C193" s="135">
        <f>[32]С2.5!$BC$11</f>
        <v>0</v>
      </c>
    </row>
    <row r="194" spans="2:3" hidden="1">
      <c r="B194" s="104">
        <f t="shared" si="0"/>
        <v>2071</v>
      </c>
      <c r="C194" s="135">
        <f>[32]С2.5!$BD$11</f>
        <v>0</v>
      </c>
    </row>
    <row r="195" spans="2:3" hidden="1">
      <c r="B195" s="104">
        <f t="shared" si="0"/>
        <v>2072</v>
      </c>
      <c r="C195" s="135">
        <f>[32]С2.5!$BE$11</f>
        <v>0</v>
      </c>
    </row>
    <row r="196" spans="2:3" hidden="1">
      <c r="B196" s="104">
        <f t="shared" si="0"/>
        <v>2073</v>
      </c>
      <c r="C196" s="135">
        <f>[32]С2.5!$BF$11</f>
        <v>0</v>
      </c>
    </row>
    <row r="197" spans="2:3" hidden="1">
      <c r="B197" s="104">
        <f t="shared" si="0"/>
        <v>2074</v>
      </c>
      <c r="C197" s="135">
        <f>[32]С2.5!$BG$11</f>
        <v>0</v>
      </c>
    </row>
    <row r="198" spans="2:3" hidden="1">
      <c r="B198" s="104">
        <f t="shared" si="0"/>
        <v>2075</v>
      </c>
      <c r="C198" s="135">
        <f>[32]С2.5!$BH$11</f>
        <v>0</v>
      </c>
    </row>
    <row r="199" spans="2:3" hidden="1">
      <c r="B199" s="104">
        <f t="shared" si="0"/>
        <v>2076</v>
      </c>
      <c r="C199" s="135">
        <f>[32]С2.5!$BI$11</f>
        <v>0</v>
      </c>
    </row>
    <row r="200" spans="2:3" hidden="1">
      <c r="B200" s="104">
        <f t="shared" si="0"/>
        <v>2077</v>
      </c>
      <c r="C200" s="135">
        <f>[32]С2.5!$BJ$11</f>
        <v>0</v>
      </c>
    </row>
    <row r="201" spans="2:3" hidden="1">
      <c r="B201" s="104">
        <f t="shared" si="0"/>
        <v>2078</v>
      </c>
      <c r="C201" s="135">
        <f>[32]С2.5!$BK$11</f>
        <v>0</v>
      </c>
    </row>
    <row r="202" spans="2:3" hidden="1">
      <c r="B202" s="104">
        <f t="shared" si="0"/>
        <v>2079</v>
      </c>
      <c r="C202" s="135">
        <f>[32]С2.5!$BL$11</f>
        <v>0</v>
      </c>
    </row>
    <row r="203" spans="2:3" hidden="1">
      <c r="B203" s="104">
        <f t="shared" si="0"/>
        <v>2080</v>
      </c>
      <c r="C203" s="135">
        <f>[32]С2.5!$BM$11</f>
        <v>0</v>
      </c>
    </row>
    <row r="204" spans="2:3" hidden="1">
      <c r="B204" s="104">
        <f t="shared" si="0"/>
        <v>2081</v>
      </c>
      <c r="C204" s="135">
        <f>[32]С2.5!$BN$11</f>
        <v>0</v>
      </c>
    </row>
    <row r="205" spans="2:3" hidden="1">
      <c r="B205" s="104">
        <f t="shared" si="0"/>
        <v>2082</v>
      </c>
      <c r="C205" s="135">
        <f>[32]С2.5!$BO$11</f>
        <v>0</v>
      </c>
    </row>
    <row r="206" spans="2:3" hidden="1">
      <c r="B206" s="104">
        <f t="shared" si="0"/>
        <v>2083</v>
      </c>
      <c r="C206" s="135">
        <f>[32]С2.5!$BP$11</f>
        <v>0</v>
      </c>
    </row>
    <row r="207" spans="2:3" hidden="1">
      <c r="B207" s="104">
        <f t="shared" si="0"/>
        <v>2084</v>
      </c>
      <c r="C207" s="135">
        <f>[32]С2.5!$BQ$11</f>
        <v>0</v>
      </c>
    </row>
    <row r="208" spans="2:3" hidden="1">
      <c r="B208" s="104">
        <f t="shared" si="0"/>
        <v>2085</v>
      </c>
      <c r="C208" s="135">
        <f>[32]С2.5!$BR$11</f>
        <v>0</v>
      </c>
    </row>
    <row r="209" spans="2:3" hidden="1">
      <c r="B209" s="104">
        <f t="shared" ref="B209:B223" si="1">B208+1</f>
        <v>2086</v>
      </c>
      <c r="C209" s="135">
        <f>[32]С2.5!$BS$11</f>
        <v>0</v>
      </c>
    </row>
    <row r="210" spans="2:3" hidden="1">
      <c r="B210" s="104">
        <f t="shared" si="1"/>
        <v>2087</v>
      </c>
      <c r="C210" s="135">
        <f>[32]С2.5!$BT$11</f>
        <v>0</v>
      </c>
    </row>
    <row r="211" spans="2:3" hidden="1">
      <c r="B211" s="104">
        <f t="shared" si="1"/>
        <v>2088</v>
      </c>
      <c r="C211" s="135">
        <f>[32]С2.5!$BU$11</f>
        <v>0</v>
      </c>
    </row>
    <row r="212" spans="2:3" hidden="1">
      <c r="B212" s="104">
        <f t="shared" si="1"/>
        <v>2089</v>
      </c>
      <c r="C212" s="135">
        <f>[32]С2.5!$BV$11</f>
        <v>0</v>
      </c>
    </row>
    <row r="213" spans="2:3" hidden="1">
      <c r="B213" s="104">
        <f t="shared" si="1"/>
        <v>2090</v>
      </c>
      <c r="C213" s="135">
        <f>[32]С2.5!$BW$11</f>
        <v>0</v>
      </c>
    </row>
    <row r="214" spans="2:3" hidden="1">
      <c r="B214" s="104">
        <f t="shared" si="1"/>
        <v>2091</v>
      </c>
      <c r="C214" s="135">
        <f>[32]С2.5!$BX$11</f>
        <v>0</v>
      </c>
    </row>
    <row r="215" spans="2:3" hidden="1">
      <c r="B215" s="104">
        <f t="shared" si="1"/>
        <v>2092</v>
      </c>
      <c r="C215" s="135">
        <f>[32]С2.5!$BY$11</f>
        <v>0</v>
      </c>
    </row>
    <row r="216" spans="2:3" hidden="1">
      <c r="B216" s="104">
        <f t="shared" si="1"/>
        <v>2093</v>
      </c>
      <c r="C216" s="135">
        <f>[32]С2.5!$BZ$11</f>
        <v>0</v>
      </c>
    </row>
    <row r="217" spans="2:3" hidden="1">
      <c r="B217" s="104">
        <f t="shared" si="1"/>
        <v>2094</v>
      </c>
      <c r="C217" s="135">
        <f>[32]С2.5!$CA$11</f>
        <v>0</v>
      </c>
    </row>
    <row r="218" spans="2:3" hidden="1">
      <c r="B218" s="104">
        <f t="shared" si="1"/>
        <v>2095</v>
      </c>
      <c r="C218" s="135">
        <f>[32]С2.5!$CB$11</f>
        <v>0</v>
      </c>
    </row>
    <row r="219" spans="2:3" hidden="1">
      <c r="B219" s="104">
        <f t="shared" si="1"/>
        <v>2096</v>
      </c>
      <c r="C219" s="135">
        <f>[32]С2.5!$CC$11</f>
        <v>0</v>
      </c>
    </row>
    <row r="220" spans="2:3" hidden="1">
      <c r="B220" s="104">
        <f t="shared" si="1"/>
        <v>2097</v>
      </c>
      <c r="C220" s="135">
        <f>[32]С2.5!$CD$11</f>
        <v>0</v>
      </c>
    </row>
    <row r="221" spans="2:3" hidden="1">
      <c r="B221" s="104">
        <f t="shared" si="1"/>
        <v>2098</v>
      </c>
      <c r="C221" s="135">
        <f>[32]С2.5!$CE$11</f>
        <v>0</v>
      </c>
    </row>
    <row r="222" spans="2:3" hidden="1">
      <c r="B222" s="104">
        <f t="shared" si="1"/>
        <v>2099</v>
      </c>
      <c r="C222" s="135">
        <f>[32]С2.5!$CF$11</f>
        <v>0</v>
      </c>
    </row>
    <row r="223" spans="2:3" ht="13.5" hidden="1" thickBot="1">
      <c r="B223" s="106">
        <f t="shared" si="1"/>
        <v>2100</v>
      </c>
      <c r="C223" s="136">
        <f>[32]С2.5!$CG$11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21" r:id="rId3" name="Button 1">
              <controlPr defaultSize="0" print="0" autoFill="0" autoPict="0" macro="[33]!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30722" r:id="rId4" name="Button 2">
              <controlPr defaultSize="0" print="0" autoFill="0" autoPict="0" macro="[3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I8" sqref="I8"/>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3" t="s">
        <v>225</v>
      </c>
      <c r="C1" s="143"/>
    </row>
    <row r="2" spans="1:3">
      <c r="A2" s="1"/>
      <c r="B2" s="3" t="s">
        <v>1</v>
      </c>
      <c r="C2" s="4">
        <v>45317</v>
      </c>
    </row>
    <row r="3" spans="1:3">
      <c r="A3" s="1"/>
      <c r="B3" s="112" t="s">
        <v>2</v>
      </c>
    </row>
    <row r="4" spans="1:3" ht="25.5">
      <c r="A4" s="7"/>
      <c r="B4" s="8" t="str">
        <f>[34]И1!D13</f>
        <v>Субъект Российской Федерации</v>
      </c>
      <c r="C4" s="9" t="str">
        <f>[34]И1!E13</f>
        <v>Новосибирская область</v>
      </c>
    </row>
    <row r="5" spans="1:3" ht="46.9" customHeight="1">
      <c r="A5" s="7"/>
      <c r="B5" s="8" t="str">
        <f>[34]И1!D14</f>
        <v>Тип муниципального образования (выберите из списка)</v>
      </c>
      <c r="C5" s="9" t="str">
        <f>[34]И1!E14</f>
        <v>село Светлая Поляна, Болотнинский муниципальный район</v>
      </c>
    </row>
    <row r="6" spans="1:3">
      <c r="A6" s="7"/>
      <c r="B6" s="8" t="str">
        <f>IF([34]И1!E15="","",[34]И1!D15)</f>
        <v/>
      </c>
      <c r="C6" s="9" t="str">
        <f>IF([34]И1!E15="","",[34]И1!E15)</f>
        <v/>
      </c>
    </row>
    <row r="7" spans="1:3">
      <c r="A7" s="7"/>
      <c r="B7" s="8" t="str">
        <f>[34]И1!D16</f>
        <v>Код ОКТМО</v>
      </c>
      <c r="C7" s="10" t="str">
        <f>[34]И1!E16</f>
        <v>50606443101</v>
      </c>
    </row>
    <row r="8" spans="1:3">
      <c r="A8" s="7"/>
      <c r="B8" s="11" t="str">
        <f>[34]И1!D17</f>
        <v>Система теплоснабжения</v>
      </c>
      <c r="C8" s="12">
        <f>[34]И1!E17</f>
        <v>0</v>
      </c>
    </row>
    <row r="9" spans="1:3">
      <c r="A9" s="7"/>
      <c r="B9" s="8" t="str">
        <f>[34]И1!D8</f>
        <v>Период регулирования (i)-й</v>
      </c>
      <c r="C9" s="13">
        <f>[34]И1!E8</f>
        <v>2024</v>
      </c>
    </row>
    <row r="10" spans="1:3">
      <c r="A10" s="7"/>
      <c r="B10" s="8" t="str">
        <f>[34]И1!D9</f>
        <v>Период регулирования (i-1)-й</v>
      </c>
      <c r="C10" s="13">
        <f>[34]И1!E9</f>
        <v>2023</v>
      </c>
    </row>
    <row r="11" spans="1:3">
      <c r="A11" s="7"/>
      <c r="B11" s="8" t="str">
        <f>[34]И1!D10</f>
        <v>Период регулирования (i-2)-й</v>
      </c>
      <c r="C11" s="13">
        <f>[34]И1!E10</f>
        <v>2022</v>
      </c>
    </row>
    <row r="12" spans="1:3">
      <c r="A12" s="7"/>
      <c r="B12" s="8" t="str">
        <f>[34]И1!D11</f>
        <v>Базовый год (б)</v>
      </c>
      <c r="C12" s="13">
        <f>[34]И1!E11</f>
        <v>2019</v>
      </c>
    </row>
    <row r="13" spans="1:3" ht="38.25">
      <c r="A13" s="7"/>
      <c r="B13" s="8" t="str">
        <f>[34]И1!D18</f>
        <v>Вид топлива, использование которого преобладает в системе теплоснабжения</v>
      </c>
      <c r="C13" s="14" t="str">
        <f>[34]С1.1!E13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3655.2820024247267</v>
      </c>
    </row>
    <row r="18" spans="1:3" ht="42.75">
      <c r="A18" s="21" t="s">
        <v>8</v>
      </c>
      <c r="B18" s="24" t="s">
        <v>9</v>
      </c>
      <c r="C18" s="25">
        <f>[34]С1!F12</f>
        <v>676.60152105220402</v>
      </c>
    </row>
    <row r="19" spans="1:3" ht="42.75">
      <c r="A19" s="21" t="s">
        <v>10</v>
      </c>
      <c r="B19" s="24" t="s">
        <v>11</v>
      </c>
      <c r="C19" s="25">
        <f>[34]С2!F12</f>
        <v>1993.3494362887216</v>
      </c>
    </row>
    <row r="20" spans="1:3" ht="30">
      <c r="A20" s="21" t="s">
        <v>12</v>
      </c>
      <c r="B20" s="24" t="s">
        <v>13</v>
      </c>
      <c r="C20" s="25">
        <f>[34]С3!F12</f>
        <v>473.85859951490778</v>
      </c>
    </row>
    <row r="21" spans="1:3" ht="42.75">
      <c r="A21" s="21" t="s">
        <v>14</v>
      </c>
      <c r="B21" s="24" t="s">
        <v>226</v>
      </c>
      <c r="C21" s="25">
        <f>[34]С4!F12</f>
        <v>439.80024944291841</v>
      </c>
    </row>
    <row r="22" spans="1:3" ht="30">
      <c r="A22" s="21" t="s">
        <v>16</v>
      </c>
      <c r="B22" s="24" t="s">
        <v>227</v>
      </c>
      <c r="C22" s="25">
        <f>[34]С5!F12</f>
        <v>71.672196125975034</v>
      </c>
    </row>
    <row r="23" spans="1:3" ht="43.5" thickBot="1">
      <c r="A23" s="26" t="s">
        <v>18</v>
      </c>
      <c r="B23" s="140" t="s">
        <v>228</v>
      </c>
      <c r="C23" s="27" t="str">
        <f>[34]С6!F12</f>
        <v>-</v>
      </c>
    </row>
    <row r="24" spans="1:3" ht="13.5" thickBot="1">
      <c r="A24" s="1"/>
    </row>
    <row r="25" spans="1:3">
      <c r="A25" s="15" t="s">
        <v>4</v>
      </c>
      <c r="B25" s="28" t="s">
        <v>5</v>
      </c>
      <c r="C25" s="16" t="s">
        <v>6</v>
      </c>
    </row>
    <row r="26" spans="1:3">
      <c r="A26" s="18">
        <v>1</v>
      </c>
      <c r="B26" s="29">
        <v>2</v>
      </c>
      <c r="C26" s="30">
        <v>3</v>
      </c>
    </row>
    <row r="27" spans="1:3" ht="35.25" customHeight="1">
      <c r="A27" s="21">
        <v>1</v>
      </c>
      <c r="B27" s="144" t="s">
        <v>20</v>
      </c>
      <c r="C27" s="144"/>
    </row>
    <row r="28" spans="1:3">
      <c r="A28" s="21" t="s">
        <v>8</v>
      </c>
      <c r="B28" s="31" t="s">
        <v>229</v>
      </c>
      <c r="C28" s="32">
        <f>[34]С1.1!E16</f>
        <v>5100</v>
      </c>
    </row>
    <row r="29" spans="1:3" ht="42.75">
      <c r="A29" s="21" t="s">
        <v>10</v>
      </c>
      <c r="B29" s="31" t="s">
        <v>230</v>
      </c>
      <c r="C29" s="32">
        <f>[34]С1.1!E27</f>
        <v>3040</v>
      </c>
    </row>
    <row r="30" spans="1:3" ht="17.25">
      <c r="A30" s="21" t="s">
        <v>12</v>
      </c>
      <c r="B30" s="31" t="s">
        <v>29</v>
      </c>
      <c r="C30" s="34">
        <f>[34]С1.1!E19</f>
        <v>-0.19900000000000001</v>
      </c>
    </row>
    <row r="31" spans="1:3" ht="17.25">
      <c r="A31" s="21" t="s">
        <v>14</v>
      </c>
      <c r="B31" s="31" t="s">
        <v>30</v>
      </c>
      <c r="C31" s="34">
        <f>[34]С1.1!E20</f>
        <v>5.7000000000000002E-2</v>
      </c>
    </row>
    <row r="32" spans="1:3" ht="30">
      <c r="A32" s="21" t="s">
        <v>16</v>
      </c>
      <c r="B32" s="35" t="s">
        <v>231</v>
      </c>
      <c r="C32" s="117">
        <f>[34]С1!F13</f>
        <v>176.4</v>
      </c>
    </row>
    <row r="33" spans="1:3">
      <c r="A33" s="21" t="s">
        <v>18</v>
      </c>
      <c r="B33" s="35" t="s">
        <v>32</v>
      </c>
      <c r="C33" s="37">
        <f>[34]С1!F16</f>
        <v>7000</v>
      </c>
    </row>
    <row r="34" spans="1:3" ht="14.25">
      <c r="A34" s="21" t="s">
        <v>33</v>
      </c>
      <c r="B34" s="39" t="s">
        <v>232</v>
      </c>
      <c r="C34" s="40">
        <f>[34]С1!F17</f>
        <v>0.72857142857142854</v>
      </c>
    </row>
    <row r="35" spans="1:3" ht="15.75">
      <c r="A35" s="118" t="s">
        <v>35</v>
      </c>
      <c r="B35" s="42" t="s">
        <v>36</v>
      </c>
      <c r="C35" s="40">
        <f>[34]С1!F20</f>
        <v>21.588411179999994</v>
      </c>
    </row>
    <row r="36" spans="1:3" ht="15.75">
      <c r="A36" s="118" t="s">
        <v>37</v>
      </c>
      <c r="B36" s="43" t="s">
        <v>38</v>
      </c>
      <c r="C36" s="40">
        <f>[34]С1!F21</f>
        <v>20.818139999999996</v>
      </c>
    </row>
    <row r="37" spans="1:3" ht="14.25">
      <c r="A37" s="118" t="s">
        <v>39</v>
      </c>
      <c r="B37" s="44" t="s">
        <v>40</v>
      </c>
      <c r="C37" s="40">
        <f>[34]С1!F22</f>
        <v>1.0369999999999999</v>
      </c>
    </row>
    <row r="38" spans="1:3" ht="53.25" thickBot="1">
      <c r="A38" s="26" t="s">
        <v>41</v>
      </c>
      <c r="B38" s="45" t="s">
        <v>42</v>
      </c>
      <c r="C38" s="46">
        <f>[34]С1!F23</f>
        <v>1.0469999999999999</v>
      </c>
    </row>
    <row r="39" spans="1:3" ht="13.5" thickBot="1">
      <c r="A39" s="47"/>
      <c r="B39" s="119"/>
      <c r="C39" s="120"/>
    </row>
    <row r="40" spans="1:3" ht="42.75" customHeight="1">
      <c r="A40" s="49" t="s">
        <v>43</v>
      </c>
      <c r="B40" s="145" t="s">
        <v>44</v>
      </c>
      <c r="C40" s="145"/>
    </row>
    <row r="41" spans="1:3" ht="25.5">
      <c r="A41" s="21" t="s">
        <v>45</v>
      </c>
      <c r="B41" s="35" t="s">
        <v>46</v>
      </c>
      <c r="C41" s="50" t="str">
        <f>[34]С2.1!E12</f>
        <v>V</v>
      </c>
    </row>
    <row r="42" spans="1:3" ht="25.5">
      <c r="A42" s="21" t="s">
        <v>47</v>
      </c>
      <c r="B42" s="31" t="s">
        <v>48</v>
      </c>
      <c r="C42" s="50" t="str">
        <f>[34]С2.1!E13</f>
        <v>6 и менее баллов</v>
      </c>
    </row>
    <row r="43" spans="1:3" ht="25.5">
      <c r="A43" s="21" t="s">
        <v>49</v>
      </c>
      <c r="B43" s="31" t="s">
        <v>233</v>
      </c>
      <c r="C43" s="50" t="str">
        <f>[34]С2.1!E14</f>
        <v>от 200 до 500</v>
      </c>
    </row>
    <row r="44" spans="1:3" ht="25.5">
      <c r="A44" s="21" t="s">
        <v>51</v>
      </c>
      <c r="B44" s="31" t="s">
        <v>234</v>
      </c>
      <c r="C44" s="51" t="str">
        <f>[34]С2.1!E15</f>
        <v>нет</v>
      </c>
    </row>
    <row r="45" spans="1:3" ht="30">
      <c r="A45" s="21" t="s">
        <v>53</v>
      </c>
      <c r="B45" s="31" t="s">
        <v>54</v>
      </c>
      <c r="C45" s="32">
        <f>[34]С2!F18</f>
        <v>35106.652004551666</v>
      </c>
    </row>
    <row r="46" spans="1:3" ht="30">
      <c r="A46" s="21" t="s">
        <v>55</v>
      </c>
      <c r="B46" s="52" t="s">
        <v>56</v>
      </c>
      <c r="C46" s="32">
        <f>IF([34]С2!F19&gt;0,[34]С2!F19,[34]С2!F20)</f>
        <v>23441.524932855718</v>
      </c>
    </row>
    <row r="47" spans="1:3" ht="25.5">
      <c r="A47" s="21" t="s">
        <v>57</v>
      </c>
      <c r="B47" s="53" t="s">
        <v>58</v>
      </c>
      <c r="C47" s="32">
        <f>[34]С2.1!E19</f>
        <v>-38</v>
      </c>
    </row>
    <row r="48" spans="1:3" ht="25.5">
      <c r="A48" s="21" t="s">
        <v>59</v>
      </c>
      <c r="B48" s="53" t="s">
        <v>60</v>
      </c>
      <c r="C48" s="32" t="str">
        <f>[34]С2.1!E22</f>
        <v>нет</v>
      </c>
    </row>
    <row r="49" spans="1:3" ht="38.25">
      <c r="A49" s="21" t="s">
        <v>61</v>
      </c>
      <c r="B49" s="54" t="s">
        <v>62</v>
      </c>
      <c r="C49" s="32">
        <f>[34]С2.2!E10</f>
        <v>1287</v>
      </c>
    </row>
    <row r="50" spans="1:3" ht="25.5">
      <c r="A50" s="21" t="s">
        <v>63</v>
      </c>
      <c r="B50" s="55" t="s">
        <v>64</v>
      </c>
      <c r="C50" s="32">
        <f>[34]С2.2!E12</f>
        <v>5.97</v>
      </c>
    </row>
    <row r="51" spans="1:3" ht="52.5">
      <c r="A51" s="21" t="s">
        <v>65</v>
      </c>
      <c r="B51" s="56" t="s">
        <v>66</v>
      </c>
      <c r="C51" s="32">
        <f>[34]С2.2!E13</f>
        <v>1</v>
      </c>
    </row>
    <row r="52" spans="1:3" ht="27.75">
      <c r="A52" s="21" t="s">
        <v>67</v>
      </c>
      <c r="B52" s="55" t="s">
        <v>68</v>
      </c>
      <c r="C52" s="32">
        <f>[34]С2.2!E14</f>
        <v>12104</v>
      </c>
    </row>
    <row r="53" spans="1:3" ht="25.5">
      <c r="A53" s="21" t="s">
        <v>69</v>
      </c>
      <c r="B53" s="56" t="s">
        <v>70</v>
      </c>
      <c r="C53" s="34">
        <f>[34]С2.2!E15</f>
        <v>4.8000000000000001E-2</v>
      </c>
    </row>
    <row r="54" spans="1:3">
      <c r="A54" s="21" t="s">
        <v>71</v>
      </c>
      <c r="B54" s="56" t="s">
        <v>72</v>
      </c>
      <c r="C54" s="32">
        <f>[34]С2.2!E16</f>
        <v>1</v>
      </c>
    </row>
    <row r="55" spans="1:3" ht="15.75">
      <c r="A55" s="21" t="s">
        <v>73</v>
      </c>
      <c r="B55" s="58" t="s">
        <v>74</v>
      </c>
      <c r="C55" s="32">
        <f>[34]С2!F21</f>
        <v>1</v>
      </c>
    </row>
    <row r="56" spans="1:3" ht="30">
      <c r="A56" s="59" t="s">
        <v>75</v>
      </c>
      <c r="B56" s="31" t="s">
        <v>235</v>
      </c>
      <c r="C56" s="32">
        <f>[34]С2!F13</f>
        <v>183796.83936385796</v>
      </c>
    </row>
    <row r="57" spans="1:3" ht="30">
      <c r="A57" s="59" t="s">
        <v>77</v>
      </c>
      <c r="B57" s="58" t="s">
        <v>236</v>
      </c>
      <c r="C57" s="32">
        <f>[34]С2!F14</f>
        <v>113455</v>
      </c>
    </row>
    <row r="58" spans="1:3" ht="15.75">
      <c r="A58" s="59" t="s">
        <v>79</v>
      </c>
      <c r="B58" s="60" t="s">
        <v>80</v>
      </c>
      <c r="C58" s="40">
        <f>[34]С2!F15</f>
        <v>1.071</v>
      </c>
    </row>
    <row r="59" spans="1:3" ht="15.75">
      <c r="A59" s="59" t="s">
        <v>81</v>
      </c>
      <c r="B59" s="60" t="s">
        <v>82</v>
      </c>
      <c r="C59" s="40">
        <f>[34]С2!F16</f>
        <v>1</v>
      </c>
    </row>
    <row r="60" spans="1:3" ht="17.25">
      <c r="A60" s="59" t="s">
        <v>83</v>
      </c>
      <c r="B60" s="58" t="s">
        <v>84</v>
      </c>
      <c r="C60" s="32">
        <f>[34]С2!F17</f>
        <v>1.01</v>
      </c>
    </row>
    <row r="61" spans="1:3" s="65" customFormat="1" ht="14.25">
      <c r="A61" s="59" t="s">
        <v>85</v>
      </c>
      <c r="B61" s="63" t="s">
        <v>86</v>
      </c>
      <c r="C61" s="64">
        <f>[34]С2!F33</f>
        <v>10</v>
      </c>
    </row>
    <row r="62" spans="1:3" ht="30">
      <c r="A62" s="59" t="s">
        <v>87</v>
      </c>
      <c r="B62" s="66" t="s">
        <v>88</v>
      </c>
      <c r="C62" s="32">
        <f>[34]С2!F26</f>
        <v>1867.194948000021</v>
      </c>
    </row>
    <row r="63" spans="1:3" ht="17.25">
      <c r="A63" s="59" t="s">
        <v>89</v>
      </c>
      <c r="B63" s="52" t="s">
        <v>237</v>
      </c>
      <c r="C63" s="32">
        <f>[34]С2!F27</f>
        <v>0.29684983999999998</v>
      </c>
    </row>
    <row r="64" spans="1:3" ht="17.25">
      <c r="A64" s="59" t="s">
        <v>91</v>
      </c>
      <c r="B64" s="58" t="s">
        <v>238</v>
      </c>
      <c r="C64" s="64">
        <f>[34]С2!F28</f>
        <v>4200</v>
      </c>
    </row>
    <row r="65" spans="1:3" ht="42.75">
      <c r="A65" s="59" t="s">
        <v>93</v>
      </c>
      <c r="B65" s="31" t="s">
        <v>239</v>
      </c>
      <c r="C65" s="32">
        <f>[34]С2!F22</f>
        <v>38698.422798410109</v>
      </c>
    </row>
    <row r="66" spans="1:3" ht="30">
      <c r="A66" s="59" t="s">
        <v>95</v>
      </c>
      <c r="B66" s="60" t="s">
        <v>240</v>
      </c>
      <c r="C66" s="32">
        <f>[34]С2!F23</f>
        <v>1990</v>
      </c>
    </row>
    <row r="67" spans="1:3" ht="30">
      <c r="A67" s="59" t="s">
        <v>97</v>
      </c>
      <c r="B67" s="52" t="s">
        <v>98</v>
      </c>
      <c r="C67" s="32">
        <f>[34]С2.1!E27</f>
        <v>14307.876789999998</v>
      </c>
    </row>
    <row r="68" spans="1:3" ht="38.25">
      <c r="A68" s="59" t="s">
        <v>99</v>
      </c>
      <c r="B68" s="67" t="s">
        <v>100</v>
      </c>
      <c r="C68" s="51">
        <f>[34]С2.3!E21</f>
        <v>0</v>
      </c>
    </row>
    <row r="69" spans="1:3" ht="25.5">
      <c r="A69" s="59" t="s">
        <v>101</v>
      </c>
      <c r="B69" s="68" t="s">
        <v>102</v>
      </c>
      <c r="C69" s="69">
        <f>[34]С2.3!E11</f>
        <v>9.89</v>
      </c>
    </row>
    <row r="70" spans="1:3" ht="25.5">
      <c r="A70" s="59" t="s">
        <v>103</v>
      </c>
      <c r="B70" s="68" t="s">
        <v>104</v>
      </c>
      <c r="C70" s="64">
        <f>[34]С2.3!E13</f>
        <v>300</v>
      </c>
    </row>
    <row r="71" spans="1:3" ht="25.5">
      <c r="A71" s="59" t="s">
        <v>105</v>
      </c>
      <c r="B71" s="67" t="s">
        <v>106</v>
      </c>
      <c r="C71" s="70">
        <f>IF([34]С2.3!E22&gt;0,[34]С2.3!E22,[34]С2.3!E14)</f>
        <v>61211</v>
      </c>
    </row>
    <row r="72" spans="1:3" ht="38.25">
      <c r="A72" s="59" t="s">
        <v>107</v>
      </c>
      <c r="B72" s="67" t="s">
        <v>108</v>
      </c>
      <c r="C72" s="70">
        <f>IF([34]С2.3!E23&gt;0,[34]С2.3!E23,[34]С2.3!E15)</f>
        <v>45675</v>
      </c>
    </row>
    <row r="73" spans="1:3" ht="30">
      <c r="A73" s="59" t="s">
        <v>109</v>
      </c>
      <c r="B73" s="52" t="s">
        <v>110</v>
      </c>
      <c r="C73" s="32">
        <f>[34]С2.1!E28</f>
        <v>9541.9567200000001</v>
      </c>
    </row>
    <row r="74" spans="1:3" ht="38.25">
      <c r="A74" s="59" t="s">
        <v>111</v>
      </c>
      <c r="B74" s="67" t="s">
        <v>112</v>
      </c>
      <c r="C74" s="51">
        <f>[34]С2.3!E25</f>
        <v>0</v>
      </c>
    </row>
    <row r="75" spans="1:3" ht="25.5">
      <c r="A75" s="59" t="s">
        <v>113</v>
      </c>
      <c r="B75" s="68" t="s">
        <v>114</v>
      </c>
      <c r="C75" s="69">
        <f>[34]С2.3!E12</f>
        <v>0.56000000000000005</v>
      </c>
    </row>
    <row r="76" spans="1:3" ht="25.5">
      <c r="A76" s="59" t="s">
        <v>115</v>
      </c>
      <c r="B76" s="68" t="s">
        <v>104</v>
      </c>
      <c r="C76" s="64">
        <f>[34]С2.3!E13</f>
        <v>300</v>
      </c>
    </row>
    <row r="77" spans="1:3" ht="25.5">
      <c r="A77" s="59" t="s">
        <v>116</v>
      </c>
      <c r="B77" s="71" t="s">
        <v>117</v>
      </c>
      <c r="C77" s="70">
        <f>IF([34]С2.3!E26&gt;0,[34]С2.3!E26,[34]С2.3!E16)</f>
        <v>65637</v>
      </c>
    </row>
    <row r="78" spans="1:3" ht="38.25">
      <c r="A78" s="59" t="s">
        <v>118</v>
      </c>
      <c r="B78" s="71" t="s">
        <v>119</v>
      </c>
      <c r="C78" s="70">
        <f>IF([34]С2.3!E27&gt;0,[34]С2.3!E27,[34]С2.3!E17)</f>
        <v>31684</v>
      </c>
    </row>
    <row r="79" spans="1:3" ht="17.25">
      <c r="A79" s="59" t="s">
        <v>122</v>
      </c>
      <c r="B79" s="31" t="s">
        <v>123</v>
      </c>
      <c r="C79" s="34">
        <f>[34]С2!F29</f>
        <v>9.5962865259740182E-2</v>
      </c>
    </row>
    <row r="80" spans="1:3" ht="30">
      <c r="A80" s="59" t="s">
        <v>124</v>
      </c>
      <c r="B80" s="52" t="s">
        <v>125</v>
      </c>
      <c r="C80" s="72">
        <f>[34]С2!F30</f>
        <v>8.4029304029304031E-2</v>
      </c>
    </row>
    <row r="81" spans="1:3" ht="17.25">
      <c r="A81" s="59" t="s">
        <v>126</v>
      </c>
      <c r="B81" s="73" t="s">
        <v>127</v>
      </c>
      <c r="C81" s="34">
        <f>[34]С2!F31</f>
        <v>0.13880000000000001</v>
      </c>
    </row>
    <row r="82" spans="1:3" s="65" customFormat="1" ht="18" thickBot="1">
      <c r="A82" s="74" t="s">
        <v>128</v>
      </c>
      <c r="B82" s="75" t="s">
        <v>129</v>
      </c>
      <c r="C82" s="76">
        <f>[34]С2!F32</f>
        <v>0.12640000000000001</v>
      </c>
    </row>
    <row r="83" spans="1:3" ht="13.5" thickBot="1">
      <c r="A83" s="47"/>
      <c r="B83" s="48"/>
      <c r="C83" s="14"/>
    </row>
    <row r="84" spans="1:3" s="65" customFormat="1" ht="30" customHeight="1">
      <c r="A84" s="77" t="s">
        <v>130</v>
      </c>
      <c r="B84" s="145" t="s">
        <v>131</v>
      </c>
      <c r="C84" s="145"/>
    </row>
    <row r="85" spans="1:3" s="65" customFormat="1" ht="30">
      <c r="A85" s="78" t="s">
        <v>132</v>
      </c>
      <c r="B85" s="31" t="s">
        <v>133</v>
      </c>
      <c r="C85" s="32">
        <f>[34]С3!F14</f>
        <v>6081.0916722812572</v>
      </c>
    </row>
    <row r="86" spans="1:3" s="65" customFormat="1" ht="42.75">
      <c r="A86" s="78" t="s">
        <v>134</v>
      </c>
      <c r="B86" s="52" t="s">
        <v>135</v>
      </c>
      <c r="C86" s="79">
        <f>[34]С3!F15</f>
        <v>0.2</v>
      </c>
    </row>
    <row r="87" spans="1:3" s="65" customFormat="1" ht="14.25">
      <c r="A87" s="78" t="s">
        <v>136</v>
      </c>
      <c r="B87" s="80" t="s">
        <v>137</v>
      </c>
      <c r="C87" s="64">
        <f>[34]С3!F18</f>
        <v>15</v>
      </c>
    </row>
    <row r="88" spans="1:3" s="65" customFormat="1" ht="17.25">
      <c r="A88" s="78" t="s">
        <v>138</v>
      </c>
      <c r="B88" s="31" t="s">
        <v>139</v>
      </c>
      <c r="C88" s="32">
        <f>[34]С3!F19</f>
        <v>3778.1614077800232</v>
      </c>
    </row>
    <row r="89" spans="1:3" s="65" customFormat="1" ht="55.5">
      <c r="A89" s="78" t="s">
        <v>140</v>
      </c>
      <c r="B89" s="52" t="s">
        <v>141</v>
      </c>
      <c r="C89" s="81">
        <f>[34]С3!F20</f>
        <v>2.1999999999999999E-2</v>
      </c>
    </row>
    <row r="90" spans="1:3" s="65" customFormat="1" ht="14.25">
      <c r="A90" s="78" t="s">
        <v>142</v>
      </c>
      <c r="B90" s="58" t="s">
        <v>86</v>
      </c>
      <c r="C90" s="64">
        <f>[34]С3!F21</f>
        <v>10</v>
      </c>
    </row>
    <row r="91" spans="1:3" s="65" customFormat="1" ht="17.25">
      <c r="A91" s="78" t="s">
        <v>143</v>
      </c>
      <c r="B91" s="31" t="s">
        <v>144</v>
      </c>
      <c r="C91" s="32">
        <f>[34]С3!F22</f>
        <v>5.6015848440000635</v>
      </c>
    </row>
    <row r="92" spans="1:3" s="65" customFormat="1" ht="55.5">
      <c r="A92" s="78" t="s">
        <v>145</v>
      </c>
      <c r="B92" s="52" t="s">
        <v>146</v>
      </c>
      <c r="C92" s="81">
        <f>[34]С3!F23</f>
        <v>3.0000000000000001E-3</v>
      </c>
    </row>
    <row r="93" spans="1:3" s="65" customFormat="1" ht="27.75" thickBot="1">
      <c r="A93" s="82" t="s">
        <v>147</v>
      </c>
      <c r="B93" s="83" t="s">
        <v>241</v>
      </c>
      <c r="C93" s="84">
        <f>[34]С3!F24</f>
        <v>1867.194948000021</v>
      </c>
    </row>
    <row r="94" spans="1:3" ht="13.5" thickBot="1">
      <c r="A94" s="47"/>
      <c r="B94" s="48"/>
      <c r="C94" s="14"/>
    </row>
    <row r="95" spans="1:3" ht="30" customHeight="1">
      <c r="A95" s="85" t="s">
        <v>148</v>
      </c>
      <c r="B95" s="145" t="s">
        <v>149</v>
      </c>
      <c r="C95" s="145"/>
    </row>
    <row r="96" spans="1:3" ht="30">
      <c r="A96" s="59" t="s">
        <v>150</v>
      </c>
      <c r="B96" s="31" t="s">
        <v>242</v>
      </c>
      <c r="C96" s="32">
        <f>[34]С4!F16</f>
        <v>1652.5</v>
      </c>
    </row>
    <row r="97" spans="1:3" ht="30">
      <c r="A97" s="59" t="s">
        <v>152</v>
      </c>
      <c r="B97" s="58" t="s">
        <v>243</v>
      </c>
      <c r="C97" s="32">
        <f>[34]С4!F17</f>
        <v>73547</v>
      </c>
    </row>
    <row r="98" spans="1:3" ht="17.25">
      <c r="A98" s="59" t="s">
        <v>154</v>
      </c>
      <c r="B98" s="58" t="s">
        <v>155</v>
      </c>
      <c r="C98" s="40">
        <f>[34]С4!F18</f>
        <v>0.02</v>
      </c>
    </row>
    <row r="99" spans="1:3" ht="30">
      <c r="A99" s="59" t="s">
        <v>156</v>
      </c>
      <c r="B99" s="58" t="s">
        <v>157</v>
      </c>
      <c r="C99" s="32">
        <f>[34]С4!F19</f>
        <v>12104</v>
      </c>
    </row>
    <row r="100" spans="1:3" ht="31.5">
      <c r="A100" s="59" t="s">
        <v>158</v>
      </c>
      <c r="B100" s="58" t="s">
        <v>159</v>
      </c>
      <c r="C100" s="40">
        <f>[34]С4!F20</f>
        <v>1.4999999999999999E-2</v>
      </c>
    </row>
    <row r="101" spans="1:3" ht="30">
      <c r="A101" s="59" t="s">
        <v>160</v>
      </c>
      <c r="B101" s="31" t="s">
        <v>244</v>
      </c>
      <c r="C101" s="32">
        <f>[34]С4!F21</f>
        <v>1933.1949342509995</v>
      </c>
    </row>
    <row r="102" spans="1:3" ht="24" customHeight="1">
      <c r="A102" s="59" t="s">
        <v>162</v>
      </c>
      <c r="B102" s="52" t="s">
        <v>163</v>
      </c>
      <c r="C102" s="33">
        <f>IF([34]С4.2!F8="да",[34]С4.2!D21,[34]С4.2!D15)</f>
        <v>0</v>
      </c>
    </row>
    <row r="103" spans="1:3" ht="68.25">
      <c r="A103" s="59" t="s">
        <v>164</v>
      </c>
      <c r="B103" s="52" t="s">
        <v>165</v>
      </c>
      <c r="C103" s="32">
        <f>[34]С4!F22</f>
        <v>3.6112641666666665</v>
      </c>
    </row>
    <row r="104" spans="1:3" ht="30">
      <c r="A104" s="59" t="s">
        <v>166</v>
      </c>
      <c r="B104" s="58" t="s">
        <v>245</v>
      </c>
      <c r="C104" s="32">
        <f>[34]С4!F23</f>
        <v>180</v>
      </c>
    </row>
    <row r="105" spans="1:3" ht="14.25">
      <c r="A105" s="59" t="s">
        <v>168</v>
      </c>
      <c r="B105" s="52" t="s">
        <v>169</v>
      </c>
      <c r="C105" s="32">
        <f>[34]С4!F24</f>
        <v>8497.1999999999989</v>
      </c>
    </row>
    <row r="106" spans="1:3" ht="14.25">
      <c r="A106" s="59" t="s">
        <v>170</v>
      </c>
      <c r="B106" s="58" t="s">
        <v>171</v>
      </c>
      <c r="C106" s="40">
        <f>[34]С4!F25</f>
        <v>0.35</v>
      </c>
    </row>
    <row r="107" spans="1:3" ht="17.25">
      <c r="A107" s="59" t="s">
        <v>172</v>
      </c>
      <c r="B107" s="31" t="s">
        <v>173</v>
      </c>
      <c r="C107" s="32">
        <f>[34]С4!F26</f>
        <v>85.988129999999998</v>
      </c>
    </row>
    <row r="108" spans="1:3" ht="25.5">
      <c r="A108" s="59" t="s">
        <v>174</v>
      </c>
      <c r="B108" s="52" t="s">
        <v>100</v>
      </c>
      <c r="C108" s="33">
        <f>[34]С4.3!E16</f>
        <v>0</v>
      </c>
    </row>
    <row r="109" spans="1:3" ht="25.5">
      <c r="A109" s="59" t="s">
        <v>175</v>
      </c>
      <c r="B109" s="52" t="s">
        <v>176</v>
      </c>
      <c r="C109" s="32">
        <f>[34]С4.3!E17</f>
        <v>20.350000000000001</v>
      </c>
    </row>
    <row r="110" spans="1:3" ht="38.25">
      <c r="A110" s="59" t="s">
        <v>177</v>
      </c>
      <c r="B110" s="52" t="s">
        <v>112</v>
      </c>
      <c r="C110" s="33">
        <f>[34]С4.3!E18</f>
        <v>0</v>
      </c>
    </row>
    <row r="111" spans="1:3">
      <c r="A111" s="59" t="s">
        <v>178</v>
      </c>
      <c r="B111" s="52" t="s">
        <v>179</v>
      </c>
      <c r="C111" s="32">
        <f>[34]С4.3!E19</f>
        <v>71.67</v>
      </c>
    </row>
    <row r="112" spans="1:3">
      <c r="A112" s="59" t="s">
        <v>180</v>
      </c>
      <c r="B112" s="58" t="s">
        <v>181</v>
      </c>
      <c r="C112" s="32">
        <f>[34]С4.3!E11</f>
        <v>1871</v>
      </c>
    </row>
    <row r="113" spans="1:3">
      <c r="A113" s="59" t="s">
        <v>182</v>
      </c>
      <c r="B113" s="58" t="s">
        <v>183</v>
      </c>
      <c r="C113" s="51">
        <f>[34]С4.3!E12</f>
        <v>1636</v>
      </c>
    </row>
    <row r="114" spans="1:3">
      <c r="A114" s="59" t="s">
        <v>184</v>
      </c>
      <c r="B114" s="58" t="s">
        <v>185</v>
      </c>
      <c r="C114" s="51">
        <f>[34]С4.3!E13</f>
        <v>204</v>
      </c>
    </row>
    <row r="115" spans="1:3" ht="30">
      <c r="A115" s="59" t="s">
        <v>186</v>
      </c>
      <c r="B115" s="31" t="s">
        <v>246</v>
      </c>
      <c r="C115" s="32">
        <f>[34]С4!F27</f>
        <v>1291.2863994686898</v>
      </c>
    </row>
    <row r="116" spans="1:3" ht="25.5">
      <c r="A116" s="59" t="s">
        <v>188</v>
      </c>
      <c r="B116" s="52" t="s">
        <v>247</v>
      </c>
      <c r="C116" s="32">
        <f>[34]С4!F28</f>
        <v>991.77142816335618</v>
      </c>
    </row>
    <row r="117" spans="1:3" ht="42.75">
      <c r="A117" s="59" t="s">
        <v>190</v>
      </c>
      <c r="B117" s="52" t="s">
        <v>191</v>
      </c>
      <c r="C117" s="32">
        <f>[34]С4!F29</f>
        <v>299.51497130533357</v>
      </c>
    </row>
    <row r="118" spans="1:3" ht="30">
      <c r="A118" s="59" t="s">
        <v>192</v>
      </c>
      <c r="B118" s="39" t="s">
        <v>193</v>
      </c>
      <c r="C118" s="32">
        <f>[34]С4!F30</f>
        <v>1723.1479285318933</v>
      </c>
    </row>
    <row r="119" spans="1:3" ht="42.75">
      <c r="A119" s="59" t="s">
        <v>248</v>
      </c>
      <c r="B119" s="89" t="s">
        <v>249</v>
      </c>
      <c r="C119" s="32">
        <f>[34]С4!F33</f>
        <v>1003.031644263441</v>
      </c>
    </row>
    <row r="120" spans="1:3" ht="30">
      <c r="A120" s="59" t="s">
        <v>250</v>
      </c>
      <c r="B120" s="121" t="s">
        <v>251</v>
      </c>
      <c r="C120" s="32">
        <f>[34]С4!F35</f>
        <v>17.040680999999999</v>
      </c>
    </row>
    <row r="121" spans="1:3" ht="14.25">
      <c r="A121" s="59" t="s">
        <v>252</v>
      </c>
      <c r="B121" s="55" t="s">
        <v>253</v>
      </c>
      <c r="C121" s="32">
        <f>[34]С4!F36</f>
        <v>14319.9</v>
      </c>
    </row>
    <row r="122" spans="1:3" ht="28.5" thickBot="1">
      <c r="A122" s="74" t="s">
        <v>254</v>
      </c>
      <c r="B122" s="122" t="s">
        <v>255</v>
      </c>
      <c r="C122" s="84">
        <f>[34]С4!F37</f>
        <v>1.19</v>
      </c>
    </row>
    <row r="123" spans="1:3" s="87" customFormat="1" ht="13.5" thickBot="1">
      <c r="A123" s="47"/>
      <c r="B123" s="48"/>
      <c r="C123" s="14"/>
    </row>
    <row r="124" spans="1:3" s="65" customFormat="1" ht="30" customHeight="1">
      <c r="A124" s="77" t="s">
        <v>194</v>
      </c>
      <c r="B124" s="145" t="s">
        <v>195</v>
      </c>
      <c r="C124" s="145"/>
    </row>
    <row r="125" spans="1:3" ht="16.5" thickBot="1">
      <c r="A125" s="26" t="s">
        <v>196</v>
      </c>
      <c r="B125" s="86" t="s">
        <v>197</v>
      </c>
      <c r="C125" s="84">
        <f>[34]С5!F17</f>
        <v>0.02</v>
      </c>
    </row>
    <row r="126" spans="1:3" s="87" customFormat="1" ht="13.5" thickBot="1">
      <c r="A126" s="47"/>
      <c r="B126" s="48"/>
      <c r="C126" s="14"/>
    </row>
    <row r="127" spans="1:3" ht="42.75" customHeight="1">
      <c r="A127" s="85" t="s">
        <v>198</v>
      </c>
      <c r="B127" s="146" t="s">
        <v>199</v>
      </c>
      <c r="C127" s="146"/>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[34]С2!F37</f>
        <v>20.818139999999996</v>
      </c>
    </row>
    <row r="136" spans="1:4" ht="14.25">
      <c r="A136" s="59" t="s">
        <v>214</v>
      </c>
      <c r="B136" s="128" t="s">
        <v>215</v>
      </c>
      <c r="C136" s="32">
        <f>[34]С2!F38</f>
        <v>7</v>
      </c>
    </row>
    <row r="137" spans="1:4" ht="17.25">
      <c r="A137" s="59" t="s">
        <v>216</v>
      </c>
      <c r="B137" s="128" t="s">
        <v>217</v>
      </c>
      <c r="C137" s="32">
        <f>[34]С2!F40</f>
        <v>0.97</v>
      </c>
    </row>
    <row r="138" spans="1:4" ht="15" thickBot="1">
      <c r="A138" s="74" t="s">
        <v>218</v>
      </c>
      <c r="B138" s="129" t="s">
        <v>219</v>
      </c>
      <c r="C138" s="46">
        <f>[34]С2!F42</f>
        <v>0.35</v>
      </c>
    </row>
    <row r="139" spans="1:4" s="87" customFormat="1" ht="13.5" thickBot="1">
      <c r="A139" s="47"/>
      <c r="B139" s="48"/>
      <c r="C139" s="14"/>
    </row>
    <row r="140" spans="1:4" ht="30">
      <c r="A140" s="85" t="s">
        <v>220</v>
      </c>
      <c r="B140" s="95" t="s">
        <v>258</v>
      </c>
      <c r="C140" s="130">
        <f>[34]С2!F35</f>
        <v>1.4976266307379205</v>
      </c>
      <c r="D140" s="87"/>
    </row>
    <row r="141" spans="1:4" ht="22.7" customHeight="1" thickBot="1">
      <c r="A141" s="74" t="s">
        <v>222</v>
      </c>
      <c r="B141" s="141" t="s">
        <v>223</v>
      </c>
      <c r="C141" s="141"/>
      <c r="D141" s="87"/>
    </row>
    <row r="142" spans="1:4" ht="13.5" thickBot="1">
      <c r="A142" s="97"/>
      <c r="B142" s="131" t="s">
        <v>224</v>
      </c>
      <c r="C142" s="132"/>
      <c r="D142" s="87"/>
    </row>
    <row r="143" spans="1:4">
      <c r="A143" s="97"/>
      <c r="B143" s="133">
        <v>2020</v>
      </c>
      <c r="C143" s="134">
        <f>[34]С2.5!$E$11</f>
        <v>-2.9000000000000026E-2</v>
      </c>
      <c r="D143" s="87"/>
    </row>
    <row r="144" spans="1:4">
      <c r="A144" s="97"/>
      <c r="B144" s="104">
        <f>B143+1</f>
        <v>2021</v>
      </c>
      <c r="C144" s="135">
        <f>[34]С2.5!$F$11</f>
        <v>0.245</v>
      </c>
      <c r="D144" s="87"/>
    </row>
    <row r="145" spans="1:4">
      <c r="A145" s="97"/>
      <c r="B145" s="104">
        <f t="shared" ref="B145:B208" si="0">B144+1</f>
        <v>2022</v>
      </c>
      <c r="C145" s="135">
        <f>[34]С2.5!$G$11</f>
        <v>0.114</v>
      </c>
      <c r="D145" s="87"/>
    </row>
    <row r="146" spans="1:4" ht="13.5" thickBot="1">
      <c r="A146" s="97"/>
      <c r="B146" s="106">
        <f t="shared" si="0"/>
        <v>2023</v>
      </c>
      <c r="C146" s="136">
        <f>[34]С2.5!$H$11</f>
        <v>2.4E-2</v>
      </c>
      <c r="D146" s="87"/>
    </row>
    <row r="147" spans="1:4">
      <c r="A147" s="97"/>
      <c r="B147" s="137">
        <f t="shared" si="0"/>
        <v>2024</v>
      </c>
      <c r="C147" s="138">
        <f>[34]С2.5!$I$11</f>
        <v>8.5999999999999993E-2</v>
      </c>
      <c r="D147" s="87"/>
    </row>
    <row r="148" spans="1:4" hidden="1">
      <c r="A148" s="97"/>
      <c r="B148" s="104">
        <f t="shared" si="0"/>
        <v>2025</v>
      </c>
      <c r="C148" s="135">
        <f>[34]С2.5!$J$11</f>
        <v>0.21215960863291</v>
      </c>
      <c r="D148" s="87"/>
    </row>
    <row r="149" spans="1:4" hidden="1">
      <c r="A149" s="97"/>
      <c r="B149" s="104">
        <f t="shared" si="0"/>
        <v>2026</v>
      </c>
      <c r="C149" s="135">
        <f>[34]С2.5!$K$11</f>
        <v>3.5813361771260002E-2</v>
      </c>
      <c r="D149" s="87"/>
    </row>
    <row r="150" spans="1:4" hidden="1">
      <c r="A150" s="97"/>
      <c r="B150" s="104">
        <f t="shared" si="0"/>
        <v>2027</v>
      </c>
      <c r="C150" s="135">
        <f>[34]С2.5!$L$11</f>
        <v>3.2682303599220003E-2</v>
      </c>
      <c r="D150" s="87"/>
    </row>
    <row r="151" spans="1:4" hidden="1">
      <c r="A151" s="97"/>
      <c r="B151" s="104">
        <f t="shared" si="0"/>
        <v>2028</v>
      </c>
      <c r="C151" s="135">
        <f>[34]С2.5!$M$11</f>
        <v>0</v>
      </c>
      <c r="D151" s="87"/>
    </row>
    <row r="152" spans="1:4" hidden="1">
      <c r="A152" s="97"/>
      <c r="B152" s="104">
        <f t="shared" si="0"/>
        <v>2029</v>
      </c>
      <c r="C152" s="135">
        <f>[34]С2.5!$N$11</f>
        <v>0</v>
      </c>
      <c r="D152" s="87"/>
    </row>
    <row r="153" spans="1:4" hidden="1">
      <c r="A153" s="97"/>
      <c r="B153" s="104">
        <f t="shared" si="0"/>
        <v>2030</v>
      </c>
      <c r="C153" s="135">
        <f>[34]С2.5!$O$11</f>
        <v>0</v>
      </c>
      <c r="D153" s="87"/>
    </row>
    <row r="154" spans="1:4" hidden="1">
      <c r="A154" s="97"/>
      <c r="B154" s="104">
        <f t="shared" si="0"/>
        <v>2031</v>
      </c>
      <c r="C154" s="135">
        <f>[34]С2.5!$P$11</f>
        <v>0</v>
      </c>
      <c r="D154" s="87"/>
    </row>
    <row r="155" spans="1:4" hidden="1">
      <c r="A155" s="87"/>
      <c r="B155" s="104">
        <f t="shared" si="0"/>
        <v>2032</v>
      </c>
      <c r="C155" s="135">
        <f>[34]С2.5!$Q$11</f>
        <v>0</v>
      </c>
      <c r="D155" s="87"/>
    </row>
    <row r="156" spans="1:4" hidden="1">
      <c r="A156" s="87"/>
      <c r="B156" s="104">
        <f t="shared" si="0"/>
        <v>2033</v>
      </c>
      <c r="C156" s="135">
        <f>[34]С2.5!$R$11</f>
        <v>0</v>
      </c>
      <c r="D156" s="87"/>
    </row>
    <row r="157" spans="1:4" hidden="1">
      <c r="B157" s="104">
        <f t="shared" si="0"/>
        <v>2034</v>
      </c>
      <c r="C157" s="135">
        <f>[34]С2.5!$S$11</f>
        <v>0</v>
      </c>
    </row>
    <row r="158" spans="1:4" hidden="1">
      <c r="B158" s="104">
        <f t="shared" si="0"/>
        <v>2035</v>
      </c>
      <c r="C158" s="135">
        <f>[34]С2.5!$T$11</f>
        <v>0</v>
      </c>
    </row>
    <row r="159" spans="1:4" hidden="1">
      <c r="B159" s="104">
        <f t="shared" si="0"/>
        <v>2036</v>
      </c>
      <c r="C159" s="135">
        <f>[34]С2.5!$U$11</f>
        <v>0</v>
      </c>
    </row>
    <row r="160" spans="1:4" hidden="1">
      <c r="B160" s="104">
        <f t="shared" si="0"/>
        <v>2037</v>
      </c>
      <c r="C160" s="135">
        <f>[34]С2.5!$V$11</f>
        <v>0</v>
      </c>
    </row>
    <row r="161" spans="2:3" hidden="1">
      <c r="B161" s="104">
        <f t="shared" si="0"/>
        <v>2038</v>
      </c>
      <c r="C161" s="135">
        <f>[34]С2.5!$W$11</f>
        <v>0</v>
      </c>
    </row>
    <row r="162" spans="2:3" hidden="1">
      <c r="B162" s="104">
        <f t="shared" si="0"/>
        <v>2039</v>
      </c>
      <c r="C162" s="135">
        <f>[34]С2.5!$X$11</f>
        <v>0</v>
      </c>
    </row>
    <row r="163" spans="2:3" hidden="1">
      <c r="B163" s="104">
        <f t="shared" si="0"/>
        <v>2040</v>
      </c>
      <c r="C163" s="135">
        <f>[34]С2.5!$Y$11</f>
        <v>0</v>
      </c>
    </row>
    <row r="164" spans="2:3" hidden="1">
      <c r="B164" s="104">
        <f t="shared" si="0"/>
        <v>2041</v>
      </c>
      <c r="C164" s="135">
        <f>[34]С2.5!$Z$11</f>
        <v>0</v>
      </c>
    </row>
    <row r="165" spans="2:3" hidden="1">
      <c r="B165" s="104">
        <f t="shared" si="0"/>
        <v>2042</v>
      </c>
      <c r="C165" s="135">
        <f>[34]С2.5!$AA$11</f>
        <v>0</v>
      </c>
    </row>
    <row r="166" spans="2:3" hidden="1">
      <c r="B166" s="104">
        <f t="shared" si="0"/>
        <v>2043</v>
      </c>
      <c r="C166" s="135">
        <f>[34]С2.5!$AB$11</f>
        <v>0</v>
      </c>
    </row>
    <row r="167" spans="2:3" hidden="1">
      <c r="B167" s="104">
        <f t="shared" si="0"/>
        <v>2044</v>
      </c>
      <c r="C167" s="135">
        <f>[34]С2.5!$AC$11</f>
        <v>0</v>
      </c>
    </row>
    <row r="168" spans="2:3" hidden="1">
      <c r="B168" s="104">
        <f t="shared" si="0"/>
        <v>2045</v>
      </c>
      <c r="C168" s="135">
        <f>[34]С2.5!$AD$11</f>
        <v>0</v>
      </c>
    </row>
    <row r="169" spans="2:3" hidden="1">
      <c r="B169" s="104">
        <f t="shared" si="0"/>
        <v>2046</v>
      </c>
      <c r="C169" s="135">
        <f>[34]С2.5!$AE$11</f>
        <v>0</v>
      </c>
    </row>
    <row r="170" spans="2:3" hidden="1">
      <c r="B170" s="104">
        <f t="shared" si="0"/>
        <v>2047</v>
      </c>
      <c r="C170" s="135">
        <f>[34]С2.5!$AF$11</f>
        <v>0</v>
      </c>
    </row>
    <row r="171" spans="2:3" hidden="1">
      <c r="B171" s="104">
        <f t="shared" si="0"/>
        <v>2048</v>
      </c>
      <c r="C171" s="135">
        <f>[34]С2.5!$AG$11</f>
        <v>0</v>
      </c>
    </row>
    <row r="172" spans="2:3" hidden="1">
      <c r="B172" s="104">
        <f t="shared" si="0"/>
        <v>2049</v>
      </c>
      <c r="C172" s="135">
        <f>[34]С2.5!$AH$11</f>
        <v>0</v>
      </c>
    </row>
    <row r="173" spans="2:3" hidden="1">
      <c r="B173" s="104">
        <f t="shared" si="0"/>
        <v>2050</v>
      </c>
      <c r="C173" s="135">
        <f>[34]С2.5!$AI$11</f>
        <v>0</v>
      </c>
    </row>
    <row r="174" spans="2:3" hidden="1">
      <c r="B174" s="104">
        <f t="shared" si="0"/>
        <v>2051</v>
      </c>
      <c r="C174" s="135">
        <f>[34]С2.5!$AJ$11</f>
        <v>0</v>
      </c>
    </row>
    <row r="175" spans="2:3" hidden="1">
      <c r="B175" s="104">
        <f t="shared" si="0"/>
        <v>2052</v>
      </c>
      <c r="C175" s="135">
        <f>[34]С2.5!$AK$11</f>
        <v>0</v>
      </c>
    </row>
    <row r="176" spans="2:3" hidden="1">
      <c r="B176" s="104">
        <f t="shared" si="0"/>
        <v>2053</v>
      </c>
      <c r="C176" s="135">
        <f>[34]С2.5!$AL$11</f>
        <v>0</v>
      </c>
    </row>
    <row r="177" spans="2:3" hidden="1">
      <c r="B177" s="104">
        <f t="shared" si="0"/>
        <v>2054</v>
      </c>
      <c r="C177" s="135">
        <f>[34]С2.5!$AM$11</f>
        <v>0</v>
      </c>
    </row>
    <row r="178" spans="2:3" hidden="1">
      <c r="B178" s="104">
        <f t="shared" si="0"/>
        <v>2055</v>
      </c>
      <c r="C178" s="135">
        <f>[34]С2.5!$AN$11</f>
        <v>0</v>
      </c>
    </row>
    <row r="179" spans="2:3" hidden="1">
      <c r="B179" s="104">
        <f t="shared" si="0"/>
        <v>2056</v>
      </c>
      <c r="C179" s="135">
        <f>[34]С2.5!$AO$11</f>
        <v>0</v>
      </c>
    </row>
    <row r="180" spans="2:3" hidden="1">
      <c r="B180" s="104">
        <f t="shared" si="0"/>
        <v>2057</v>
      </c>
      <c r="C180" s="135">
        <f>[34]С2.5!$AP$11</f>
        <v>0</v>
      </c>
    </row>
    <row r="181" spans="2:3" hidden="1">
      <c r="B181" s="104">
        <f t="shared" si="0"/>
        <v>2058</v>
      </c>
      <c r="C181" s="135">
        <f>[34]С2.5!$AQ$11</f>
        <v>0</v>
      </c>
    </row>
    <row r="182" spans="2:3" hidden="1">
      <c r="B182" s="104">
        <f t="shared" si="0"/>
        <v>2059</v>
      </c>
      <c r="C182" s="135">
        <f>[34]С2.5!$AR$11</f>
        <v>0</v>
      </c>
    </row>
    <row r="183" spans="2:3" hidden="1">
      <c r="B183" s="104">
        <f t="shared" si="0"/>
        <v>2060</v>
      </c>
      <c r="C183" s="135">
        <f>[34]С2.5!$AS$11</f>
        <v>0</v>
      </c>
    </row>
    <row r="184" spans="2:3" hidden="1">
      <c r="B184" s="104">
        <f t="shared" si="0"/>
        <v>2061</v>
      </c>
      <c r="C184" s="135">
        <f>[34]С2.5!$AT$11</f>
        <v>0</v>
      </c>
    </row>
    <row r="185" spans="2:3" hidden="1">
      <c r="B185" s="104">
        <f t="shared" si="0"/>
        <v>2062</v>
      </c>
      <c r="C185" s="135">
        <f>[34]С2.5!$AU$11</f>
        <v>0</v>
      </c>
    </row>
    <row r="186" spans="2:3" hidden="1">
      <c r="B186" s="104">
        <f t="shared" si="0"/>
        <v>2063</v>
      </c>
      <c r="C186" s="135">
        <f>[34]С2.5!$AV$11</f>
        <v>0</v>
      </c>
    </row>
    <row r="187" spans="2:3" hidden="1">
      <c r="B187" s="104">
        <f t="shared" si="0"/>
        <v>2064</v>
      </c>
      <c r="C187" s="135">
        <f>[34]С2.5!$AW$11</f>
        <v>0</v>
      </c>
    </row>
    <row r="188" spans="2:3" hidden="1">
      <c r="B188" s="104">
        <f t="shared" si="0"/>
        <v>2065</v>
      </c>
      <c r="C188" s="135">
        <f>[34]С2.5!$AX$11</f>
        <v>0</v>
      </c>
    </row>
    <row r="189" spans="2:3" hidden="1">
      <c r="B189" s="104">
        <f t="shared" si="0"/>
        <v>2066</v>
      </c>
      <c r="C189" s="135">
        <f>[34]С2.5!$AY$11</f>
        <v>0</v>
      </c>
    </row>
    <row r="190" spans="2:3" hidden="1">
      <c r="B190" s="104">
        <f t="shared" si="0"/>
        <v>2067</v>
      </c>
      <c r="C190" s="135">
        <f>[34]С2.5!$AZ$11</f>
        <v>0</v>
      </c>
    </row>
    <row r="191" spans="2:3" hidden="1">
      <c r="B191" s="104">
        <f t="shared" si="0"/>
        <v>2068</v>
      </c>
      <c r="C191" s="135">
        <f>[34]С2.5!$BA$11</f>
        <v>0</v>
      </c>
    </row>
    <row r="192" spans="2:3" hidden="1">
      <c r="B192" s="104">
        <f t="shared" si="0"/>
        <v>2069</v>
      </c>
      <c r="C192" s="135">
        <f>[34]С2.5!$BB$11</f>
        <v>0</v>
      </c>
    </row>
    <row r="193" spans="2:3" hidden="1">
      <c r="B193" s="104">
        <f t="shared" si="0"/>
        <v>2070</v>
      </c>
      <c r="C193" s="135">
        <f>[34]С2.5!$BC$11</f>
        <v>0</v>
      </c>
    </row>
    <row r="194" spans="2:3" hidden="1">
      <c r="B194" s="104">
        <f t="shared" si="0"/>
        <v>2071</v>
      </c>
      <c r="C194" s="135">
        <f>[34]С2.5!$BD$11</f>
        <v>0</v>
      </c>
    </row>
    <row r="195" spans="2:3" hidden="1">
      <c r="B195" s="104">
        <f t="shared" si="0"/>
        <v>2072</v>
      </c>
      <c r="C195" s="135">
        <f>[34]С2.5!$BE$11</f>
        <v>0</v>
      </c>
    </row>
    <row r="196" spans="2:3" hidden="1">
      <c r="B196" s="104">
        <f t="shared" si="0"/>
        <v>2073</v>
      </c>
      <c r="C196" s="135">
        <f>[34]С2.5!$BF$11</f>
        <v>0</v>
      </c>
    </row>
    <row r="197" spans="2:3" hidden="1">
      <c r="B197" s="104">
        <f t="shared" si="0"/>
        <v>2074</v>
      </c>
      <c r="C197" s="135">
        <f>[34]С2.5!$BG$11</f>
        <v>0</v>
      </c>
    </row>
    <row r="198" spans="2:3" hidden="1">
      <c r="B198" s="104">
        <f t="shared" si="0"/>
        <v>2075</v>
      </c>
      <c r="C198" s="135">
        <f>[34]С2.5!$BH$11</f>
        <v>0</v>
      </c>
    </row>
    <row r="199" spans="2:3" hidden="1">
      <c r="B199" s="104">
        <f t="shared" si="0"/>
        <v>2076</v>
      </c>
      <c r="C199" s="135">
        <f>[34]С2.5!$BI$11</f>
        <v>0</v>
      </c>
    </row>
    <row r="200" spans="2:3" hidden="1">
      <c r="B200" s="104">
        <f t="shared" si="0"/>
        <v>2077</v>
      </c>
      <c r="C200" s="135">
        <f>[34]С2.5!$BJ$11</f>
        <v>0</v>
      </c>
    </row>
    <row r="201" spans="2:3" hidden="1">
      <c r="B201" s="104">
        <f t="shared" si="0"/>
        <v>2078</v>
      </c>
      <c r="C201" s="135">
        <f>[34]С2.5!$BK$11</f>
        <v>0</v>
      </c>
    </row>
    <row r="202" spans="2:3" hidden="1">
      <c r="B202" s="104">
        <f t="shared" si="0"/>
        <v>2079</v>
      </c>
      <c r="C202" s="135">
        <f>[34]С2.5!$BL$11</f>
        <v>0</v>
      </c>
    </row>
    <row r="203" spans="2:3" hidden="1">
      <c r="B203" s="104">
        <f t="shared" si="0"/>
        <v>2080</v>
      </c>
      <c r="C203" s="135">
        <f>[34]С2.5!$BM$11</f>
        <v>0</v>
      </c>
    </row>
    <row r="204" spans="2:3" hidden="1">
      <c r="B204" s="104">
        <f t="shared" si="0"/>
        <v>2081</v>
      </c>
      <c r="C204" s="135">
        <f>[34]С2.5!$BN$11</f>
        <v>0</v>
      </c>
    </row>
    <row r="205" spans="2:3" hidden="1">
      <c r="B205" s="104">
        <f t="shared" si="0"/>
        <v>2082</v>
      </c>
      <c r="C205" s="135">
        <f>[34]С2.5!$BO$11</f>
        <v>0</v>
      </c>
    </row>
    <row r="206" spans="2:3" hidden="1">
      <c r="B206" s="104">
        <f t="shared" si="0"/>
        <v>2083</v>
      </c>
      <c r="C206" s="135">
        <f>[34]С2.5!$BP$11</f>
        <v>0</v>
      </c>
    </row>
    <row r="207" spans="2:3" hidden="1">
      <c r="B207" s="104">
        <f t="shared" si="0"/>
        <v>2084</v>
      </c>
      <c r="C207" s="135">
        <f>[34]С2.5!$BQ$11</f>
        <v>0</v>
      </c>
    </row>
    <row r="208" spans="2:3" hidden="1">
      <c r="B208" s="104">
        <f t="shared" si="0"/>
        <v>2085</v>
      </c>
      <c r="C208" s="135">
        <f>[34]С2.5!$BR$11</f>
        <v>0</v>
      </c>
    </row>
    <row r="209" spans="2:3" hidden="1">
      <c r="B209" s="104">
        <f t="shared" ref="B209:B223" si="1">B208+1</f>
        <v>2086</v>
      </c>
      <c r="C209" s="135">
        <f>[34]С2.5!$BS$11</f>
        <v>0</v>
      </c>
    </row>
    <row r="210" spans="2:3" hidden="1">
      <c r="B210" s="104">
        <f t="shared" si="1"/>
        <v>2087</v>
      </c>
      <c r="C210" s="135">
        <f>[34]С2.5!$BT$11</f>
        <v>0</v>
      </c>
    </row>
    <row r="211" spans="2:3" hidden="1">
      <c r="B211" s="104">
        <f t="shared" si="1"/>
        <v>2088</v>
      </c>
      <c r="C211" s="135">
        <f>[34]С2.5!$BU$11</f>
        <v>0</v>
      </c>
    </row>
    <row r="212" spans="2:3" hidden="1">
      <c r="B212" s="104">
        <f t="shared" si="1"/>
        <v>2089</v>
      </c>
      <c r="C212" s="135">
        <f>[34]С2.5!$BV$11</f>
        <v>0</v>
      </c>
    </row>
    <row r="213" spans="2:3" hidden="1">
      <c r="B213" s="104">
        <f t="shared" si="1"/>
        <v>2090</v>
      </c>
      <c r="C213" s="135">
        <f>[34]С2.5!$BW$11</f>
        <v>0</v>
      </c>
    </row>
    <row r="214" spans="2:3" hidden="1">
      <c r="B214" s="104">
        <f t="shared" si="1"/>
        <v>2091</v>
      </c>
      <c r="C214" s="135">
        <f>[34]С2.5!$BX$11</f>
        <v>0</v>
      </c>
    </row>
    <row r="215" spans="2:3" hidden="1">
      <c r="B215" s="104">
        <f t="shared" si="1"/>
        <v>2092</v>
      </c>
      <c r="C215" s="135">
        <f>[34]С2.5!$BY$11</f>
        <v>0</v>
      </c>
    </row>
    <row r="216" spans="2:3" hidden="1">
      <c r="B216" s="104">
        <f t="shared" si="1"/>
        <v>2093</v>
      </c>
      <c r="C216" s="135">
        <f>[34]С2.5!$BZ$11</f>
        <v>0</v>
      </c>
    </row>
    <row r="217" spans="2:3" hidden="1">
      <c r="B217" s="104">
        <f t="shared" si="1"/>
        <v>2094</v>
      </c>
      <c r="C217" s="135">
        <f>[34]С2.5!$CA$11</f>
        <v>0</v>
      </c>
    </row>
    <row r="218" spans="2:3" hidden="1">
      <c r="B218" s="104">
        <f t="shared" si="1"/>
        <v>2095</v>
      </c>
      <c r="C218" s="135">
        <f>[34]С2.5!$CB$11</f>
        <v>0</v>
      </c>
    </row>
    <row r="219" spans="2:3" hidden="1">
      <c r="B219" s="104">
        <f t="shared" si="1"/>
        <v>2096</v>
      </c>
      <c r="C219" s="135">
        <f>[34]С2.5!$CC$11</f>
        <v>0</v>
      </c>
    </row>
    <row r="220" spans="2:3" hidden="1">
      <c r="B220" s="104">
        <f t="shared" si="1"/>
        <v>2097</v>
      </c>
      <c r="C220" s="135">
        <f>[34]С2.5!$CD$11</f>
        <v>0</v>
      </c>
    </row>
    <row r="221" spans="2:3" hidden="1">
      <c r="B221" s="104">
        <f t="shared" si="1"/>
        <v>2098</v>
      </c>
      <c r="C221" s="135">
        <f>[34]С2.5!$CE$11</f>
        <v>0</v>
      </c>
    </row>
    <row r="222" spans="2:3" hidden="1">
      <c r="B222" s="104">
        <f t="shared" si="1"/>
        <v>2099</v>
      </c>
      <c r="C222" s="135">
        <f>[34]С2.5!$CF$11</f>
        <v>0</v>
      </c>
    </row>
    <row r="223" spans="2:3" ht="13.5" hidden="1" thickBot="1">
      <c r="B223" s="106">
        <f t="shared" si="1"/>
        <v>2100</v>
      </c>
      <c r="C223" s="136">
        <f>[34]С2.5!$CG$11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1745" r:id="rId3" name="Button 1">
              <controlPr defaultSize="0" print="0" autoFill="0" autoPict="0" macro="[35]!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31746" r:id="rId4" name="Button 2">
              <controlPr defaultSize="0" print="0" autoFill="0" autoPict="0" macro="[3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16</vt:i4>
      </vt:variant>
    </vt:vector>
  </HeadingPairs>
  <TitlesOfParts>
    <vt:vector size="16" baseType="lpstr">
      <vt:lpstr>г. Болотное газ</vt:lpstr>
      <vt:lpstr>г. Болотное уголь</vt:lpstr>
      <vt:lpstr>Ачинский</vt:lpstr>
      <vt:lpstr>Байкальский</vt:lpstr>
      <vt:lpstr>Баратаевский</vt:lpstr>
      <vt:lpstr>Боровской</vt:lpstr>
      <vt:lpstr>Варламовский</vt:lpstr>
      <vt:lpstr>Дивинский</vt:lpstr>
      <vt:lpstr>Егоровский</vt:lpstr>
      <vt:lpstr>Зудовский</vt:lpstr>
      <vt:lpstr>Карасевский</vt:lpstr>
      <vt:lpstr>Корниловский</vt:lpstr>
      <vt:lpstr>Кунчурукский</vt:lpstr>
      <vt:lpstr>Новобибеевский</vt:lpstr>
      <vt:lpstr>Ояшинский</vt:lpstr>
      <vt:lpstr>Светлополянский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Дегтярева</dc:creator>
  <cp:lastModifiedBy>Дегтярева</cp:lastModifiedBy>
  <dcterms:created xsi:type="dcterms:W3CDTF">2023-01-18T03:23:08Z</dcterms:created>
  <dcterms:modified xsi:type="dcterms:W3CDTF">2024-01-26T02:46:52Z</dcterms:modified>
</cp:coreProperties>
</file>