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xl/drawings/drawing13.xml" ContentType="application/vnd.openxmlformats-officedocument.drawing+xml"/>
  <Override PartName="/xl/ctrlProps/ctrlProp13.xml" ContentType="application/vnd.ms-excel.controlproperties+xml"/>
  <Override PartName="/xl/drawings/drawing14.xml" ContentType="application/vnd.openxmlformats-officedocument.drawing+xml"/>
  <Override PartName="/xl/ctrlProps/ctrlProp1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27795" windowHeight="10815" firstSheet="4" activeTab="13"/>
  </bookViews>
  <sheets>
    <sheet name="Блюдчанский" sheetId="31" r:id="rId1"/>
    <sheet name="Землянозаимский" sheetId="32" r:id="rId2"/>
    <sheet name="Красносельский" sheetId="33" r:id="rId3"/>
    <sheet name="Матвеевский" sheetId="34" r:id="rId4"/>
    <sheet name="Новопреображенский" sheetId="35" r:id="rId5"/>
    <sheet name="Озеро-Карачинский" sheetId="36" r:id="rId6"/>
    <sheet name="Отреченский" sheetId="37" r:id="rId7"/>
    <sheet name="Погорельский" sheetId="38" r:id="rId8"/>
    <sheet name="Покровский" sheetId="39" r:id="rId9"/>
    <sheet name="Р.п.Чаны" sheetId="40" r:id="rId10"/>
    <sheet name="Старокарачинский" sheetId="41" r:id="rId11"/>
    <sheet name="Таганский" sheetId="42" r:id="rId12"/>
    <sheet name="Тебисский" sheetId="43" r:id="rId13"/>
    <sheet name="Щегловский" sheetId="44"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44" l="1"/>
  <c r="C222" i="44"/>
  <c r="C221" i="44"/>
  <c r="C220" i="44"/>
  <c r="C219" i="44"/>
  <c r="C218" i="44"/>
  <c r="C217" i="44"/>
  <c r="C216" i="44"/>
  <c r="C215" i="44"/>
  <c r="C214" i="44"/>
  <c r="C213" i="44"/>
  <c r="C212" i="44"/>
  <c r="C211" i="44"/>
  <c r="C210" i="44"/>
  <c r="C209" i="44"/>
  <c r="C208" i="44"/>
  <c r="C207" i="44"/>
  <c r="C206" i="44"/>
  <c r="C205" i="44"/>
  <c r="C204" i="44"/>
  <c r="C203" i="44"/>
  <c r="C202" i="44"/>
  <c r="C201" i="44"/>
  <c r="C200" i="44"/>
  <c r="C199" i="44"/>
  <c r="C198" i="44"/>
  <c r="C197" i="44"/>
  <c r="C196" i="44"/>
  <c r="C195" i="44"/>
  <c r="C194" i="44"/>
  <c r="C193" i="44"/>
  <c r="C192" i="44"/>
  <c r="C191" i="44"/>
  <c r="C190" i="44"/>
  <c r="C189" i="44"/>
  <c r="C188" i="44"/>
  <c r="C187" i="44"/>
  <c r="C186" i="44"/>
  <c r="C185" i="44"/>
  <c r="C184" i="44"/>
  <c r="C183" i="44"/>
  <c r="C182" i="44"/>
  <c r="C181" i="44"/>
  <c r="C180" i="44"/>
  <c r="C179" i="44"/>
  <c r="C178" i="44"/>
  <c r="C177" i="44"/>
  <c r="C176" i="44"/>
  <c r="C175" i="44"/>
  <c r="C174" i="44"/>
  <c r="C173" i="44"/>
  <c r="C172" i="44"/>
  <c r="C171" i="44"/>
  <c r="C170" i="44"/>
  <c r="C169" i="44"/>
  <c r="C168" i="44"/>
  <c r="C167" i="44"/>
  <c r="C166" i="44"/>
  <c r="C165" i="44"/>
  <c r="C164" i="44"/>
  <c r="C163" i="44"/>
  <c r="C162" i="44"/>
  <c r="C161" i="44"/>
  <c r="C160" i="44"/>
  <c r="C159" i="44"/>
  <c r="C158" i="44"/>
  <c r="C157" i="44"/>
  <c r="C156" i="44"/>
  <c r="C155" i="44"/>
  <c r="C154" i="44"/>
  <c r="C153" i="44"/>
  <c r="C152" i="44"/>
  <c r="C151" i="44"/>
  <c r="C150" i="44"/>
  <c r="C149" i="44"/>
  <c r="C148" i="44"/>
  <c r="C147" i="44"/>
  <c r="C146" i="44"/>
  <c r="C145" i="44"/>
  <c r="C144" i="44"/>
  <c r="B144" i="44"/>
  <c r="B145" i="44" s="1"/>
  <c r="B146" i="44" s="1"/>
  <c r="B147" i="44" s="1"/>
  <c r="B148" i="44" s="1"/>
  <c r="B149" i="44" s="1"/>
  <c r="B150" i="44" s="1"/>
  <c r="B151" i="44" s="1"/>
  <c r="B152" i="44" s="1"/>
  <c r="B153" i="44" s="1"/>
  <c r="B154" i="44" s="1"/>
  <c r="B155" i="44" s="1"/>
  <c r="B156" i="44" s="1"/>
  <c r="B157" i="44" s="1"/>
  <c r="B158" i="44" s="1"/>
  <c r="B159" i="44" s="1"/>
  <c r="B160" i="44" s="1"/>
  <c r="B161" i="44" s="1"/>
  <c r="B162" i="44" s="1"/>
  <c r="B163" i="44" s="1"/>
  <c r="B164" i="44" s="1"/>
  <c r="B165" i="44" s="1"/>
  <c r="B166" i="44" s="1"/>
  <c r="B167" i="44" s="1"/>
  <c r="B168" i="44" s="1"/>
  <c r="B169" i="44" s="1"/>
  <c r="B170" i="44" s="1"/>
  <c r="B171" i="44" s="1"/>
  <c r="B172" i="44" s="1"/>
  <c r="B173" i="44" s="1"/>
  <c r="B174" i="44" s="1"/>
  <c r="B175" i="44" s="1"/>
  <c r="B176" i="44" s="1"/>
  <c r="B177" i="44" s="1"/>
  <c r="B178" i="44" s="1"/>
  <c r="B179" i="44" s="1"/>
  <c r="B180" i="44" s="1"/>
  <c r="B181" i="44" s="1"/>
  <c r="B182" i="44" s="1"/>
  <c r="B183" i="44" s="1"/>
  <c r="B184" i="44" s="1"/>
  <c r="B185" i="44" s="1"/>
  <c r="B186" i="44" s="1"/>
  <c r="B187" i="44" s="1"/>
  <c r="B188" i="44" s="1"/>
  <c r="B189" i="44" s="1"/>
  <c r="B190" i="44" s="1"/>
  <c r="B191" i="44" s="1"/>
  <c r="B192" i="44" s="1"/>
  <c r="B193" i="44" s="1"/>
  <c r="B194" i="44" s="1"/>
  <c r="B195" i="44" s="1"/>
  <c r="B196" i="44" s="1"/>
  <c r="B197" i="44" s="1"/>
  <c r="B198" i="44" s="1"/>
  <c r="B199" i="44" s="1"/>
  <c r="B200" i="44" s="1"/>
  <c r="B201" i="44" s="1"/>
  <c r="B202" i="44" s="1"/>
  <c r="B203" i="44" s="1"/>
  <c r="B204" i="44" s="1"/>
  <c r="B205" i="44" s="1"/>
  <c r="B206" i="44" s="1"/>
  <c r="B207" i="44" s="1"/>
  <c r="B208" i="44" s="1"/>
  <c r="B209" i="44" s="1"/>
  <c r="B210" i="44" s="1"/>
  <c r="B211" i="44" s="1"/>
  <c r="B212" i="44" s="1"/>
  <c r="B213" i="44" s="1"/>
  <c r="B214" i="44" s="1"/>
  <c r="B215" i="44" s="1"/>
  <c r="B216" i="44" s="1"/>
  <c r="B217" i="44" s="1"/>
  <c r="B218" i="44" s="1"/>
  <c r="B219" i="44" s="1"/>
  <c r="B220" i="44" s="1"/>
  <c r="B221" i="44" s="1"/>
  <c r="B222" i="44" s="1"/>
  <c r="B223" i="44" s="1"/>
  <c r="C143" i="44"/>
  <c r="C140" i="44"/>
  <c r="C138" i="44"/>
  <c r="C137" i="44"/>
  <c r="C136" i="44"/>
  <c r="C135" i="44"/>
  <c r="C125" i="44"/>
  <c r="C122" i="44"/>
  <c r="C121" i="44"/>
  <c r="C120" i="44"/>
  <c r="C119" i="44"/>
  <c r="C118" i="44"/>
  <c r="C117" i="44"/>
  <c r="C116" i="44"/>
  <c r="C115" i="44"/>
  <c r="C114" i="44"/>
  <c r="C113" i="44"/>
  <c r="C112" i="44"/>
  <c r="C111" i="44"/>
  <c r="C110" i="44"/>
  <c r="C109" i="44"/>
  <c r="C108" i="44"/>
  <c r="C107" i="44"/>
  <c r="C106" i="44"/>
  <c r="C105" i="44"/>
  <c r="C104" i="44"/>
  <c r="C103" i="44"/>
  <c r="C102" i="44"/>
  <c r="C101" i="44"/>
  <c r="C100" i="44"/>
  <c r="C99" i="44"/>
  <c r="C98" i="44"/>
  <c r="C97" i="44"/>
  <c r="C96" i="44"/>
  <c r="C93" i="44"/>
  <c r="C92" i="44"/>
  <c r="C91" i="44"/>
  <c r="C90" i="44"/>
  <c r="C89" i="44"/>
  <c r="C88" i="44"/>
  <c r="C87" i="44"/>
  <c r="C86" i="44"/>
  <c r="C85" i="44"/>
  <c r="C82" i="44"/>
  <c r="C81" i="44"/>
  <c r="C80" i="44"/>
  <c r="C79" i="44"/>
  <c r="C78" i="44"/>
  <c r="C77" i="44"/>
  <c r="C76" i="44"/>
  <c r="C75" i="44"/>
  <c r="C74" i="44"/>
  <c r="C73" i="44"/>
  <c r="C72" i="44"/>
  <c r="C71" i="44"/>
  <c r="C70" i="44"/>
  <c r="C69" i="44"/>
  <c r="C68" i="44"/>
  <c r="C67" i="44"/>
  <c r="C66" i="44"/>
  <c r="C65" i="44"/>
  <c r="C64" i="44"/>
  <c r="C63" i="44"/>
  <c r="C62" i="44"/>
  <c r="C61" i="44"/>
  <c r="C60" i="44"/>
  <c r="C59" i="44"/>
  <c r="C58" i="44"/>
  <c r="C57" i="44"/>
  <c r="C56" i="44"/>
  <c r="C55" i="44"/>
  <c r="C54" i="44"/>
  <c r="C53" i="44"/>
  <c r="C52" i="44"/>
  <c r="C51" i="44"/>
  <c r="C50" i="44"/>
  <c r="C49" i="44"/>
  <c r="C48" i="44"/>
  <c r="C47" i="44"/>
  <c r="C46" i="44"/>
  <c r="C45" i="44"/>
  <c r="C44" i="44"/>
  <c r="C43" i="44"/>
  <c r="C42" i="44"/>
  <c r="C41" i="44"/>
  <c r="C38" i="44"/>
  <c r="C37" i="44"/>
  <c r="C36" i="44"/>
  <c r="C35" i="44"/>
  <c r="C34" i="44"/>
  <c r="C33" i="44"/>
  <c r="C32" i="44"/>
  <c r="C31" i="44"/>
  <c r="C30" i="44"/>
  <c r="C29" i="44"/>
  <c r="C28" i="44"/>
  <c r="C23" i="44"/>
  <c r="C22" i="44"/>
  <c r="C21" i="44"/>
  <c r="C20" i="44"/>
  <c r="C19" i="44"/>
  <c r="C18" i="44"/>
  <c r="C13" i="44"/>
  <c r="B13" i="44"/>
  <c r="C12" i="44"/>
  <c r="B12" i="44"/>
  <c r="C11" i="44"/>
  <c r="B11" i="44"/>
  <c r="C10" i="44"/>
  <c r="B10" i="44"/>
  <c r="C9" i="44"/>
  <c r="B9" i="44"/>
  <c r="C8" i="44"/>
  <c r="B8" i="44"/>
  <c r="C7" i="44"/>
  <c r="B7" i="44"/>
  <c r="C6" i="44"/>
  <c r="B6" i="44"/>
  <c r="C5" i="44"/>
  <c r="B5" i="44"/>
  <c r="C4" i="44"/>
  <c r="B4" i="44"/>
  <c r="C2" i="44"/>
  <c r="C17" i="44" l="1"/>
  <c r="C223" i="43" l="1"/>
  <c r="C222" i="43"/>
  <c r="C221" i="43"/>
  <c r="C220" i="43"/>
  <c r="C219" i="43"/>
  <c r="C218" i="43"/>
  <c r="C217" i="43"/>
  <c r="C216" i="43"/>
  <c r="C215" i="43"/>
  <c r="C214" i="43"/>
  <c r="C213" i="43"/>
  <c r="C212" i="43"/>
  <c r="C211" i="43"/>
  <c r="C210" i="43"/>
  <c r="C209" i="43"/>
  <c r="C208" i="43"/>
  <c r="C207" i="43"/>
  <c r="C206" i="43"/>
  <c r="C205" i="43"/>
  <c r="C204" i="43"/>
  <c r="C203" i="43"/>
  <c r="C202" i="43"/>
  <c r="C201" i="43"/>
  <c r="C200" i="43"/>
  <c r="C199" i="43"/>
  <c r="C198" i="43"/>
  <c r="C197" i="43"/>
  <c r="C196" i="43"/>
  <c r="C195" i="43"/>
  <c r="C194" i="43"/>
  <c r="C193" i="43"/>
  <c r="C192" i="43"/>
  <c r="C191" i="43"/>
  <c r="C190" i="43"/>
  <c r="C189" i="43"/>
  <c r="C188" i="43"/>
  <c r="C187" i="43"/>
  <c r="C186" i="43"/>
  <c r="C185" i="43"/>
  <c r="C184" i="43"/>
  <c r="C183" i="43"/>
  <c r="C182" i="43"/>
  <c r="C181" i="43"/>
  <c r="C180" i="43"/>
  <c r="C179" i="43"/>
  <c r="C178" i="43"/>
  <c r="C177" i="43"/>
  <c r="C176" i="43"/>
  <c r="C175" i="43"/>
  <c r="C174" i="43"/>
  <c r="C173" i="43"/>
  <c r="C172" i="43"/>
  <c r="C171" i="43"/>
  <c r="C170" i="43"/>
  <c r="C169" i="43"/>
  <c r="C168" i="43"/>
  <c r="C167" i="43"/>
  <c r="C166" i="43"/>
  <c r="C165" i="43"/>
  <c r="C164" i="43"/>
  <c r="C163" i="43"/>
  <c r="C162" i="43"/>
  <c r="C161" i="43"/>
  <c r="C160" i="43"/>
  <c r="C159" i="43"/>
  <c r="C158" i="43"/>
  <c r="C157" i="43"/>
  <c r="C156" i="43"/>
  <c r="C155" i="43"/>
  <c r="C154" i="43"/>
  <c r="C153" i="43"/>
  <c r="C152" i="43"/>
  <c r="C151" i="43"/>
  <c r="C150" i="43"/>
  <c r="C149" i="43"/>
  <c r="C148" i="43"/>
  <c r="C147" i="43"/>
  <c r="C146" i="43"/>
  <c r="C145" i="43"/>
  <c r="C144" i="43"/>
  <c r="B144" i="43"/>
  <c r="B145" i="43" s="1"/>
  <c r="B146" i="43" s="1"/>
  <c r="B147" i="43" s="1"/>
  <c r="B148" i="43" s="1"/>
  <c r="B149" i="43" s="1"/>
  <c r="B150" i="43" s="1"/>
  <c r="B151" i="43" s="1"/>
  <c r="B152" i="43" s="1"/>
  <c r="B153" i="43" s="1"/>
  <c r="B154" i="43" s="1"/>
  <c r="B155" i="43" s="1"/>
  <c r="B156" i="43" s="1"/>
  <c r="B157" i="43" s="1"/>
  <c r="B158" i="43" s="1"/>
  <c r="B159" i="43" s="1"/>
  <c r="B160" i="43" s="1"/>
  <c r="B161" i="43" s="1"/>
  <c r="B162" i="43" s="1"/>
  <c r="B163" i="43" s="1"/>
  <c r="B164" i="43" s="1"/>
  <c r="B165" i="43" s="1"/>
  <c r="B166" i="43" s="1"/>
  <c r="B167" i="43" s="1"/>
  <c r="B168" i="43" s="1"/>
  <c r="B169" i="43" s="1"/>
  <c r="B170" i="43" s="1"/>
  <c r="B171" i="43" s="1"/>
  <c r="B172" i="43" s="1"/>
  <c r="B173" i="43" s="1"/>
  <c r="B174" i="43" s="1"/>
  <c r="B175" i="43" s="1"/>
  <c r="B176" i="43" s="1"/>
  <c r="B177" i="43" s="1"/>
  <c r="B178" i="43" s="1"/>
  <c r="B179" i="43" s="1"/>
  <c r="B180" i="43" s="1"/>
  <c r="B181" i="43" s="1"/>
  <c r="B182" i="43" s="1"/>
  <c r="B183" i="43" s="1"/>
  <c r="B184" i="43" s="1"/>
  <c r="B185" i="43" s="1"/>
  <c r="B186" i="43" s="1"/>
  <c r="B187" i="43" s="1"/>
  <c r="B188" i="43" s="1"/>
  <c r="B189" i="43" s="1"/>
  <c r="B190" i="43" s="1"/>
  <c r="B191" i="43" s="1"/>
  <c r="B192" i="43" s="1"/>
  <c r="B193" i="43" s="1"/>
  <c r="B194" i="43" s="1"/>
  <c r="B195" i="43" s="1"/>
  <c r="B196" i="43" s="1"/>
  <c r="B197" i="43" s="1"/>
  <c r="B198" i="43" s="1"/>
  <c r="B199" i="43" s="1"/>
  <c r="B200" i="43" s="1"/>
  <c r="B201" i="43" s="1"/>
  <c r="B202" i="43" s="1"/>
  <c r="B203" i="43" s="1"/>
  <c r="B204" i="43" s="1"/>
  <c r="B205" i="43" s="1"/>
  <c r="B206" i="43" s="1"/>
  <c r="B207" i="43" s="1"/>
  <c r="B208" i="43" s="1"/>
  <c r="B209" i="43" s="1"/>
  <c r="B210" i="43" s="1"/>
  <c r="B211" i="43" s="1"/>
  <c r="B212" i="43" s="1"/>
  <c r="B213" i="43" s="1"/>
  <c r="B214" i="43" s="1"/>
  <c r="B215" i="43" s="1"/>
  <c r="B216" i="43" s="1"/>
  <c r="B217" i="43" s="1"/>
  <c r="B218" i="43" s="1"/>
  <c r="B219" i="43" s="1"/>
  <c r="B220" i="43" s="1"/>
  <c r="B221" i="43" s="1"/>
  <c r="B222" i="43" s="1"/>
  <c r="B223" i="43" s="1"/>
  <c r="C143" i="43"/>
  <c r="C140" i="43"/>
  <c r="C138" i="43"/>
  <c r="C137" i="43"/>
  <c r="C136" i="43"/>
  <c r="C135" i="43"/>
  <c r="C125" i="43"/>
  <c r="C122" i="43"/>
  <c r="C121" i="43"/>
  <c r="C120" i="43"/>
  <c r="C119" i="43"/>
  <c r="C118" i="43"/>
  <c r="C117" i="43"/>
  <c r="C116" i="43"/>
  <c r="C115" i="43"/>
  <c r="C114" i="43"/>
  <c r="C113" i="43"/>
  <c r="C112" i="43"/>
  <c r="C111" i="43"/>
  <c r="C110" i="43"/>
  <c r="C109" i="43"/>
  <c r="C108" i="43"/>
  <c r="C107" i="43"/>
  <c r="C106" i="43"/>
  <c r="C105" i="43"/>
  <c r="C104" i="43"/>
  <c r="C103" i="43"/>
  <c r="C102" i="43"/>
  <c r="C101" i="43"/>
  <c r="C100" i="43"/>
  <c r="C99" i="43"/>
  <c r="C98" i="43"/>
  <c r="C97" i="43"/>
  <c r="C96" i="43"/>
  <c r="C93" i="43"/>
  <c r="C92" i="43"/>
  <c r="C91" i="43"/>
  <c r="C90" i="43"/>
  <c r="C89" i="43"/>
  <c r="C88" i="43"/>
  <c r="C87" i="43"/>
  <c r="C86" i="43"/>
  <c r="C85" i="43"/>
  <c r="C82" i="43"/>
  <c r="C81" i="43"/>
  <c r="C80" i="43"/>
  <c r="C79" i="43"/>
  <c r="C78" i="43"/>
  <c r="C77" i="43"/>
  <c r="C76" i="43"/>
  <c r="C75" i="43"/>
  <c r="C74" i="43"/>
  <c r="C73" i="43"/>
  <c r="C72" i="43"/>
  <c r="C71" i="43"/>
  <c r="C70" i="43"/>
  <c r="C69" i="43"/>
  <c r="C68" i="43"/>
  <c r="C67" i="43"/>
  <c r="C66" i="43"/>
  <c r="C65" i="43"/>
  <c r="C64" i="43"/>
  <c r="C63" i="43"/>
  <c r="C62" i="43"/>
  <c r="C61" i="43"/>
  <c r="C60" i="43"/>
  <c r="C59" i="43"/>
  <c r="C58" i="43"/>
  <c r="C57" i="43"/>
  <c r="C56" i="43"/>
  <c r="C55" i="43"/>
  <c r="C54" i="43"/>
  <c r="C53" i="43"/>
  <c r="C52" i="43"/>
  <c r="C51" i="43"/>
  <c r="C50" i="43"/>
  <c r="C49" i="43"/>
  <c r="C48" i="43"/>
  <c r="C47" i="43"/>
  <c r="C46" i="43"/>
  <c r="C45" i="43"/>
  <c r="C44" i="43"/>
  <c r="C43" i="43"/>
  <c r="C42" i="43"/>
  <c r="C41" i="43"/>
  <c r="C38" i="43"/>
  <c r="C37" i="43"/>
  <c r="C36" i="43"/>
  <c r="C35" i="43"/>
  <c r="C34" i="43"/>
  <c r="C33" i="43"/>
  <c r="C32" i="43"/>
  <c r="C31" i="43"/>
  <c r="C30" i="43"/>
  <c r="C29" i="43"/>
  <c r="C28" i="43"/>
  <c r="C23" i="43"/>
  <c r="C22" i="43"/>
  <c r="C21" i="43"/>
  <c r="C20" i="43"/>
  <c r="C19" i="43"/>
  <c r="C18" i="43"/>
  <c r="C13" i="43"/>
  <c r="B13" i="43"/>
  <c r="C12" i="43"/>
  <c r="B12" i="43"/>
  <c r="C11" i="43"/>
  <c r="B11" i="43"/>
  <c r="C10" i="43"/>
  <c r="B10" i="43"/>
  <c r="C9" i="43"/>
  <c r="B9" i="43"/>
  <c r="C8" i="43"/>
  <c r="B8" i="43"/>
  <c r="C7" i="43"/>
  <c r="B7" i="43"/>
  <c r="C6" i="43"/>
  <c r="B6" i="43"/>
  <c r="C5" i="43"/>
  <c r="B5" i="43"/>
  <c r="C4" i="43"/>
  <c r="B4" i="43"/>
  <c r="C2" i="43"/>
  <c r="C17" i="43" l="1"/>
  <c r="C223" i="42" l="1"/>
  <c r="C222" i="42"/>
  <c r="C221" i="42"/>
  <c r="C220" i="42"/>
  <c r="C219" i="42"/>
  <c r="C218" i="42"/>
  <c r="C217" i="42"/>
  <c r="C216" i="42"/>
  <c r="C215" i="42"/>
  <c r="C214" i="42"/>
  <c r="C213" i="42"/>
  <c r="C212" i="42"/>
  <c r="C211" i="42"/>
  <c r="C210" i="42"/>
  <c r="C209" i="42"/>
  <c r="C208" i="42"/>
  <c r="C207" i="42"/>
  <c r="C206" i="42"/>
  <c r="C205" i="42"/>
  <c r="C204" i="42"/>
  <c r="C203" i="42"/>
  <c r="C202" i="42"/>
  <c r="C201" i="42"/>
  <c r="C200" i="42"/>
  <c r="C199" i="42"/>
  <c r="C198" i="42"/>
  <c r="C197" i="42"/>
  <c r="C196" i="42"/>
  <c r="C195" i="42"/>
  <c r="C194" i="42"/>
  <c r="C193" i="42"/>
  <c r="C192" i="42"/>
  <c r="C191" i="42"/>
  <c r="C190" i="42"/>
  <c r="C189" i="42"/>
  <c r="C188" i="42"/>
  <c r="C187" i="42"/>
  <c r="C186" i="42"/>
  <c r="C185" i="42"/>
  <c r="C184" i="42"/>
  <c r="C183" i="42"/>
  <c r="C182" i="42"/>
  <c r="C181" i="42"/>
  <c r="C180" i="42"/>
  <c r="C179" i="42"/>
  <c r="C178" i="42"/>
  <c r="C177" i="42"/>
  <c r="C176" i="42"/>
  <c r="C175" i="42"/>
  <c r="C174" i="42"/>
  <c r="C173" i="42"/>
  <c r="C172" i="42"/>
  <c r="C171" i="42"/>
  <c r="C170" i="42"/>
  <c r="C169" i="42"/>
  <c r="C168" i="42"/>
  <c r="C167" i="42"/>
  <c r="C166" i="42"/>
  <c r="C165" i="42"/>
  <c r="C164" i="42"/>
  <c r="C163" i="42"/>
  <c r="C162" i="42"/>
  <c r="C161" i="42"/>
  <c r="C160" i="42"/>
  <c r="C159" i="42"/>
  <c r="C158" i="42"/>
  <c r="C157" i="42"/>
  <c r="C156" i="42"/>
  <c r="C155" i="42"/>
  <c r="C154" i="42"/>
  <c r="C153" i="42"/>
  <c r="C152" i="42"/>
  <c r="C151" i="42"/>
  <c r="C150" i="42"/>
  <c r="C149" i="42"/>
  <c r="C148" i="42"/>
  <c r="C147" i="42"/>
  <c r="C146" i="42"/>
  <c r="C145" i="42"/>
  <c r="C144" i="42"/>
  <c r="B144" i="42"/>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C143" i="42"/>
  <c r="C140" i="42"/>
  <c r="C138" i="42"/>
  <c r="C137" i="42"/>
  <c r="C136" i="42"/>
  <c r="C135" i="42"/>
  <c r="C125" i="42"/>
  <c r="C122" i="42"/>
  <c r="C121" i="42"/>
  <c r="C120" i="42"/>
  <c r="C119" i="42"/>
  <c r="C118" i="42"/>
  <c r="C117" i="42"/>
  <c r="C116" i="42"/>
  <c r="C115" i="42"/>
  <c r="C114" i="42"/>
  <c r="C113" i="42"/>
  <c r="C112" i="42"/>
  <c r="C111" i="42"/>
  <c r="C110" i="42"/>
  <c r="C109" i="42"/>
  <c r="C108" i="42"/>
  <c r="C107" i="42"/>
  <c r="C106" i="42"/>
  <c r="C105" i="42"/>
  <c r="C104" i="42"/>
  <c r="C103" i="42"/>
  <c r="C102" i="42"/>
  <c r="C101" i="42"/>
  <c r="C100" i="42"/>
  <c r="C99" i="42"/>
  <c r="C98" i="42"/>
  <c r="C97" i="42"/>
  <c r="C96" i="42"/>
  <c r="C93" i="42"/>
  <c r="C92" i="42"/>
  <c r="C91" i="42"/>
  <c r="C90" i="42"/>
  <c r="C89" i="42"/>
  <c r="C88" i="42"/>
  <c r="C87" i="42"/>
  <c r="C86" i="42"/>
  <c r="C85" i="42"/>
  <c r="C82" i="42"/>
  <c r="C81" i="42"/>
  <c r="C80" i="42"/>
  <c r="C79" i="42"/>
  <c r="C78" i="42"/>
  <c r="C77" i="42"/>
  <c r="C76" i="42"/>
  <c r="C75" i="42"/>
  <c r="C74" i="42"/>
  <c r="C73" i="42"/>
  <c r="C72" i="42"/>
  <c r="C71" i="42"/>
  <c r="C70" i="42"/>
  <c r="C69" i="42"/>
  <c r="C68" i="42"/>
  <c r="C67" i="42"/>
  <c r="C66" i="42"/>
  <c r="C65" i="42"/>
  <c r="C64" i="42"/>
  <c r="C63" i="42"/>
  <c r="C62" i="42"/>
  <c r="C61" i="42"/>
  <c r="C60" i="42"/>
  <c r="C59" i="42"/>
  <c r="C58" i="42"/>
  <c r="C57" i="42"/>
  <c r="C56" i="42"/>
  <c r="C55" i="42"/>
  <c r="C54" i="42"/>
  <c r="C53" i="42"/>
  <c r="C52" i="42"/>
  <c r="C51" i="42"/>
  <c r="C50" i="42"/>
  <c r="C49" i="42"/>
  <c r="C48" i="42"/>
  <c r="C47" i="42"/>
  <c r="C46" i="42"/>
  <c r="C45" i="42"/>
  <c r="C44" i="42"/>
  <c r="C43" i="42"/>
  <c r="C42" i="42"/>
  <c r="C41" i="42"/>
  <c r="C38" i="42"/>
  <c r="C37" i="42"/>
  <c r="C36" i="42"/>
  <c r="C35" i="42"/>
  <c r="C34" i="42"/>
  <c r="C33" i="42"/>
  <c r="C32" i="42"/>
  <c r="C31" i="42"/>
  <c r="C30" i="42"/>
  <c r="C29" i="42"/>
  <c r="C28" i="42"/>
  <c r="C23" i="42"/>
  <c r="C22" i="42"/>
  <c r="C21" i="42"/>
  <c r="C20" i="42"/>
  <c r="C19" i="42"/>
  <c r="C18" i="42"/>
  <c r="C13" i="42"/>
  <c r="B13" i="42"/>
  <c r="C12" i="42"/>
  <c r="B12" i="42"/>
  <c r="C11" i="42"/>
  <c r="B11" i="42"/>
  <c r="C10" i="42"/>
  <c r="B10" i="42"/>
  <c r="C9" i="42"/>
  <c r="B9" i="42"/>
  <c r="C8" i="42"/>
  <c r="B8" i="42"/>
  <c r="C7" i="42"/>
  <c r="B7" i="42"/>
  <c r="C6" i="42"/>
  <c r="B6" i="42"/>
  <c r="C5" i="42"/>
  <c r="B5" i="42"/>
  <c r="C4" i="42"/>
  <c r="B4" i="42"/>
  <c r="C2" i="42"/>
  <c r="C17" i="42" l="1"/>
  <c r="C223" i="41" l="1"/>
  <c r="C222" i="41"/>
  <c r="C221" i="41"/>
  <c r="C220" i="41"/>
  <c r="C219" i="41"/>
  <c r="C218" i="41"/>
  <c r="C217" i="41"/>
  <c r="C216" i="41"/>
  <c r="C215" i="41"/>
  <c r="C214" i="41"/>
  <c r="C213" i="41"/>
  <c r="C212" i="41"/>
  <c r="C211" i="41"/>
  <c r="C210" i="41"/>
  <c r="C209" i="41"/>
  <c r="C208" i="41"/>
  <c r="C207" i="41"/>
  <c r="C206" i="41"/>
  <c r="C205" i="41"/>
  <c r="C204" i="41"/>
  <c r="C203" i="41"/>
  <c r="C202" i="41"/>
  <c r="C201" i="41"/>
  <c r="C200" i="41"/>
  <c r="C199" i="41"/>
  <c r="C198" i="41"/>
  <c r="C197" i="41"/>
  <c r="C196" i="41"/>
  <c r="C195" i="41"/>
  <c r="C194" i="41"/>
  <c r="C193" i="41"/>
  <c r="C192" i="41"/>
  <c r="C191" i="41"/>
  <c r="C190" i="41"/>
  <c r="C189" i="41"/>
  <c r="C188" i="41"/>
  <c r="C187" i="41"/>
  <c r="C186" i="41"/>
  <c r="C185" i="41"/>
  <c r="C184" i="41"/>
  <c r="C183" i="41"/>
  <c r="C182" i="41"/>
  <c r="C181" i="41"/>
  <c r="C180" i="41"/>
  <c r="C179" i="41"/>
  <c r="C178" i="41"/>
  <c r="C177" i="41"/>
  <c r="C176" i="41"/>
  <c r="C175" i="41"/>
  <c r="C174" i="41"/>
  <c r="C173" i="41"/>
  <c r="C172" i="41"/>
  <c r="C171" i="41"/>
  <c r="C170" i="41"/>
  <c r="C169" i="41"/>
  <c r="C168" i="41"/>
  <c r="C167" i="41"/>
  <c r="C166" i="41"/>
  <c r="C165" i="41"/>
  <c r="C164" i="41"/>
  <c r="C163" i="41"/>
  <c r="C162" i="41"/>
  <c r="C161" i="41"/>
  <c r="C160" i="41"/>
  <c r="C159" i="41"/>
  <c r="C158" i="41"/>
  <c r="C157" i="41"/>
  <c r="C156" i="41"/>
  <c r="C155" i="41"/>
  <c r="C154" i="41"/>
  <c r="C153" i="41"/>
  <c r="C152" i="41"/>
  <c r="C151" i="41"/>
  <c r="C150" i="41"/>
  <c r="C149" i="41"/>
  <c r="C148" i="41"/>
  <c r="C147" i="41"/>
  <c r="C146" i="41"/>
  <c r="C145" i="41"/>
  <c r="C144" i="41"/>
  <c r="B144" i="41"/>
  <c r="B145" i="41" s="1"/>
  <c r="B146" i="41" s="1"/>
  <c r="B147" i="41" s="1"/>
  <c r="B148" i="41" s="1"/>
  <c r="B149" i="41" s="1"/>
  <c r="B150" i="41" s="1"/>
  <c r="B151" i="41" s="1"/>
  <c r="B152" i="41" s="1"/>
  <c r="B153" i="41" s="1"/>
  <c r="B154" i="41" s="1"/>
  <c r="B155" i="41" s="1"/>
  <c r="B156" i="41" s="1"/>
  <c r="B157" i="41" s="1"/>
  <c r="B158" i="41" s="1"/>
  <c r="B159" i="41" s="1"/>
  <c r="B160" i="41" s="1"/>
  <c r="B161" i="41" s="1"/>
  <c r="B162" i="41" s="1"/>
  <c r="B163" i="41" s="1"/>
  <c r="B164" i="41" s="1"/>
  <c r="B165" i="41" s="1"/>
  <c r="B166" i="41" s="1"/>
  <c r="B167" i="41" s="1"/>
  <c r="B168" i="41" s="1"/>
  <c r="B169" i="41" s="1"/>
  <c r="B170" i="41" s="1"/>
  <c r="B171" i="41" s="1"/>
  <c r="B172" i="41" s="1"/>
  <c r="B173" i="41" s="1"/>
  <c r="B174" i="41" s="1"/>
  <c r="B175" i="41" s="1"/>
  <c r="B176" i="41" s="1"/>
  <c r="B177" i="41" s="1"/>
  <c r="B178" i="41" s="1"/>
  <c r="B179" i="41" s="1"/>
  <c r="B180" i="41" s="1"/>
  <c r="B181" i="41" s="1"/>
  <c r="B182" i="41" s="1"/>
  <c r="B183" i="41" s="1"/>
  <c r="B184" i="41" s="1"/>
  <c r="B185" i="41" s="1"/>
  <c r="B186" i="41" s="1"/>
  <c r="B187" i="41" s="1"/>
  <c r="B188" i="41" s="1"/>
  <c r="B189" i="41" s="1"/>
  <c r="B190" i="41" s="1"/>
  <c r="B191" i="41" s="1"/>
  <c r="B192" i="41" s="1"/>
  <c r="B193" i="41" s="1"/>
  <c r="B194" i="41" s="1"/>
  <c r="B195" i="41" s="1"/>
  <c r="B196" i="41" s="1"/>
  <c r="B197" i="41" s="1"/>
  <c r="B198" i="41" s="1"/>
  <c r="B199" i="41" s="1"/>
  <c r="B200" i="41" s="1"/>
  <c r="B201" i="41" s="1"/>
  <c r="B202" i="41" s="1"/>
  <c r="B203" i="41" s="1"/>
  <c r="B204" i="41" s="1"/>
  <c r="B205" i="41" s="1"/>
  <c r="B206" i="41" s="1"/>
  <c r="B207" i="41" s="1"/>
  <c r="B208" i="41" s="1"/>
  <c r="B209" i="41" s="1"/>
  <c r="B210" i="41" s="1"/>
  <c r="B211" i="41" s="1"/>
  <c r="B212" i="41" s="1"/>
  <c r="B213" i="41" s="1"/>
  <c r="B214" i="41" s="1"/>
  <c r="B215" i="41" s="1"/>
  <c r="B216" i="41" s="1"/>
  <c r="B217" i="41" s="1"/>
  <c r="B218" i="41" s="1"/>
  <c r="B219" i="41" s="1"/>
  <c r="B220" i="41" s="1"/>
  <c r="B221" i="41" s="1"/>
  <c r="B222" i="41" s="1"/>
  <c r="B223" i="41" s="1"/>
  <c r="C143" i="41"/>
  <c r="C140" i="41"/>
  <c r="C138" i="41"/>
  <c r="C137" i="41"/>
  <c r="C136" i="41"/>
  <c r="C135" i="41"/>
  <c r="C125" i="41"/>
  <c r="C122" i="41"/>
  <c r="C121" i="41"/>
  <c r="C120" i="41"/>
  <c r="C119" i="41"/>
  <c r="C118" i="41"/>
  <c r="C117" i="41"/>
  <c r="C116" i="41"/>
  <c r="C115" i="41"/>
  <c r="C114" i="41"/>
  <c r="C113" i="41"/>
  <c r="C112" i="41"/>
  <c r="C111" i="41"/>
  <c r="C110" i="41"/>
  <c r="C109" i="41"/>
  <c r="C108" i="41"/>
  <c r="C107" i="41"/>
  <c r="C106" i="41"/>
  <c r="C105" i="41"/>
  <c r="C104" i="41"/>
  <c r="C103" i="41"/>
  <c r="C102" i="41"/>
  <c r="C101" i="41"/>
  <c r="C100" i="41"/>
  <c r="C99" i="41"/>
  <c r="C98" i="41"/>
  <c r="C97" i="41"/>
  <c r="C96" i="41"/>
  <c r="C93" i="41"/>
  <c r="C92" i="41"/>
  <c r="C91" i="41"/>
  <c r="C90" i="41"/>
  <c r="C89" i="41"/>
  <c r="C88" i="41"/>
  <c r="C87" i="41"/>
  <c r="C86" i="41"/>
  <c r="C85" i="41"/>
  <c r="C82" i="41"/>
  <c r="C81" i="41"/>
  <c r="C80" i="41"/>
  <c r="C79" i="41"/>
  <c r="C78" i="41"/>
  <c r="C77" i="41"/>
  <c r="C76" i="41"/>
  <c r="C75" i="41"/>
  <c r="C74" i="41"/>
  <c r="C73" i="41"/>
  <c r="C72" i="41"/>
  <c r="C71" i="41"/>
  <c r="C70" i="41"/>
  <c r="C69" i="41"/>
  <c r="C68" i="41"/>
  <c r="C67" i="41"/>
  <c r="C66" i="41"/>
  <c r="C65" i="41"/>
  <c r="C64" i="41"/>
  <c r="C63" i="41"/>
  <c r="C62" i="41"/>
  <c r="C61" i="41"/>
  <c r="C60" i="41"/>
  <c r="C59" i="41"/>
  <c r="C58" i="41"/>
  <c r="C57" i="41"/>
  <c r="C56" i="41"/>
  <c r="C55" i="41"/>
  <c r="C54" i="41"/>
  <c r="C53" i="41"/>
  <c r="C52" i="41"/>
  <c r="C51" i="41"/>
  <c r="C50" i="41"/>
  <c r="C49" i="41"/>
  <c r="C48" i="41"/>
  <c r="C47" i="41"/>
  <c r="C46" i="41"/>
  <c r="C45" i="41"/>
  <c r="C44" i="41"/>
  <c r="C43" i="41"/>
  <c r="C42" i="41"/>
  <c r="C41" i="41"/>
  <c r="C38" i="41"/>
  <c r="C37" i="41"/>
  <c r="C36" i="41"/>
  <c r="C35" i="41"/>
  <c r="C34" i="41"/>
  <c r="C33" i="41"/>
  <c r="C32" i="41"/>
  <c r="C31" i="41"/>
  <c r="C30" i="41"/>
  <c r="C29" i="41"/>
  <c r="C28" i="41"/>
  <c r="C23" i="41"/>
  <c r="C22" i="41"/>
  <c r="C21" i="41"/>
  <c r="C20" i="41"/>
  <c r="C19" i="41"/>
  <c r="C18" i="41"/>
  <c r="C13" i="41"/>
  <c r="B13" i="41"/>
  <c r="C12" i="41"/>
  <c r="B12" i="41"/>
  <c r="C11" i="41"/>
  <c r="B11" i="41"/>
  <c r="C10" i="41"/>
  <c r="B10" i="41"/>
  <c r="C9" i="41"/>
  <c r="B9" i="41"/>
  <c r="C8" i="41"/>
  <c r="B8" i="41"/>
  <c r="C7" i="41"/>
  <c r="B7" i="41"/>
  <c r="C6" i="41"/>
  <c r="B6" i="41"/>
  <c r="C5" i="41"/>
  <c r="B5" i="41"/>
  <c r="C4" i="41"/>
  <c r="B4" i="41"/>
  <c r="C2" i="41"/>
  <c r="C17" i="41" l="1"/>
  <c r="C225" i="40" l="1"/>
  <c r="C224" i="40"/>
  <c r="C223" i="40"/>
  <c r="C222" i="40"/>
  <c r="C221" i="40"/>
  <c r="C220" i="40"/>
  <c r="C219" i="40"/>
  <c r="C218" i="40"/>
  <c r="C217" i="40"/>
  <c r="C216" i="40"/>
  <c r="C215" i="40"/>
  <c r="C214" i="40"/>
  <c r="C213" i="40"/>
  <c r="C212" i="40"/>
  <c r="C211" i="40"/>
  <c r="C210" i="40"/>
  <c r="C209" i="40"/>
  <c r="C208" i="40"/>
  <c r="C207" i="40"/>
  <c r="C206" i="40"/>
  <c r="C205" i="40"/>
  <c r="C204" i="40"/>
  <c r="C203" i="40"/>
  <c r="C202" i="40"/>
  <c r="C201" i="40"/>
  <c r="C200" i="40"/>
  <c r="C199" i="40"/>
  <c r="C198" i="40"/>
  <c r="C197" i="40"/>
  <c r="C196" i="40"/>
  <c r="C195" i="40"/>
  <c r="C194" i="40"/>
  <c r="C193" i="40"/>
  <c r="C192" i="40"/>
  <c r="C191" i="40"/>
  <c r="C190" i="40"/>
  <c r="C189" i="40"/>
  <c r="C188" i="40"/>
  <c r="C187" i="40"/>
  <c r="C186" i="40"/>
  <c r="C185" i="40"/>
  <c r="C184" i="40"/>
  <c r="C183" i="40"/>
  <c r="C182" i="40"/>
  <c r="C181" i="40"/>
  <c r="C180" i="40"/>
  <c r="C179" i="40"/>
  <c r="C178" i="40"/>
  <c r="C177" i="40"/>
  <c r="C176" i="40"/>
  <c r="C175" i="40"/>
  <c r="C174" i="40"/>
  <c r="C173" i="40"/>
  <c r="C172" i="40"/>
  <c r="C171" i="40"/>
  <c r="C170" i="40"/>
  <c r="C169" i="40"/>
  <c r="C168" i="40"/>
  <c r="C167" i="40"/>
  <c r="C166" i="40"/>
  <c r="C165" i="40"/>
  <c r="C164" i="40"/>
  <c r="C163" i="40"/>
  <c r="C162" i="40"/>
  <c r="C161" i="40"/>
  <c r="C160" i="40"/>
  <c r="C159" i="40"/>
  <c r="C158" i="40"/>
  <c r="C157" i="40"/>
  <c r="C156" i="40"/>
  <c r="C155" i="40"/>
  <c r="C154" i="40"/>
  <c r="C153" i="40"/>
  <c r="C152" i="40"/>
  <c r="C151" i="40"/>
  <c r="C150" i="40"/>
  <c r="C149" i="40"/>
  <c r="C148" i="40"/>
  <c r="C147" i="40"/>
  <c r="C146" i="40"/>
  <c r="B146" i="40"/>
  <c r="B147" i="40" s="1"/>
  <c r="B148" i="40" s="1"/>
  <c r="B149" i="40" s="1"/>
  <c r="B150" i="40" s="1"/>
  <c r="B151" i="40" s="1"/>
  <c r="B152" i="40" s="1"/>
  <c r="B153" i="40" s="1"/>
  <c r="B154" i="40" s="1"/>
  <c r="B155" i="40" s="1"/>
  <c r="B156" i="40" s="1"/>
  <c r="B157" i="40" s="1"/>
  <c r="B158" i="40" s="1"/>
  <c r="B159" i="40" s="1"/>
  <c r="B160" i="40" s="1"/>
  <c r="B161" i="40" s="1"/>
  <c r="B162" i="40" s="1"/>
  <c r="C145" i="40"/>
  <c r="C142" i="40"/>
  <c r="C140" i="40"/>
  <c r="C139" i="40"/>
  <c r="C138" i="40"/>
  <c r="C137" i="40"/>
  <c r="C135" i="40"/>
  <c r="C134" i="40"/>
  <c r="C133" i="40"/>
  <c r="C132" i="40"/>
  <c r="C131" i="40"/>
  <c r="C130" i="40"/>
  <c r="C127" i="40"/>
  <c r="C124" i="40"/>
  <c r="C123" i="40"/>
  <c r="C122" i="40"/>
  <c r="C121" i="40"/>
  <c r="C120" i="40"/>
  <c r="C119" i="40"/>
  <c r="C118" i="40"/>
  <c r="C117" i="40"/>
  <c r="C116" i="40"/>
  <c r="C115" i="40"/>
  <c r="C114" i="40"/>
  <c r="C113" i="40"/>
  <c r="C112" i="40"/>
  <c r="C111" i="40"/>
  <c r="C110" i="40"/>
  <c r="C109" i="40"/>
  <c r="C108" i="40"/>
  <c r="C107" i="40"/>
  <c r="C106" i="40"/>
  <c r="C105" i="40"/>
  <c r="C104" i="40"/>
  <c r="C103" i="40"/>
  <c r="C102" i="40"/>
  <c r="C99" i="40"/>
  <c r="C98" i="40"/>
  <c r="C97" i="40"/>
  <c r="C96" i="40"/>
  <c r="C95" i="40"/>
  <c r="C94" i="40"/>
  <c r="C93" i="40"/>
  <c r="C92" i="40"/>
  <c r="C91" i="40"/>
  <c r="C88" i="40"/>
  <c r="C87" i="40"/>
  <c r="C86" i="40"/>
  <c r="C85" i="40"/>
  <c r="C84" i="40"/>
  <c r="C83" i="40"/>
  <c r="C82" i="40"/>
  <c r="C81" i="40"/>
  <c r="C80" i="40"/>
  <c r="C79" i="40"/>
  <c r="C78" i="40"/>
  <c r="C77" i="40"/>
  <c r="C76" i="40"/>
  <c r="C75" i="40"/>
  <c r="C74" i="40"/>
  <c r="C73" i="40"/>
  <c r="C72" i="40"/>
  <c r="C71" i="40"/>
  <c r="C70" i="40"/>
  <c r="C69" i="40"/>
  <c r="C68" i="40"/>
  <c r="C67" i="40"/>
  <c r="C66" i="40"/>
  <c r="C65" i="40"/>
  <c r="C64" i="40"/>
  <c r="C63" i="40"/>
  <c r="C62" i="40"/>
  <c r="C61" i="40"/>
  <c r="C60" i="40"/>
  <c r="C59" i="40"/>
  <c r="C58" i="40"/>
  <c r="C57" i="40"/>
  <c r="C56" i="40"/>
  <c r="C55" i="40"/>
  <c r="C54" i="40"/>
  <c r="C53" i="40"/>
  <c r="C52" i="40"/>
  <c r="C51" i="40"/>
  <c r="C50" i="40"/>
  <c r="C49" i="40"/>
  <c r="C48" i="40"/>
  <c r="C47" i="40"/>
  <c r="C46" i="40"/>
  <c r="C43" i="40"/>
  <c r="C42" i="40"/>
  <c r="C41" i="40"/>
  <c r="C40" i="40"/>
  <c r="C39" i="40"/>
  <c r="C38" i="40"/>
  <c r="C37" i="40"/>
  <c r="C36" i="40"/>
  <c r="C35" i="40"/>
  <c r="C34" i="40"/>
  <c r="B34" i="40"/>
  <c r="C33" i="40"/>
  <c r="B33" i="40"/>
  <c r="C32" i="40"/>
  <c r="B32" i="40"/>
  <c r="C31" i="40"/>
  <c r="B31" i="40"/>
  <c r="C30" i="40"/>
  <c r="C29" i="40"/>
  <c r="C28" i="40"/>
  <c r="C23" i="40"/>
  <c r="C22" i="40"/>
  <c r="C21" i="40"/>
  <c r="C20" i="40"/>
  <c r="C19" i="40"/>
  <c r="C18" i="40"/>
  <c r="C13" i="40"/>
  <c r="B13" i="40"/>
  <c r="C12" i="40"/>
  <c r="B12" i="40"/>
  <c r="C11" i="40"/>
  <c r="B11" i="40"/>
  <c r="C10" i="40"/>
  <c r="B10" i="40"/>
  <c r="C9" i="40"/>
  <c r="B9" i="40"/>
  <c r="C8" i="40"/>
  <c r="B8" i="40"/>
  <c r="C7" i="40"/>
  <c r="B7" i="40"/>
  <c r="C6" i="40"/>
  <c r="B6" i="40"/>
  <c r="C5" i="40"/>
  <c r="B5" i="40"/>
  <c r="C4" i="40"/>
  <c r="B4" i="40"/>
  <c r="C2" i="40"/>
  <c r="C17" i="40" l="1"/>
  <c r="B225" i="40"/>
  <c r="B163" i="40"/>
  <c r="B164" i="40" s="1"/>
  <c r="B165" i="40" s="1"/>
  <c r="B166" i="40" s="1"/>
  <c r="B167" i="40" s="1"/>
  <c r="B168" i="40" s="1"/>
  <c r="B169" i="40" s="1"/>
  <c r="B170" i="40" s="1"/>
  <c r="B171" i="40" s="1"/>
  <c r="B172" i="40" s="1"/>
  <c r="B173" i="40" s="1"/>
  <c r="B174" i="40" s="1"/>
  <c r="B175" i="40" s="1"/>
  <c r="B176" i="40" s="1"/>
  <c r="B177" i="40" s="1"/>
  <c r="B178" i="40" s="1"/>
  <c r="B179" i="40" s="1"/>
  <c r="B180" i="40" s="1"/>
  <c r="B181" i="40" s="1"/>
  <c r="B182" i="40" s="1"/>
  <c r="B183" i="40" s="1"/>
  <c r="B184" i="40" s="1"/>
  <c r="B185" i="40" s="1"/>
  <c r="B186" i="40" s="1"/>
  <c r="B187" i="40" s="1"/>
  <c r="B188" i="40" s="1"/>
  <c r="B189" i="40" s="1"/>
  <c r="B190" i="40" s="1"/>
  <c r="B191" i="40" s="1"/>
  <c r="B192" i="40" s="1"/>
  <c r="B193" i="40" s="1"/>
  <c r="B194" i="40" s="1"/>
  <c r="B195" i="40" s="1"/>
  <c r="B196" i="40" s="1"/>
  <c r="B197" i="40" s="1"/>
  <c r="B198" i="40" s="1"/>
  <c r="B199" i="40" s="1"/>
  <c r="B200" i="40" s="1"/>
  <c r="B201" i="40" s="1"/>
  <c r="B202" i="40" s="1"/>
  <c r="B203" i="40" s="1"/>
  <c r="B204" i="40" s="1"/>
  <c r="B205" i="40" s="1"/>
  <c r="B206" i="40" s="1"/>
  <c r="B207" i="40" s="1"/>
  <c r="B208" i="40" s="1"/>
  <c r="B209" i="40" s="1"/>
  <c r="B210" i="40" s="1"/>
  <c r="B211" i="40" s="1"/>
  <c r="B212" i="40" s="1"/>
  <c r="B213" i="40" s="1"/>
  <c r="B214" i="40" s="1"/>
  <c r="B215" i="40" s="1"/>
  <c r="B216" i="40" s="1"/>
  <c r="B217" i="40" s="1"/>
  <c r="B218" i="40" s="1"/>
  <c r="B219" i="40" s="1"/>
  <c r="B220" i="40" s="1"/>
  <c r="B221" i="40" s="1"/>
  <c r="B222" i="40" s="1"/>
  <c r="B223" i="40" s="1"/>
  <c r="B224" i="40" s="1"/>
  <c r="C223" i="39" l="1"/>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C145" i="39"/>
  <c r="C144" i="39"/>
  <c r="B144" i="39"/>
  <c r="B145" i="39" s="1"/>
  <c r="B146" i="39" s="1"/>
  <c r="B147" i="39" s="1"/>
  <c r="B148" i="39" s="1"/>
  <c r="B149" i="39" s="1"/>
  <c r="B150" i="39" s="1"/>
  <c r="B151" i="39" s="1"/>
  <c r="B152" i="39" s="1"/>
  <c r="B153" i="39" s="1"/>
  <c r="B154" i="39" s="1"/>
  <c r="B155" i="39" s="1"/>
  <c r="B156" i="39" s="1"/>
  <c r="B157" i="39" s="1"/>
  <c r="B158" i="39" s="1"/>
  <c r="B159" i="39" s="1"/>
  <c r="B160" i="39" s="1"/>
  <c r="B161" i="39" s="1"/>
  <c r="B162" i="39" s="1"/>
  <c r="B163" i="39" s="1"/>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C143" i="39"/>
  <c r="C140" i="39"/>
  <c r="C138" i="39"/>
  <c r="C137" i="39"/>
  <c r="C136" i="39"/>
  <c r="C135" i="39"/>
  <c r="C125" i="39"/>
  <c r="C122" i="39"/>
  <c r="C121" i="39"/>
  <c r="C120" i="39"/>
  <c r="C119" i="39"/>
  <c r="C118" i="39"/>
  <c r="C117" i="39"/>
  <c r="C116" i="39"/>
  <c r="C115" i="39"/>
  <c r="C114" i="39"/>
  <c r="C113" i="39"/>
  <c r="C112" i="39"/>
  <c r="C111" i="39"/>
  <c r="C110" i="39"/>
  <c r="C109" i="39"/>
  <c r="C108" i="39"/>
  <c r="C107" i="39"/>
  <c r="C106" i="39"/>
  <c r="C105" i="39"/>
  <c r="C104" i="39"/>
  <c r="C103" i="39"/>
  <c r="C102" i="39"/>
  <c r="C101" i="39"/>
  <c r="C100" i="39"/>
  <c r="C99" i="39"/>
  <c r="C98" i="39"/>
  <c r="C97" i="39"/>
  <c r="C96" i="39"/>
  <c r="C93" i="39"/>
  <c r="C92" i="39"/>
  <c r="C91" i="39"/>
  <c r="C90" i="39"/>
  <c r="C89" i="39"/>
  <c r="C88" i="39"/>
  <c r="C87" i="39"/>
  <c r="C86" i="39"/>
  <c r="C85" i="39"/>
  <c r="C82" i="39"/>
  <c r="C81" i="39"/>
  <c r="C80" i="39"/>
  <c r="C79" i="39"/>
  <c r="C78" i="39"/>
  <c r="C77" i="39"/>
  <c r="C76" i="39"/>
  <c r="C75" i="39"/>
  <c r="C74" i="39"/>
  <c r="C73" i="39"/>
  <c r="C72" i="39"/>
  <c r="C71" i="39"/>
  <c r="C70" i="39"/>
  <c r="C69" i="39"/>
  <c r="C68" i="39"/>
  <c r="C67" i="39"/>
  <c r="C66" i="39"/>
  <c r="C65" i="39"/>
  <c r="C64" i="39"/>
  <c r="C63" i="39"/>
  <c r="C62" i="39"/>
  <c r="C61" i="39"/>
  <c r="C60" i="39"/>
  <c r="C59" i="39"/>
  <c r="C58" i="39"/>
  <c r="C57" i="39"/>
  <c r="C56" i="39"/>
  <c r="C55" i="39"/>
  <c r="C54" i="39"/>
  <c r="C53" i="39"/>
  <c r="C52" i="39"/>
  <c r="C51" i="39"/>
  <c r="C50" i="39"/>
  <c r="C49" i="39"/>
  <c r="C48" i="39"/>
  <c r="C47" i="39"/>
  <c r="C46" i="39"/>
  <c r="C45" i="39"/>
  <c r="C44" i="39"/>
  <c r="C43" i="39"/>
  <c r="C42" i="39"/>
  <c r="C41" i="39"/>
  <c r="C38" i="39"/>
  <c r="C37" i="39"/>
  <c r="C36" i="39"/>
  <c r="C35" i="39"/>
  <c r="C34" i="39"/>
  <c r="C33" i="39"/>
  <c r="C32" i="39"/>
  <c r="C31" i="39"/>
  <c r="C30" i="39"/>
  <c r="C29" i="39"/>
  <c r="C28" i="39"/>
  <c r="C23" i="39"/>
  <c r="C22" i="39"/>
  <c r="C21" i="39"/>
  <c r="C20" i="39"/>
  <c r="C19" i="39"/>
  <c r="C18" i="39"/>
  <c r="C13" i="39"/>
  <c r="B13" i="39"/>
  <c r="C12" i="39"/>
  <c r="B12" i="39"/>
  <c r="C11" i="39"/>
  <c r="B11" i="39"/>
  <c r="C10" i="39"/>
  <c r="B10" i="39"/>
  <c r="C9" i="39"/>
  <c r="B9" i="39"/>
  <c r="C8" i="39"/>
  <c r="B8" i="39"/>
  <c r="C7" i="39"/>
  <c r="B7" i="39"/>
  <c r="C6" i="39"/>
  <c r="B6" i="39"/>
  <c r="C5" i="39"/>
  <c r="B5" i="39"/>
  <c r="C4" i="39"/>
  <c r="B4" i="39"/>
  <c r="C2" i="39"/>
  <c r="C17" i="39" l="1"/>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2" i="38"/>
  <c r="C17" i="38" l="1"/>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8" i="37"/>
  <c r="C13" i="37"/>
  <c r="B13" i="37"/>
  <c r="C12" i="37"/>
  <c r="B12" i="37"/>
  <c r="C11" i="37"/>
  <c r="B11" i="37"/>
  <c r="C10" i="37"/>
  <c r="B10" i="37"/>
  <c r="C9" i="37"/>
  <c r="B9" i="37"/>
  <c r="C8" i="37"/>
  <c r="B8" i="37"/>
  <c r="C7" i="37"/>
  <c r="B7" i="37"/>
  <c r="C6" i="37"/>
  <c r="B6" i="37"/>
  <c r="C5" i="37"/>
  <c r="B5" i="37"/>
  <c r="C4" i="37"/>
  <c r="B4" i="37"/>
  <c r="C2" i="37"/>
  <c r="C17" i="37" l="1"/>
  <c r="C223" i="36" l="1"/>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8" i="36"/>
  <c r="C13" i="36"/>
  <c r="B13" i="36"/>
  <c r="C12" i="36"/>
  <c r="B12" i="36"/>
  <c r="C11" i="36"/>
  <c r="B11" i="36"/>
  <c r="C10" i="36"/>
  <c r="B10" i="36"/>
  <c r="C9" i="36"/>
  <c r="B9" i="36"/>
  <c r="C8" i="36"/>
  <c r="B8" i="36"/>
  <c r="C7" i="36"/>
  <c r="B7" i="36"/>
  <c r="C6" i="36"/>
  <c r="B6" i="36"/>
  <c r="C5" i="36"/>
  <c r="B5" i="36"/>
  <c r="C4" i="36"/>
  <c r="B4" i="36"/>
  <c r="C2" i="36"/>
  <c r="C17" i="36" l="1"/>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2"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7" i="34" s="1"/>
  <c r="C18" i="34"/>
  <c r="C13" i="34"/>
  <c r="B13" i="34"/>
  <c r="C12" i="34"/>
  <c r="B12" i="34"/>
  <c r="C11" i="34"/>
  <c r="B11" i="34"/>
  <c r="C10" i="34"/>
  <c r="B10" i="34"/>
  <c r="C9" i="34"/>
  <c r="B9" i="34"/>
  <c r="C8" i="34"/>
  <c r="B8" i="34"/>
  <c r="C7" i="34"/>
  <c r="B7" i="34"/>
  <c r="C6" i="34"/>
  <c r="B6" i="34"/>
  <c r="C5" i="34"/>
  <c r="B5" i="34"/>
  <c r="C4" i="34"/>
  <c r="B4" i="34"/>
  <c r="C2" i="34"/>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2" i="33"/>
  <c r="C17" i="33"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2" i="32"/>
  <c r="C17" i="32" l="1"/>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2" i="31"/>
  <c r="C17" i="31" l="1"/>
</calcChain>
</file>

<file path=xl/sharedStrings.xml><?xml version="1.0" encoding="utf-8"?>
<sst xmlns="http://schemas.openxmlformats.org/spreadsheetml/2006/main" count="3373" uniqueCount="260">
  <si>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</si>
  <si>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</si>
  <si>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</si>
  <si>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</si>
  <si>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</si>
  <si>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</si>
  <si>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</si>
  <si>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</si>
  <si>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</si>
  <si>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</si>
  <si>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</si>
  <si>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</si>
  <si>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</si>
  <si>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</si>
  <si>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t>1.5</t>
  </si>
  <si>
    <t>1.6</t>
  </si>
  <si>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</si>
  <si>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</si>
  <si>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</si>
  <si>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t>Низшая теплота сгорания 1 кг условного топлива</t>
  </si>
  <si>
    <t>1.7</t>
  </si>
  <si>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</si>
  <si>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</si>
  <si>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</si>
  <si>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</si>
  <si>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</si>
  <si>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</si>
  <si>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</si>
  <si>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</si>
  <si>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</si>
  <si>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</si>
  <si>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</si>
  <si>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</si>
  <si>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</si>
  <si>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</si>
  <si>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</si>
  <si>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2.4</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</si>
  <si>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</si>
  <si>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</si>
  <si>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</si>
  <si>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</si>
  <si>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</si>
  <si>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</si>
  <si>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</si>
  <si>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</si>
  <si>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</si>
  <si>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</si>
  <si>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</si>
  <si>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</si>
  <si>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</si>
  <si>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</si>
  <si>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</si>
  <si>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</si>
  <si>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</si>
  <si>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</si>
  <si>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</si>
  <si>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</si>
  <si>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</si>
  <si>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</si>
  <si>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</si>
  <si>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t>2.6.1</t>
  </si>
  <si>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</si>
  <si>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</si>
  <si>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</si>
  <si>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</si>
  <si>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</si>
  <si>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</si>
  <si>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</si>
  <si>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</si>
  <si>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</si>
  <si>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</si>
  <si>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</si>
  <si>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t>2.7.2</t>
  </si>
  <si>
    <t>2.8</t>
  </si>
  <si>
    <t>2.8.1</t>
  </si>
  <si>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</si>
  <si>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</si>
  <si>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</si>
  <si>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</si>
  <si>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</si>
  <si>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</si>
  <si>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</si>
  <si>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</si>
  <si>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</si>
  <si>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</si>
  <si>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</si>
  <si>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</si>
  <si>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</si>
  <si>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</si>
  <si>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</si>
  <si>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</si>
  <si>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</si>
  <si>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</si>
  <si>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</si>
  <si>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</si>
  <si>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</si>
  <si>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</si>
  <si>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</si>
  <si>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</si>
  <si>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</si>
  <si>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</si>
  <si>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</si>
  <si>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</si>
  <si>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</si>
  <si>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</si>
  <si>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</si>
  <si>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</si>
  <si>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</si>
  <si>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</si>
  <si>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</si>
  <si>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</si>
  <si>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</si>
  <si>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</si>
  <si>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</si>
  <si>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</si>
  <si>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</si>
  <si>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</si>
  <si>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</si>
  <si>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</si>
  <si>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</si>
  <si>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</si>
  <si>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</si>
  <si>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</si>
  <si>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</si>
  <si>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</si>
  <si>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</si>
  <si>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</si>
  <si>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t>4.1.1</t>
  </si>
  <si>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</si>
  <si>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</si>
  <si>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</si>
  <si>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</si>
  <si>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</si>
  <si>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</si>
  <si>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</si>
  <si>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</si>
  <si>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</si>
  <si>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</si>
  <si>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</si>
  <si>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</si>
  <si>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</si>
  <si>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</si>
  <si>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</si>
  <si>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</si>
  <si>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</si>
  <si>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</si>
  <si>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</si>
  <si>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</si>
  <si>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</si>
  <si>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</si>
  <si>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</si>
  <si>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</si>
  <si>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</si>
  <si>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</si>
  <si>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</si>
  <si>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</si>
  <si>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</si>
  <si>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</si>
  <si>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</si>
  <si>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t>4.4.1</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</si>
  <si>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</si>
  <si>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</si>
  <si>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</si>
  <si>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</si>
  <si>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</si>
  <si>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</si>
  <si>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</si>
  <si>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</si>
  <si>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</si>
  <si>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</si>
  <si>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</si>
  <si>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</si>
  <si>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</si>
  <si>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</si>
  <si>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</si>
  <si>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</si>
  <si>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</si>
  <si>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</si>
  <si>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</si>
  <si>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</si>
  <si>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</si>
  <si>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</si>
  <si>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</si>
  <si>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</si>
  <si>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</si>
  <si>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</si>
  <si>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</si>
  <si>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</si>
  <si>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</si>
  <si>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</si>
  <si>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</si>
  <si>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</si>
  <si>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</si>
  <si>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</si>
  <si>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</si>
  <si>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</si>
  <si>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</si>
  <si>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</si>
  <si>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</si>
  <si>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</si>
  <si>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</si>
  <si>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</si>
  <si>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</si>
  <si>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</si>
  <si>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</si>
  <si>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</si>
  <si>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</si>
  <si>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</si>
  <si>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</si>
  <si>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</si>
  <si>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</si>
  <si>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</si>
  <si>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</si>
  <si>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</si>
  <si>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</si>
  <si>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</si>
  <si>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</si>
  <si>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</si>
  <si>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</si>
  <si>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</si>
  <si>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</si>
  <si>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</si>
  <si>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</si>
  <si>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</si>
  <si>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</si>
  <si>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</si>
  <si>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</si>
  <si>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</si>
  <si>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</si>
  <si>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</si>
  <si>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</si>
  <si>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</si>
  <si>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</si>
  <si>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</si>
  <si>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</si>
  <si>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</si>
  <si>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</si>
  <si>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</si>
  <si>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</si>
  <si>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</si>
  <si>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</si>
  <si>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</si>
  <si>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</si>
  <si>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</si>
  <si>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</si>
  <si>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</si>
  <si>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</si>
  <si>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</si>
  <si>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</si>
  <si>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</si>
  <si>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</si>
  <si>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</si>
  <si>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</si>
  <si>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</si>
  <si>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</si>
  <si>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</si>
  <si>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</si>
  <si>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</si>
  <si>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</si>
  <si>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РюП</t>
  </si>
</sst>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7" fontId="37" fillId="0" borderId="0"/>
    <xf numFmtId="0" fontId="38" fillId="0" borderId="0"/>
    <xf numFmtId="167" fontId="39"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0" fontId="32" fillId="0" borderId="0"/>
    <xf numFmtId="166" fontId="41" fillId="0" borderId="0">
      <alignment vertical="top"/>
    </xf>
    <xf numFmtId="169" fontId="41" fillId="7" borderId="0">
      <alignment vertical="top"/>
    </xf>
    <xf numFmtId="166" fontId="42" fillId="8" borderId="0">
      <alignment vertical="top"/>
    </xf>
    <xf numFmtId="0" fontId="37" fillId="0" borderId="0"/>
    <xf numFmtId="167" fontId="37" fillId="0" borderId="0"/>
    <xf numFmtId="0" fontId="40" fillId="0" borderId="0" applyNumberFormat="0" applyFont="0" applyFill="0" applyBorder="0" applyAlignment="0" applyProtection="0"/>
    <xf numFmtId="167" fontId="43" fillId="0" borderId="0" applyFont="0" applyFill="0" applyBorder="0" applyAlignment="0"/>
    <xf numFmtId="167" fontId="44"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5" fillId="0" borderId="24">
      <protection locked="0"/>
    </xf>
    <xf numFmtId="0" fontId="45" fillId="0" borderId="24">
      <protection locked="0"/>
    </xf>
    <xf numFmtId="0" fontId="45" fillId="0" borderId="24">
      <protection locked="0"/>
    </xf>
    <xf numFmtId="0" fontId="46" fillId="0" borderId="0"/>
    <xf numFmtId="170" fontId="46" fillId="0" borderId="0"/>
    <xf numFmtId="170" fontId="46" fillId="0" borderId="0"/>
    <xf numFmtId="170" fontId="46" fillId="0" borderId="0"/>
    <xf numFmtId="170" fontId="38" fillId="0" borderId="0"/>
    <xf numFmtId="170" fontId="38"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0" fontId="46" fillId="0" borderId="0"/>
    <xf numFmtId="170" fontId="46" fillId="0" borderId="0"/>
    <xf numFmtId="170" fontId="38" fillId="0" borderId="0"/>
    <xf numFmtId="170" fontId="38" fillId="0" borderId="0"/>
    <xf numFmtId="170" fontId="38" fillId="0" borderId="0"/>
    <xf numFmtId="170" fontId="38" fillId="0" borderId="0"/>
    <xf numFmtId="170" fontId="38" fillId="0" borderId="0"/>
    <xf numFmtId="0" fontId="46" fillId="0" borderId="0"/>
    <xf numFmtId="167" fontId="38" fillId="0" borderId="0"/>
    <xf numFmtId="167" fontId="50" fillId="0" borderId="0"/>
    <xf numFmtId="170" fontId="46" fillId="0" borderId="0"/>
    <xf numFmtId="170" fontId="38" fillId="0" borderId="0"/>
    <xf numFmtId="170" fontId="46" fillId="0" borderId="0"/>
    <xf numFmtId="170" fontId="38" fillId="0" borderId="0"/>
    <xf numFmtId="170"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7" fontId="32" fillId="0" borderId="0"/>
    <xf numFmtId="167" fontId="52" fillId="0" borderId="0"/>
    <xf numFmtId="167" fontId="32" fillId="0" borderId="0"/>
    <xf numFmtId="0" fontId="52" fillId="0" borderId="0"/>
    <xf numFmtId="167" fontId="32" fillId="0" borderId="0"/>
    <xf numFmtId="0" fontId="32" fillId="0" borderId="0"/>
    <xf numFmtId="170" fontId="38" fillId="0" borderId="0"/>
    <xf numFmtId="0" fontId="46" fillId="0" borderId="0"/>
    <xf numFmtId="170" fontId="38" fillId="0" borderId="0"/>
    <xf numFmtId="170" fontId="46" fillId="0" borderId="0"/>
    <xf numFmtId="170" fontId="38" fillId="0" borderId="0"/>
    <xf numFmtId="167" fontId="46" fillId="0" borderId="0"/>
    <xf numFmtId="167" fontId="52" fillId="0" borderId="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0" fontId="38" fillId="0" borderId="0"/>
    <xf numFmtId="170" fontId="46" fillId="0" borderId="0"/>
    <xf numFmtId="170" fontId="46" fillId="0" borderId="0"/>
    <xf numFmtId="170" fontId="46" fillId="0" borderId="0"/>
    <xf numFmtId="170" fontId="38" fillId="0" borderId="0"/>
    <xf numFmtId="170" fontId="46" fillId="0" borderId="0"/>
    <xf numFmtId="0" fontId="38" fillId="0" borderId="0"/>
    <xf numFmtId="167" fontId="46" fillId="0" borderId="0"/>
    <xf numFmtId="167" fontId="46"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6" fillId="0" borderId="0"/>
    <xf numFmtId="0" fontId="46" fillId="0" borderId="0"/>
    <xf numFmtId="167" fontId="38" fillId="0" borderId="0"/>
    <xf numFmtId="167" fontId="50" fillId="0" borderId="0"/>
    <xf numFmtId="171" fontId="37" fillId="0" borderId="0" applyFont="0" applyFill="0" applyBorder="0" applyAlignment="0" applyProtection="0"/>
    <xf numFmtId="167" fontId="46" fillId="0" borderId="0"/>
    <xf numFmtId="0" fontId="38" fillId="0" borderId="0"/>
    <xf numFmtId="0" fontId="54" fillId="0" borderId="0"/>
    <xf numFmtId="0" fontId="5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72" fontId="53" fillId="0" borderId="0" applyFont="0" applyFill="0" applyBorder="0" applyAlignment="0" applyProtection="0"/>
    <xf numFmtId="39" fontId="37" fillId="0" borderId="0" applyFont="0" applyFill="0" applyBorder="0" applyAlignment="0" applyProtection="0"/>
    <xf numFmtId="167" fontId="46" fillId="0" borderId="0"/>
    <xf numFmtId="167"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73" fontId="55" fillId="0" borderId="25" applyFont="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0" fontId="38" fillId="0" borderId="0"/>
    <xf numFmtId="0" fontId="38" fillId="0" borderId="0"/>
    <xf numFmtId="167" fontId="52" fillId="0" borderId="0"/>
    <xf numFmtId="0" fontId="46" fillId="0" borderId="0"/>
    <xf numFmtId="0" fontId="46" fillId="0" borderId="0"/>
    <xf numFmtId="0" fontId="46" fillId="0" borderId="0"/>
    <xf numFmtId="167" fontId="46" fillId="0" borderId="0"/>
    <xf numFmtId="167" fontId="52" fillId="0" borderId="0"/>
    <xf numFmtId="167" fontId="38" fillId="0" borderId="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74" fontId="57" fillId="0" borderId="0">
      <alignment vertical="top"/>
    </xf>
    <xf numFmtId="38" fontId="32" fillId="0" borderId="0">
      <alignment vertical="top"/>
    </xf>
    <xf numFmtId="175" fontId="48" fillId="0" borderId="0" applyFont="0" applyFill="0" applyBorder="0" applyAlignment="0" applyProtection="0"/>
    <xf numFmtId="176" fontId="53" fillId="0" borderId="0" applyFont="0" applyFill="0" applyBorder="0" applyAlignment="0" applyProtection="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54"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38" fillId="0" borderId="0"/>
    <xf numFmtId="167" fontId="38" fillId="0" borderId="0"/>
    <xf numFmtId="167" fontId="46" fillId="0" borderId="0"/>
    <xf numFmtId="167" fontId="46" fillId="0" borderId="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32" fillId="0" borderId="0"/>
    <xf numFmtId="167" fontId="38" fillId="0" borderId="0"/>
    <xf numFmtId="167" fontId="38" fillId="0" borderId="0"/>
    <xf numFmtId="167" fontId="38" fillId="0" borderId="0"/>
    <xf numFmtId="167" fontId="46" fillId="0" borderId="0"/>
    <xf numFmtId="167" fontId="46" fillId="0" borderId="0"/>
    <xf numFmtId="0" fontId="58" fillId="0" borderId="0" applyNumberFormat="0" applyFill="0" applyBorder="0" applyProtection="0">
      <alignment vertical="top"/>
    </xf>
    <xf numFmtId="167" fontId="38" fillId="0" borderId="0"/>
    <xf numFmtId="167" fontId="38" fillId="0" borderId="0"/>
    <xf numFmtId="167" fontId="38" fillId="0" borderId="0"/>
    <xf numFmtId="0" fontId="59" fillId="0" borderId="26" applyNumberFormat="0" applyFill="0" applyProtection="0">
      <alignment horizontal="center"/>
    </xf>
    <xf numFmtId="0" fontId="59" fillId="0" borderId="26" applyNumberFormat="0" applyFill="0" applyProtection="0">
      <alignment horizontal="center"/>
    </xf>
    <xf numFmtId="0" fontId="59" fillId="0" borderId="26" applyNumberFormat="0" applyFill="0" applyProtection="0">
      <alignment horizontal="center"/>
    </xf>
    <xf numFmtId="0" fontId="59" fillId="0" borderId="26"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7" fontId="38" fillId="0" borderId="0"/>
    <xf numFmtId="167" fontId="38" fillId="0" borderId="0"/>
    <xf numFmtId="167" fontId="38" fillId="0" borderId="0"/>
    <xf numFmtId="167" fontId="38" fillId="0" borderId="0"/>
    <xf numFmtId="4" fontId="47" fillId="0" borderId="0">
      <alignment vertical="center"/>
    </xf>
    <xf numFmtId="0" fontId="37" fillId="0" borderId="0"/>
    <xf numFmtId="167" fontId="46" fillId="0" borderId="0"/>
    <xf numFmtId="170" fontId="46" fillId="0" borderId="0"/>
    <xf numFmtId="170" fontId="46" fillId="0" borderId="0"/>
    <xf numFmtId="170" fontId="38" fillId="0" borderId="0"/>
    <xf numFmtId="167" fontId="46" fillId="0" borderId="0"/>
    <xf numFmtId="170" fontId="38" fillId="0" borderId="0"/>
    <xf numFmtId="170" fontId="46" fillId="0" borderId="0"/>
    <xf numFmtId="170" fontId="38" fillId="0" borderId="0"/>
    <xf numFmtId="0" fontId="38" fillId="0" borderId="0"/>
    <xf numFmtId="170" fontId="38" fillId="0" borderId="0"/>
    <xf numFmtId="170" fontId="38" fillId="0" borderId="0"/>
    <xf numFmtId="170" fontId="38" fillId="0" borderId="0"/>
    <xf numFmtId="170" fontId="38" fillId="0" borderId="0"/>
    <xf numFmtId="170" fontId="46" fillId="0" borderId="0"/>
    <xf numFmtId="167" fontId="54" fillId="0" borderId="0"/>
    <xf numFmtId="167" fontId="54" fillId="0" borderId="0"/>
    <xf numFmtId="167" fontId="46" fillId="0" borderId="0"/>
    <xf numFmtId="170" fontId="46" fillId="0" borderId="0"/>
    <xf numFmtId="167" fontId="46" fillId="0" borderId="0"/>
    <xf numFmtId="0" fontId="46" fillId="0" borderId="0"/>
    <xf numFmtId="0" fontId="38" fillId="0" borderId="0"/>
    <xf numFmtId="170" fontId="38" fillId="0" borderId="0"/>
    <xf numFmtId="170" fontId="38" fillId="0" borderId="0"/>
    <xf numFmtId="170" fontId="38" fillId="0" borderId="0"/>
    <xf numFmtId="170" fontId="38" fillId="0" borderId="0"/>
    <xf numFmtId="170" fontId="38" fillId="0" borderId="0"/>
    <xf numFmtId="170" fontId="46" fillId="0" borderId="0"/>
    <xf numFmtId="170" fontId="46" fillId="0" borderId="0"/>
    <xf numFmtId="170" fontId="38" fillId="0" borderId="0"/>
    <xf numFmtId="0" fontId="38" fillId="0" borderId="0"/>
    <xf numFmtId="170" fontId="38" fillId="0" borderId="0"/>
    <xf numFmtId="177" fontId="37" fillId="10" borderId="27" applyNumberFormat="0" applyFont="0">
      <alignment shrinkToFit="1"/>
      <protection locked="0"/>
    </xf>
    <xf numFmtId="177" fontId="37" fillId="10" borderId="27" applyNumberFormat="0" applyFont="0">
      <alignment shrinkToFit="1"/>
      <protection locked="0"/>
    </xf>
    <xf numFmtId="177" fontId="37" fillId="10" borderId="27" applyNumberFormat="0" applyFont="0">
      <alignment shrinkToFit="1"/>
      <protection locked="0"/>
    </xf>
    <xf numFmtId="177" fontId="37" fillId="10" borderId="27"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0" fontId="38" fillId="0" borderId="0"/>
    <xf numFmtId="170" fontId="38" fillId="0" borderId="0"/>
    <xf numFmtId="170" fontId="38" fillId="0" borderId="0"/>
    <xf numFmtId="0" fontId="38" fillId="0" borderId="0"/>
    <xf numFmtId="0" fontId="46" fillId="0" borderId="0"/>
    <xf numFmtId="4" fontId="47" fillId="0" borderId="0">
      <alignment vertical="center"/>
    </xf>
    <xf numFmtId="167" fontId="52" fillId="0" borderId="0"/>
    <xf numFmtId="167" fontId="46" fillId="0" borderId="0"/>
    <xf numFmtId="0" fontId="46" fillId="0" borderId="0"/>
    <xf numFmtId="167" fontId="53" fillId="0" borderId="0">
      <alignment vertical="center"/>
    </xf>
    <xf numFmtId="167" fontId="53" fillId="0" borderId="0">
      <alignment vertical="center"/>
    </xf>
    <xf numFmtId="167"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7" fontId="46" fillId="0" borderId="0"/>
    <xf numFmtId="0" fontId="46" fillId="0" borderId="0"/>
    <xf numFmtId="167" fontId="54"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37" fillId="0" borderId="0"/>
    <xf numFmtId="170" fontId="46" fillId="0" borderId="0"/>
    <xf numFmtId="0" fontId="46" fillId="0" borderId="0"/>
    <xf numFmtId="0" fontId="46" fillId="0" borderId="0"/>
    <xf numFmtId="0" fontId="46" fillId="0" borderId="0"/>
    <xf numFmtId="170" fontId="38" fillId="0" borderId="0"/>
    <xf numFmtId="170" fontId="38" fillId="0" borderId="0"/>
    <xf numFmtId="170" fontId="38" fillId="0" borderId="0"/>
    <xf numFmtId="170" fontId="46" fillId="0" borderId="0"/>
    <xf numFmtId="170" fontId="46" fillId="0" borderId="0"/>
    <xf numFmtId="170" fontId="38" fillId="0" borderId="0"/>
    <xf numFmtId="167" fontId="38" fillId="0" borderId="0"/>
    <xf numFmtId="167" fontId="50" fillId="0" borderId="0"/>
    <xf numFmtId="167" fontId="38" fillId="0" borderId="0"/>
    <xf numFmtId="167" fontId="50" fillId="0" borderId="0"/>
    <xf numFmtId="170" fontId="38" fillId="0" borderId="0"/>
    <xf numFmtId="170" fontId="38" fillId="0" borderId="0"/>
    <xf numFmtId="170" fontId="38" fillId="0" borderId="0"/>
    <xf numFmtId="167"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0" fontId="38" fillId="0" borderId="0"/>
    <xf numFmtId="178" fontId="46" fillId="0" borderId="0"/>
    <xf numFmtId="167" fontId="46" fillId="0" borderId="0"/>
    <xf numFmtId="167" fontId="52" fillId="0" borderId="0"/>
    <xf numFmtId="0" fontId="46" fillId="0" borderId="0"/>
    <xf numFmtId="4" fontId="47" fillId="0" borderId="0">
      <alignment vertical="center"/>
    </xf>
    <xf numFmtId="167" fontId="46" fillId="0" borderId="0"/>
    <xf numFmtId="0" fontId="46" fillId="0" borderId="0"/>
    <xf numFmtId="167" fontId="46" fillId="0" borderId="0"/>
    <xf numFmtId="0" fontId="46" fillId="0" borderId="0"/>
    <xf numFmtId="177" fontId="37" fillId="0" borderId="0"/>
    <xf numFmtId="177" fontId="37" fillId="0" borderId="0"/>
    <xf numFmtId="0" fontId="37" fillId="0" borderId="0"/>
    <xf numFmtId="0" fontId="37" fillId="0" borderId="0"/>
    <xf numFmtId="177" fontId="37" fillId="0" borderId="0"/>
    <xf numFmtId="177" fontId="37" fillId="0" borderId="0"/>
    <xf numFmtId="0" fontId="37" fillId="0" borderId="0"/>
    <xf numFmtId="0" fontId="37" fillId="0" borderId="0"/>
    <xf numFmtId="170" fontId="46" fillId="0" borderId="0"/>
    <xf numFmtId="4" fontId="47" fillId="0" borderId="0">
      <alignment vertical="center"/>
    </xf>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0" fontId="46"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70" fontId="38" fillId="0" borderId="0"/>
    <xf numFmtId="170" fontId="46" fillId="0" borderId="0"/>
    <xf numFmtId="0" fontId="46" fillId="0" borderId="0"/>
    <xf numFmtId="0" fontId="46" fillId="0" borderId="0"/>
    <xf numFmtId="167" fontId="54" fillId="0" borderId="0"/>
    <xf numFmtId="0" fontId="46" fillId="0" borderId="0"/>
    <xf numFmtId="170" fontId="38" fillId="0" borderId="0"/>
    <xf numFmtId="170" fontId="38" fillId="0" borderId="0"/>
    <xf numFmtId="167" fontId="32" fillId="0" borderId="0"/>
    <xf numFmtId="167" fontId="52" fillId="0" borderId="0"/>
    <xf numFmtId="167"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7"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7" fontId="52" fillId="0" borderId="0"/>
    <xf numFmtId="0" fontId="38" fillId="0" borderId="0"/>
    <xf numFmtId="0" fontId="46" fillId="0" borderId="0"/>
    <xf numFmtId="167" fontId="46" fillId="0" borderId="0"/>
    <xf numFmtId="0" fontId="46" fillId="0" borderId="0"/>
    <xf numFmtId="170" fontId="38" fillId="0" borderId="0"/>
    <xf numFmtId="170" fontId="46" fillId="0" borderId="0"/>
    <xf numFmtId="0" fontId="46" fillId="0" borderId="0"/>
    <xf numFmtId="170" fontId="38" fillId="0" borderId="0"/>
    <xf numFmtId="170" fontId="38" fillId="0" borderId="0"/>
    <xf numFmtId="170" fontId="38" fillId="0" borderId="0"/>
    <xf numFmtId="170" fontId="38" fillId="0" borderId="0"/>
    <xf numFmtId="170" fontId="38" fillId="0" borderId="0"/>
    <xf numFmtId="170" fontId="46" fillId="0" borderId="0"/>
    <xf numFmtId="0" fontId="46" fillId="0" borderId="0"/>
    <xf numFmtId="0" fontId="38" fillId="0" borderId="0"/>
    <xf numFmtId="0" fontId="46" fillId="0" borderId="0"/>
    <xf numFmtId="0" fontId="38" fillId="0" borderId="0"/>
    <xf numFmtId="167" fontId="38" fillId="0" borderId="0"/>
    <xf numFmtId="0" fontId="38" fillId="0" borderId="0"/>
    <xf numFmtId="174" fontId="57" fillId="0" borderId="0">
      <alignment vertical="top"/>
    </xf>
    <xf numFmtId="167" fontId="54" fillId="0" borderId="0"/>
    <xf numFmtId="17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0" fontId="46" fillId="0" borderId="0"/>
    <xf numFmtId="170" fontId="46" fillId="0" borderId="0"/>
    <xf numFmtId="0" fontId="38" fillId="0" borderId="0"/>
    <xf numFmtId="0" fontId="38" fillId="0" borderId="0"/>
    <xf numFmtId="170" fontId="46" fillId="0" borderId="0"/>
    <xf numFmtId="167" fontId="38" fillId="0" borderId="0"/>
    <xf numFmtId="167" fontId="52" fillId="0" borderId="0"/>
    <xf numFmtId="167" fontId="52" fillId="0" borderId="0"/>
    <xf numFmtId="0" fontId="52" fillId="0" borderId="0"/>
    <xf numFmtId="0" fontId="46" fillId="0" borderId="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53" fillId="0" borderId="0" applyFont="0" applyFill="0" applyBorder="0" applyAlignment="0" applyProtection="0">
      <alignment vertical="center"/>
    </xf>
    <xf numFmtId="167" fontId="54" fillId="0" borderId="0" applyFill="0" applyBorder="0" applyAlignment="0" applyProtection="0"/>
    <xf numFmtId="167" fontId="46" fillId="0" borderId="0"/>
    <xf numFmtId="167" fontId="46" fillId="0" borderId="0"/>
    <xf numFmtId="167" fontId="46" fillId="0" borderId="0"/>
    <xf numFmtId="167" fontId="38" fillId="0" borderId="0"/>
    <xf numFmtId="0" fontId="38" fillId="0" borderId="0"/>
    <xf numFmtId="167" fontId="46" fillId="0" borderId="0"/>
    <xf numFmtId="167" fontId="52" fillId="0" borderId="0"/>
    <xf numFmtId="167" fontId="52" fillId="0" borderId="0"/>
    <xf numFmtId="4" fontId="47" fillId="0" borderId="0">
      <alignment vertical="center"/>
    </xf>
    <xf numFmtId="170" fontId="46" fillId="0" borderId="0"/>
    <xf numFmtId="0" fontId="38" fillId="0" borderId="0"/>
    <xf numFmtId="170" fontId="46" fillId="0" borderId="0"/>
    <xf numFmtId="174"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7" fontId="53" fillId="0" borderId="0" applyFont="0" applyFill="0" applyBorder="0" applyAlignment="0" applyProtection="0">
      <alignment vertical="center"/>
    </xf>
    <xf numFmtId="167" fontId="54" fillId="0" borderId="0" applyFill="0" applyBorder="0" applyAlignment="0" applyProtection="0"/>
    <xf numFmtId="170" fontId="38" fillId="0" borderId="0"/>
    <xf numFmtId="0" fontId="46" fillId="0" borderId="0"/>
    <xf numFmtId="0" fontId="46" fillId="0" borderId="0"/>
    <xf numFmtId="0" fontId="38" fillId="0" borderId="0"/>
    <xf numFmtId="0" fontId="38" fillId="0" borderId="0"/>
    <xf numFmtId="0" fontId="46" fillId="0" borderId="0"/>
    <xf numFmtId="167"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7" fontId="46" fillId="0" borderId="0"/>
    <xf numFmtId="0" fontId="46" fillId="0" borderId="0"/>
    <xf numFmtId="0" fontId="46" fillId="0" borderId="0"/>
    <xf numFmtId="167" fontId="46" fillId="0" borderId="0"/>
    <xf numFmtId="167" fontId="46" fillId="0" borderId="0"/>
    <xf numFmtId="0" fontId="46" fillId="0" borderId="0"/>
    <xf numFmtId="167" fontId="46" fillId="0" borderId="0"/>
    <xf numFmtId="0" fontId="46" fillId="0" borderId="0"/>
    <xf numFmtId="0" fontId="46" fillId="0" borderId="0"/>
    <xf numFmtId="167" fontId="46" fillId="0" borderId="0"/>
    <xf numFmtId="170" fontId="38" fillId="0" borderId="0"/>
    <xf numFmtId="170" fontId="38" fillId="0" borderId="0"/>
    <xf numFmtId="170" fontId="46" fillId="0" borderId="0"/>
    <xf numFmtId="167" fontId="38" fillId="0" borderId="0"/>
    <xf numFmtId="167" fontId="50" fillId="0" borderId="0"/>
    <xf numFmtId="167"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7" fontId="32" fillId="0" borderId="0"/>
    <xf numFmtId="167" fontId="37" fillId="0" borderId="0"/>
    <xf numFmtId="167" fontId="32" fillId="0" borderId="0"/>
    <xf numFmtId="0" fontId="38" fillId="0" borderId="0"/>
    <xf numFmtId="167" fontId="38" fillId="0" borderId="0"/>
    <xf numFmtId="0" fontId="38" fillId="0" borderId="0"/>
    <xf numFmtId="167" fontId="38" fillId="0" borderId="0"/>
    <xf numFmtId="0" fontId="38" fillId="0" borderId="0"/>
    <xf numFmtId="167" fontId="38" fillId="0" borderId="0"/>
    <xf numFmtId="0" fontId="38" fillId="0" borderId="0"/>
    <xf numFmtId="167" fontId="32" fillId="0" borderId="0"/>
    <xf numFmtId="0" fontId="32" fillId="0" borderId="0"/>
    <xf numFmtId="167" fontId="38" fillId="0" borderId="0"/>
    <xf numFmtId="0" fontId="38" fillId="0" borderId="0"/>
    <xf numFmtId="167" fontId="38" fillId="0" borderId="0"/>
    <xf numFmtId="0" fontId="38" fillId="0" borderId="0"/>
    <xf numFmtId="167"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0" fontId="46" fillId="0" borderId="0"/>
    <xf numFmtId="170" fontId="46" fillId="0" borderId="0"/>
    <xf numFmtId="170" fontId="46" fillId="0" borderId="0"/>
    <xf numFmtId="170" fontId="46" fillId="0" borderId="0"/>
    <xf numFmtId="170" fontId="46" fillId="0" borderId="0"/>
    <xf numFmtId="0" fontId="38" fillId="0" borderId="0"/>
    <xf numFmtId="170" fontId="38" fillId="0" borderId="0"/>
    <xf numFmtId="167" fontId="38" fillId="0" borderId="0"/>
    <xf numFmtId="170" fontId="38" fillId="0" borderId="0"/>
    <xf numFmtId="170" fontId="38" fillId="0" borderId="0"/>
    <xf numFmtId="170" fontId="38" fillId="0" borderId="0"/>
    <xf numFmtId="170" fontId="38" fillId="0" borderId="0"/>
    <xf numFmtId="167" fontId="46" fillId="0" borderId="0"/>
    <xf numFmtId="170" fontId="38" fillId="0" borderId="0"/>
    <xf numFmtId="170" fontId="38" fillId="0" borderId="0"/>
    <xf numFmtId="170" fontId="46" fillId="0" borderId="0"/>
    <xf numFmtId="170" fontId="46" fillId="0" borderId="0"/>
    <xf numFmtId="170" fontId="38" fillId="0" borderId="0"/>
    <xf numFmtId="170" fontId="38" fillId="0" borderId="0"/>
    <xf numFmtId="170" fontId="46" fillId="0" borderId="0"/>
    <xf numFmtId="170" fontId="46" fillId="0" borderId="0"/>
    <xf numFmtId="170" fontId="46" fillId="0" borderId="0"/>
    <xf numFmtId="170" fontId="46" fillId="0" borderId="0"/>
    <xf numFmtId="170" fontId="38" fillId="0" borderId="0"/>
    <xf numFmtId="170" fontId="46" fillId="0" borderId="0"/>
    <xf numFmtId="174" fontId="57" fillId="0" borderId="0">
      <alignment vertical="top"/>
    </xf>
    <xf numFmtId="174" fontId="57" fillId="0" borderId="0">
      <alignment vertical="top"/>
    </xf>
    <xf numFmtId="170" fontId="46" fillId="0" borderId="0"/>
    <xf numFmtId="167" fontId="46" fillId="0" borderId="0"/>
    <xf numFmtId="0" fontId="46" fillId="0" borderId="0"/>
    <xf numFmtId="167" fontId="32" fillId="0" borderId="0"/>
    <xf numFmtId="167" fontId="52" fillId="0" borderId="0"/>
    <xf numFmtId="167" fontId="32" fillId="0" borderId="0"/>
    <xf numFmtId="0" fontId="52" fillId="0" borderId="0"/>
    <xf numFmtId="167" fontId="32" fillId="0" borderId="0"/>
    <xf numFmtId="0" fontId="32" fillId="0" borderId="0"/>
    <xf numFmtId="170" fontId="46" fillId="0" borderId="0"/>
    <xf numFmtId="170" fontId="46" fillId="0" borderId="0"/>
    <xf numFmtId="0" fontId="46" fillId="0" borderId="0"/>
    <xf numFmtId="0" fontId="46" fillId="0" borderId="0"/>
    <xf numFmtId="170" fontId="38" fillId="0" borderId="0"/>
    <xf numFmtId="170" fontId="38" fillId="0" borderId="0"/>
    <xf numFmtId="17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0" fontId="46" fillId="0" borderId="0"/>
    <xf numFmtId="170" fontId="46" fillId="0" borderId="0"/>
    <xf numFmtId="167" fontId="46" fillId="0" borderId="0"/>
    <xf numFmtId="0" fontId="38" fillId="0" borderId="0"/>
    <xf numFmtId="170" fontId="38" fillId="0" borderId="0"/>
    <xf numFmtId="0" fontId="46" fillId="0" borderId="0"/>
    <xf numFmtId="170" fontId="38" fillId="0" borderId="0"/>
    <xf numFmtId="167" fontId="46" fillId="0" borderId="0"/>
    <xf numFmtId="0" fontId="46" fillId="0" borderId="0"/>
    <xf numFmtId="167" fontId="38" fillId="0" borderId="0"/>
    <xf numFmtId="167" fontId="50" fillId="0" borderId="0"/>
    <xf numFmtId="170" fontId="46" fillId="0" borderId="0"/>
    <xf numFmtId="167" fontId="52" fillId="0" borderId="0"/>
    <xf numFmtId="0" fontId="38" fillId="0" borderId="0"/>
    <xf numFmtId="170" fontId="38" fillId="0" borderId="0"/>
    <xf numFmtId="170"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0" fontId="38" fillId="0" borderId="0"/>
    <xf numFmtId="0" fontId="38" fillId="0" borderId="0"/>
    <xf numFmtId="4" fontId="47" fillId="0" borderId="0">
      <alignment vertical="center"/>
    </xf>
    <xf numFmtId="0" fontId="46" fillId="0" borderId="0"/>
    <xf numFmtId="0" fontId="46" fillId="0" borderId="0"/>
    <xf numFmtId="167" fontId="46" fillId="0" borderId="0"/>
    <xf numFmtId="0" fontId="38" fillId="0" borderId="0"/>
    <xf numFmtId="170"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7" fontId="52" fillId="0" borderId="0"/>
    <xf numFmtId="170" fontId="46" fillId="0" borderId="0"/>
    <xf numFmtId="167" fontId="52" fillId="0" borderId="0"/>
    <xf numFmtId="170" fontId="38" fillId="0" borderId="0"/>
    <xf numFmtId="167" fontId="46" fillId="0" borderId="0"/>
    <xf numFmtId="0" fontId="46" fillId="0" borderId="0"/>
    <xf numFmtId="167" fontId="52" fillId="0" borderId="0"/>
    <xf numFmtId="167" fontId="32" fillId="0" borderId="0"/>
    <xf numFmtId="167" fontId="52" fillId="0" borderId="0"/>
    <xf numFmtId="167" fontId="32" fillId="0" borderId="0"/>
    <xf numFmtId="0" fontId="52" fillId="0" borderId="0"/>
    <xf numFmtId="167" fontId="32" fillId="0" borderId="0"/>
    <xf numFmtId="0" fontId="32" fillId="0" borderId="0"/>
    <xf numFmtId="167" fontId="52" fillId="0" borderId="0"/>
    <xf numFmtId="167" fontId="46" fillId="0" borderId="0"/>
    <xf numFmtId="0" fontId="46" fillId="0" borderId="0"/>
    <xf numFmtId="167" fontId="46" fillId="0" borderId="0"/>
    <xf numFmtId="0" fontId="46" fillId="0" borderId="0"/>
    <xf numFmtId="167" fontId="46" fillId="0" borderId="0"/>
    <xf numFmtId="0" fontId="46" fillId="0" borderId="0"/>
    <xf numFmtId="0" fontId="38" fillId="0" borderId="0"/>
    <xf numFmtId="167" fontId="46" fillId="0" borderId="0"/>
    <xf numFmtId="167" fontId="46" fillId="0" borderId="0"/>
    <xf numFmtId="167" fontId="52" fillId="0" borderId="0"/>
    <xf numFmtId="167" fontId="46" fillId="0" borderId="0"/>
    <xf numFmtId="170" fontId="38" fillId="0" borderId="0"/>
    <xf numFmtId="170" fontId="38" fillId="0" borderId="0"/>
    <xf numFmtId="170" fontId="38" fillId="0" borderId="0"/>
    <xf numFmtId="170" fontId="38" fillId="0" borderId="0"/>
    <xf numFmtId="170" fontId="38" fillId="0" borderId="0"/>
    <xf numFmtId="167" fontId="52" fillId="0" borderId="0"/>
    <xf numFmtId="170" fontId="46" fillId="0" borderId="0"/>
    <xf numFmtId="170" fontId="46" fillId="0" borderId="0"/>
    <xf numFmtId="170" fontId="46" fillId="0" borderId="0"/>
    <xf numFmtId="170" fontId="38" fillId="0" borderId="0"/>
    <xf numFmtId="0" fontId="46" fillId="0" borderId="0"/>
    <xf numFmtId="0" fontId="46" fillId="0" borderId="0"/>
    <xf numFmtId="0" fontId="46" fillId="0" borderId="0"/>
    <xf numFmtId="167" fontId="54"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67" fontId="46" fillId="0" borderId="0"/>
    <xf numFmtId="167" fontId="52" fillId="0" borderId="0"/>
    <xf numFmtId="170" fontId="46" fillId="0" borderId="0"/>
    <xf numFmtId="167" fontId="32" fillId="0" borderId="0"/>
    <xf numFmtId="167" fontId="52" fillId="0" borderId="0"/>
    <xf numFmtId="167" fontId="32" fillId="0" borderId="0"/>
    <xf numFmtId="0" fontId="52" fillId="0" borderId="0"/>
    <xf numFmtId="167" fontId="32" fillId="0" borderId="0"/>
    <xf numFmtId="0" fontId="32" fillId="0" borderId="0"/>
    <xf numFmtId="0" fontId="46" fillId="0" borderId="0"/>
    <xf numFmtId="170" fontId="38" fillId="0" borderId="0"/>
    <xf numFmtId="179" fontId="37" fillId="11" borderId="0" applyFont="0" applyBorder="0">
      <alignment horizontal="center" vertical="center" shrinkToFit="1"/>
    </xf>
    <xf numFmtId="167" fontId="32" fillId="0" borderId="0"/>
    <xf numFmtId="167" fontId="52" fillId="0" borderId="0"/>
    <xf numFmtId="167" fontId="32" fillId="0" borderId="0"/>
    <xf numFmtId="0" fontId="52" fillId="0" borderId="0"/>
    <xf numFmtId="167"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0" fontId="61" fillId="0" borderId="0">
      <protection locked="0"/>
    </xf>
    <xf numFmtId="181" fontId="61" fillId="0" borderId="0">
      <protection locked="0"/>
    </xf>
    <xf numFmtId="180" fontId="61" fillId="0" borderId="0">
      <protection locked="0"/>
    </xf>
    <xf numFmtId="182" fontId="61" fillId="0" borderId="0">
      <protection locked="0"/>
    </xf>
    <xf numFmtId="181" fontId="61" fillId="0" borderId="0">
      <protection locked="0"/>
    </xf>
    <xf numFmtId="182" fontId="61" fillId="0" borderId="0">
      <protection locked="0"/>
    </xf>
    <xf numFmtId="0" fontId="45" fillId="0" borderId="0">
      <protection locked="0"/>
    </xf>
    <xf numFmtId="183" fontId="61" fillId="0" borderId="0">
      <protection locked="0"/>
    </xf>
    <xf numFmtId="182" fontId="61" fillId="0" borderId="0">
      <protection locked="0"/>
    </xf>
    <xf numFmtId="0" fontId="45" fillId="0" borderId="0">
      <protection locked="0"/>
    </xf>
    <xf numFmtId="167" fontId="45" fillId="0" borderId="0">
      <protection locked="0"/>
    </xf>
    <xf numFmtId="184" fontId="62" fillId="0" borderId="0" applyFont="0" applyFill="0" applyBorder="0" applyAlignment="0" applyProtection="0"/>
    <xf numFmtId="167" fontId="63" fillId="0" borderId="0"/>
    <xf numFmtId="185" fontId="62" fillId="0" borderId="0" applyFont="0" applyFill="0" applyBorder="0" applyAlignment="0" applyProtection="0"/>
    <xf numFmtId="186" fontId="61" fillId="0" borderId="28">
      <protection locked="0"/>
    </xf>
    <xf numFmtId="0" fontId="45" fillId="0" borderId="24">
      <protection locked="0"/>
    </xf>
    <xf numFmtId="0" fontId="45" fillId="0" borderId="24">
      <protection locked="0"/>
    </xf>
    <xf numFmtId="167" fontId="37" fillId="0" borderId="0"/>
    <xf numFmtId="167" fontId="37" fillId="0" borderId="0"/>
    <xf numFmtId="167" fontId="37" fillId="0" borderId="0"/>
    <xf numFmtId="167" fontId="53" fillId="0" borderId="0">
      <alignment vertical="center"/>
    </xf>
    <xf numFmtId="167" fontId="64" fillId="0" borderId="0">
      <alignment vertical="center"/>
    </xf>
    <xf numFmtId="167" fontId="53" fillId="0" borderId="0">
      <alignment vertical="center"/>
    </xf>
    <xf numFmtId="0" fontId="65" fillId="0" borderId="0">
      <protection locked="0"/>
    </xf>
    <xf numFmtId="0" fontId="65" fillId="0" borderId="0">
      <protection locked="0"/>
    </xf>
    <xf numFmtId="186" fontId="66" fillId="0" borderId="0">
      <protection locked="0"/>
    </xf>
    <xf numFmtId="167" fontId="66" fillId="0" borderId="0">
      <protection locked="0"/>
    </xf>
    <xf numFmtId="186" fontId="66" fillId="0" borderId="0">
      <protection locked="0"/>
    </xf>
    <xf numFmtId="167" fontId="66" fillId="0" borderId="0">
      <protection locked="0"/>
    </xf>
    <xf numFmtId="0" fontId="67" fillId="0" borderId="0"/>
    <xf numFmtId="186" fontId="61" fillId="0" borderId="28">
      <protection locked="0"/>
    </xf>
    <xf numFmtId="167" fontId="61" fillId="0" borderId="28">
      <protection locked="0"/>
    </xf>
    <xf numFmtId="0" fontId="45" fillId="0" borderId="0">
      <protection locked="0"/>
    </xf>
    <xf numFmtId="0" fontId="45" fillId="0" borderId="0">
      <protection locked="0"/>
    </xf>
    <xf numFmtId="0" fontId="45"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61" fillId="0" borderId="0">
      <protection locked="0"/>
    </xf>
    <xf numFmtId="0" fontId="61" fillId="0" borderId="28">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7" fontId="32"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8" fontId="67" fillId="0" borderId="0">
      <alignment horizontal="center"/>
    </xf>
    <xf numFmtId="189" fontId="68" fillId="0" borderId="29" applyFont="0" applyFill="0" applyBorder="0" applyAlignment="0" applyProtection="0">
      <alignment horizontal="right"/>
    </xf>
    <xf numFmtId="9" fontId="32" fillId="0" borderId="0"/>
    <xf numFmtId="9" fontId="52" fillId="0" borderId="0"/>
    <xf numFmtId="9" fontId="32" fillId="0" borderId="0"/>
    <xf numFmtId="167" fontId="63" fillId="0" borderId="0"/>
    <xf numFmtId="167" fontId="69" fillId="0" borderId="0"/>
    <xf numFmtId="190" fontId="70" fillId="0" borderId="0" applyFont="0" applyAlignment="0" applyProtection="0">
      <protection locked="0" hidden="1"/>
    </xf>
    <xf numFmtId="167" fontId="71" fillId="0" borderId="0"/>
    <xf numFmtId="167" fontId="69" fillId="0" borderId="0"/>
    <xf numFmtId="167" fontId="72" fillId="12" borderId="0"/>
    <xf numFmtId="167" fontId="72" fillId="12" borderId="0"/>
    <xf numFmtId="167" fontId="72" fillId="12" borderId="0"/>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167"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7" fontId="74" fillId="13" borderId="0" applyNumberFormat="0" applyFill="0" applyBorder="0" applyAlignment="0"/>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167"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7" fontId="76" fillId="15" borderId="0" applyNumberFormat="0" applyFill="0" applyBorder="0" applyAlignment="0"/>
    <xf numFmtId="167" fontId="77" fillId="0" borderId="0" applyNumberFormat="0" applyFill="0" applyBorder="0" applyAlignment="0"/>
    <xf numFmtId="167" fontId="78" fillId="0" borderId="7" applyNumberFormat="0" applyFill="0" applyBorder="0" applyAlignment="0">
      <alignment horizontal="left"/>
    </xf>
    <xf numFmtId="167" fontId="79" fillId="16" borderId="21" applyNumberFormat="0" applyFill="0" applyBorder="0" applyAlignment="0">
      <alignment horizontal="centerContinuous"/>
    </xf>
    <xf numFmtId="167" fontId="80" fillId="0" borderId="0" applyNumberFormat="0" applyFill="0" applyBorder="0" applyAlignment="0"/>
    <xf numFmtId="167" fontId="80" fillId="17" borderId="30" applyNumberFormat="0" applyFill="0" applyBorder="0" applyAlignment="0"/>
    <xf numFmtId="0" fontId="80" fillId="17" borderId="30" applyNumberFormat="0" applyFill="0" applyBorder="0" applyAlignment="0"/>
    <xf numFmtId="0" fontId="80" fillId="17" borderId="30" applyNumberFormat="0" applyFill="0" applyBorder="0" applyAlignment="0"/>
    <xf numFmtId="167" fontId="81" fillId="0" borderId="7" applyNumberFormat="0" applyFill="0" applyBorder="0" applyAlignment="0"/>
    <xf numFmtId="167" fontId="80" fillId="0" borderId="0" applyNumberFormat="0" applyFill="0" applyBorder="0" applyAlignment="0"/>
    <xf numFmtId="0" fontId="8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4" fillId="5"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0" fontId="84" fillId="5" borderId="0" applyNumberFormat="0" applyBorder="0" applyAlignment="0" applyProtection="0"/>
    <xf numFmtId="167" fontId="83" fillId="18" borderId="0" applyNumberFormat="0" applyBorder="0" applyAlignment="0" applyProtection="0"/>
    <xf numFmtId="167" fontId="3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2"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0" fontId="82"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2"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0" fontId="82"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2"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0" fontId="8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0" fontId="82"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2"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2"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2"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18" borderId="0" applyNumberFormat="0" applyBorder="0" applyAlignment="0" applyProtection="0"/>
    <xf numFmtId="167" fontId="82" fillId="24" borderId="0" applyNumberFormat="0" applyBorder="0" applyAlignment="0" applyProtection="0"/>
    <xf numFmtId="167" fontId="82" fillId="24" borderId="0" applyNumberFormat="0" applyBorder="0" applyAlignment="0" applyProtection="0"/>
    <xf numFmtId="167" fontId="82" fillId="18" borderId="0" applyNumberFormat="0" applyBorder="0" applyAlignment="0" applyProtection="0"/>
    <xf numFmtId="0" fontId="82" fillId="18" borderId="0" applyNumberFormat="0" applyBorder="0" applyAlignment="0" applyProtection="0"/>
    <xf numFmtId="167" fontId="82" fillId="18" borderId="0" applyNumberFormat="0" applyBorder="0" applyAlignment="0" applyProtection="0"/>
    <xf numFmtId="167" fontId="8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8" borderId="0" applyNumberFormat="0" applyBorder="0" applyAlignment="0" applyProtection="0"/>
    <xf numFmtId="167"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19"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82" fillId="19" borderId="0" applyNumberFormat="0" applyBorder="0" applyAlignment="0" applyProtection="0"/>
    <xf numFmtId="0" fontId="82" fillId="19" borderId="0" applyNumberFormat="0" applyBorder="0" applyAlignment="0" applyProtection="0"/>
    <xf numFmtId="167" fontId="82" fillId="19" borderId="0" applyNumberFormat="0" applyBorder="0" applyAlignment="0" applyProtection="0"/>
    <xf numFmtId="167" fontId="8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0"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0" borderId="0" applyNumberFormat="0" applyBorder="0" applyAlignment="0" applyProtection="0"/>
    <xf numFmtId="0" fontId="82" fillId="20" borderId="0" applyNumberFormat="0" applyBorder="0" applyAlignment="0" applyProtection="0"/>
    <xf numFmtId="167" fontId="82" fillId="20" borderId="0" applyNumberFormat="0" applyBorder="0" applyAlignment="0" applyProtection="0"/>
    <xf numFmtId="167" fontId="8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0" borderId="0" applyNumberFormat="0" applyBorder="0" applyAlignment="0" applyProtection="0"/>
    <xf numFmtId="167"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1" borderId="0" applyNumberFormat="0" applyBorder="0" applyAlignment="0" applyProtection="0"/>
    <xf numFmtId="167" fontId="82" fillId="27" borderId="0" applyNumberFormat="0" applyBorder="0" applyAlignment="0" applyProtection="0"/>
    <xf numFmtId="167" fontId="82" fillId="27" borderId="0" applyNumberFormat="0" applyBorder="0" applyAlignment="0" applyProtection="0"/>
    <xf numFmtId="167" fontId="82" fillId="21" borderId="0" applyNumberFormat="0" applyBorder="0" applyAlignment="0" applyProtection="0"/>
    <xf numFmtId="0" fontId="82" fillId="21" borderId="0" applyNumberFormat="0" applyBorder="0" applyAlignment="0" applyProtection="0"/>
    <xf numFmtId="167" fontId="82" fillId="21" borderId="0" applyNumberFormat="0" applyBorder="0" applyAlignment="0" applyProtection="0"/>
    <xf numFmtId="167" fontId="8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0" fontId="85" fillId="28"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0"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2" borderId="0" applyNumberFormat="0" applyBorder="0" applyAlignment="0" applyProtection="0"/>
    <xf numFmtId="167"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3" borderId="0" applyNumberFormat="0" applyBorder="0" applyAlignment="0" applyProtection="0"/>
    <xf numFmtId="167" fontId="82" fillId="29" borderId="0" applyNumberFormat="0" applyBorder="0" applyAlignment="0" applyProtection="0"/>
    <xf numFmtId="167" fontId="82" fillId="29" borderId="0" applyNumberFormat="0" applyBorder="0" applyAlignment="0" applyProtection="0"/>
    <xf numFmtId="167" fontId="82" fillId="23" borderId="0" applyNumberFormat="0" applyBorder="0" applyAlignment="0" applyProtection="0"/>
    <xf numFmtId="0" fontId="82" fillId="23" borderId="0" applyNumberFormat="0" applyBorder="0" applyAlignment="0" applyProtection="0"/>
    <xf numFmtId="167" fontId="82" fillId="23" borderId="0" applyNumberFormat="0" applyBorder="0" applyAlignment="0" applyProtection="0"/>
    <xf numFmtId="167" fontId="8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2" fillId="23" borderId="0" applyNumberFormat="0" applyBorder="0" applyAlignment="0" applyProtection="0"/>
    <xf numFmtId="167" fontId="37" fillId="18" borderId="0" applyNumberFormat="0" applyBorder="0" applyAlignment="0" applyProtection="0">
      <alignment vertical="center"/>
    </xf>
    <xf numFmtId="0" fontId="37" fillId="18" borderId="0" applyNumberFormat="0" applyBorder="0" applyAlignment="0" applyProtection="0">
      <alignment vertical="center"/>
    </xf>
    <xf numFmtId="167" fontId="37" fillId="19" borderId="0" applyNumberFormat="0" applyBorder="0" applyAlignment="0" applyProtection="0">
      <alignment vertical="center"/>
    </xf>
    <xf numFmtId="0" fontId="37" fillId="19" borderId="0" applyNumberFormat="0" applyBorder="0" applyAlignment="0" applyProtection="0">
      <alignment vertical="center"/>
    </xf>
    <xf numFmtId="167" fontId="37" fillId="20" borderId="0" applyNumberFormat="0" applyBorder="0" applyAlignment="0" applyProtection="0">
      <alignment vertical="center"/>
    </xf>
    <xf numFmtId="0" fontId="37" fillId="20" borderId="0" applyNumberFormat="0" applyBorder="0" applyAlignment="0" applyProtection="0">
      <alignment vertical="center"/>
    </xf>
    <xf numFmtId="167" fontId="37" fillId="21" borderId="0" applyNumberFormat="0" applyBorder="0" applyAlignment="0" applyProtection="0">
      <alignment vertical="center"/>
    </xf>
    <xf numFmtId="0" fontId="37" fillId="21" borderId="0" applyNumberFormat="0" applyBorder="0" applyAlignment="0" applyProtection="0">
      <alignment vertical="center"/>
    </xf>
    <xf numFmtId="167" fontId="37" fillId="22" borderId="0" applyNumberFormat="0" applyBorder="0" applyAlignment="0" applyProtection="0">
      <alignment vertical="center"/>
    </xf>
    <xf numFmtId="0" fontId="37" fillId="22" borderId="0" applyNumberFormat="0" applyBorder="0" applyAlignment="0" applyProtection="0">
      <alignment vertical="center"/>
    </xf>
    <xf numFmtId="167" fontId="37" fillId="23" borderId="0" applyNumberFormat="0" applyBorder="0" applyAlignment="0" applyProtection="0">
      <alignment vertical="center"/>
    </xf>
    <xf numFmtId="0" fontId="37" fillId="23" borderId="0" applyNumberFormat="0" applyBorder="0" applyAlignment="0" applyProtection="0">
      <alignment vertical="center"/>
    </xf>
    <xf numFmtId="191" fontId="70" fillId="0" borderId="0" applyFill="0" applyBorder="0" applyProtection="0">
      <alignment horizontal="right"/>
    </xf>
    <xf numFmtId="167" fontId="63" fillId="0" borderId="0"/>
    <xf numFmtId="167" fontId="69" fillId="0" borderId="0"/>
    <xf numFmtId="167" fontId="63" fillId="0" borderId="0"/>
    <xf numFmtId="0" fontId="8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0" fontId="82"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2"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0" fontId="82"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2"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0" fontId="8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2"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0" fontId="8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2"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0" fontId="82"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2"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0" fontId="82" fillId="30" borderId="0" applyNumberFormat="0" applyBorder="0" applyAlignment="0" applyProtection="0"/>
    <xf numFmtId="167" fontId="82" fillId="30" borderId="0" applyNumberFormat="0" applyBorder="0" applyAlignment="0" applyProtection="0"/>
    <xf numFmtId="167" fontId="8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25" borderId="0" applyNumberFormat="0" applyBorder="0" applyAlignment="0" applyProtection="0"/>
    <xf numFmtId="167" fontId="82" fillId="32" borderId="0" applyNumberFormat="0" applyBorder="0" applyAlignment="0" applyProtection="0"/>
    <xf numFmtId="167" fontId="82" fillId="32" borderId="0" applyNumberFormat="0" applyBorder="0" applyAlignment="0" applyProtection="0"/>
    <xf numFmtId="167" fontId="82" fillId="25" borderId="0" applyNumberFormat="0" applyBorder="0" applyAlignment="0" applyProtection="0"/>
    <xf numFmtId="0" fontId="82" fillId="25" borderId="0" applyNumberFormat="0" applyBorder="0" applyAlignment="0" applyProtection="0"/>
    <xf numFmtId="167" fontId="82" fillId="25" borderId="0" applyNumberFormat="0" applyBorder="0" applyAlignment="0" applyProtection="0"/>
    <xf numFmtId="167" fontId="8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31"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82" fillId="31" borderId="0" applyNumberFormat="0" applyBorder="0" applyAlignment="0" applyProtection="0"/>
    <xf numFmtId="0" fontId="82" fillId="31" borderId="0" applyNumberFormat="0" applyBorder="0" applyAlignment="0" applyProtection="0"/>
    <xf numFmtId="167" fontId="82" fillId="31" borderId="0" applyNumberFormat="0" applyBorder="0" applyAlignment="0" applyProtection="0"/>
    <xf numFmtId="167" fontId="8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21" borderId="0" applyNumberFormat="0" applyBorder="0" applyAlignment="0" applyProtection="0"/>
    <xf numFmtId="167" fontId="82" fillId="33" borderId="0" applyNumberFormat="0" applyBorder="0" applyAlignment="0" applyProtection="0"/>
    <xf numFmtId="167" fontId="82" fillId="33" borderId="0" applyNumberFormat="0" applyBorder="0" applyAlignment="0" applyProtection="0"/>
    <xf numFmtId="167" fontId="82" fillId="21" borderId="0" applyNumberFormat="0" applyBorder="0" applyAlignment="0" applyProtection="0"/>
    <xf numFmtId="0" fontId="82" fillId="21" borderId="0" applyNumberFormat="0" applyBorder="0" applyAlignment="0" applyProtection="0"/>
    <xf numFmtId="167" fontId="82" fillId="21" borderId="0" applyNumberFormat="0" applyBorder="0" applyAlignment="0" applyProtection="0"/>
    <xf numFmtId="167" fontId="8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21" borderId="0" applyNumberFormat="0" applyBorder="0" applyAlignment="0" applyProtection="0"/>
    <xf numFmtId="167"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167" fontId="82" fillId="22" borderId="0" applyNumberFormat="0" applyBorder="0" applyAlignment="0" applyProtection="0"/>
    <xf numFmtId="167" fontId="82" fillId="22" borderId="0" applyNumberFormat="0" applyBorder="0" applyAlignment="0" applyProtection="0"/>
    <xf numFmtId="167" fontId="82" fillId="30" borderId="0" applyNumberFormat="0" applyBorder="0" applyAlignment="0" applyProtection="0"/>
    <xf numFmtId="0" fontId="82" fillId="30" borderId="0" applyNumberFormat="0" applyBorder="0" applyAlignment="0" applyProtection="0"/>
    <xf numFmtId="167" fontId="82" fillId="30" borderId="0" applyNumberFormat="0" applyBorder="0" applyAlignment="0" applyProtection="0"/>
    <xf numFmtId="167" fontId="8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30" borderId="0" applyNumberFormat="0" applyBorder="0" applyAlignment="0" applyProtection="0"/>
    <xf numFmtId="167"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26" borderId="0" applyNumberFormat="0" applyBorder="0" applyAlignment="0" applyProtection="0"/>
    <xf numFmtId="167" fontId="82" fillId="34" borderId="0" applyNumberFormat="0" applyBorder="0" applyAlignment="0" applyProtection="0"/>
    <xf numFmtId="167" fontId="82" fillId="34" borderId="0" applyNumberFormat="0" applyBorder="0" applyAlignment="0" applyProtection="0"/>
    <xf numFmtId="167" fontId="82" fillId="26" borderId="0" applyNumberFormat="0" applyBorder="0" applyAlignment="0" applyProtection="0"/>
    <xf numFmtId="0" fontId="82" fillId="26" borderId="0" applyNumberFormat="0" applyBorder="0" applyAlignment="0" applyProtection="0"/>
    <xf numFmtId="167" fontId="82" fillId="26" borderId="0" applyNumberFormat="0" applyBorder="0" applyAlignment="0" applyProtection="0"/>
    <xf numFmtId="167" fontId="8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2" fillId="26" borderId="0" applyNumberFormat="0" applyBorder="0" applyAlignment="0" applyProtection="0"/>
    <xf numFmtId="167" fontId="37" fillId="30" borderId="0" applyNumberFormat="0" applyBorder="0" applyAlignment="0" applyProtection="0">
      <alignment vertical="center"/>
    </xf>
    <xf numFmtId="0" fontId="37" fillId="30" borderId="0" applyNumberFormat="0" applyBorder="0" applyAlignment="0" applyProtection="0">
      <alignment vertical="center"/>
    </xf>
    <xf numFmtId="167" fontId="37" fillId="25" borderId="0" applyNumberFormat="0" applyBorder="0" applyAlignment="0" applyProtection="0">
      <alignment vertical="center"/>
    </xf>
    <xf numFmtId="0" fontId="37" fillId="25" borderId="0" applyNumberFormat="0" applyBorder="0" applyAlignment="0" applyProtection="0">
      <alignment vertical="center"/>
    </xf>
    <xf numFmtId="167" fontId="37" fillId="31" borderId="0" applyNumberFormat="0" applyBorder="0" applyAlignment="0" applyProtection="0">
      <alignment vertical="center"/>
    </xf>
    <xf numFmtId="0" fontId="37" fillId="31" borderId="0" applyNumberFormat="0" applyBorder="0" applyAlignment="0" applyProtection="0">
      <alignment vertical="center"/>
    </xf>
    <xf numFmtId="167" fontId="37" fillId="21" borderId="0" applyNumberFormat="0" applyBorder="0" applyAlignment="0" applyProtection="0">
      <alignment vertical="center"/>
    </xf>
    <xf numFmtId="0" fontId="37" fillId="21" borderId="0" applyNumberFormat="0" applyBorder="0" applyAlignment="0" applyProtection="0">
      <alignment vertical="center"/>
    </xf>
    <xf numFmtId="167" fontId="37" fillId="30" borderId="0" applyNumberFormat="0" applyBorder="0" applyAlignment="0" applyProtection="0">
      <alignment vertical="center"/>
    </xf>
    <xf numFmtId="0" fontId="37" fillId="30" borderId="0" applyNumberFormat="0" applyBorder="0" applyAlignment="0" applyProtection="0">
      <alignment vertical="center"/>
    </xf>
    <xf numFmtId="167"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2"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0" fontId="86"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2"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0" fontId="86"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2"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0" fontId="86"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2"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0" fontId="86"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2"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0" fontId="86"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2"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5"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5" borderId="0" applyNumberFormat="0" applyBorder="0" applyAlignment="0" applyProtection="0"/>
    <xf numFmtId="0" fontId="86" fillId="35" borderId="0" applyNumberFormat="0" applyBorder="0" applyAlignment="0" applyProtection="0"/>
    <xf numFmtId="167" fontId="86" fillId="35" borderId="0" applyNumberFormat="0" applyBorder="0" applyAlignment="0" applyProtection="0"/>
    <xf numFmtId="167" fontId="86"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35" borderId="0" applyNumberFormat="0" applyBorder="0" applyAlignment="0" applyProtection="0"/>
    <xf numFmtId="167"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25"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25" borderId="0" applyNumberFormat="0" applyBorder="0" applyAlignment="0" applyProtection="0"/>
    <xf numFmtId="0"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25" borderId="0" applyNumberFormat="0" applyBorder="0" applyAlignment="0" applyProtection="0"/>
    <xf numFmtId="167"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31" borderId="0" applyNumberFormat="0" applyBorder="0" applyAlignment="0" applyProtection="0"/>
    <xf numFmtId="167" fontId="86" fillId="26" borderId="0" applyNumberFormat="0" applyBorder="0" applyAlignment="0" applyProtection="0"/>
    <xf numFmtId="167" fontId="86" fillId="26" borderId="0" applyNumberFormat="0" applyBorder="0" applyAlignment="0" applyProtection="0"/>
    <xf numFmtId="167" fontId="86" fillId="31" borderId="0" applyNumberFormat="0" applyBorder="0" applyAlignment="0" applyProtection="0"/>
    <xf numFmtId="0" fontId="86" fillId="31" borderId="0" applyNumberFormat="0" applyBorder="0" applyAlignment="0" applyProtection="0"/>
    <xf numFmtId="167" fontId="86" fillId="31" borderId="0" applyNumberFormat="0" applyBorder="0" applyAlignment="0" applyProtection="0"/>
    <xf numFmtId="167" fontId="86"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1" borderId="0" applyNumberFormat="0" applyBorder="0" applyAlignment="0" applyProtection="0"/>
    <xf numFmtId="167"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6" borderId="0" applyNumberFormat="0" applyBorder="0" applyAlignment="0" applyProtection="0"/>
    <xf numFmtId="167" fontId="86" fillId="38" borderId="0" applyNumberFormat="0" applyBorder="0" applyAlignment="0" applyProtection="0"/>
    <xf numFmtId="167" fontId="86" fillId="38" borderId="0" applyNumberFormat="0" applyBorder="0" applyAlignment="0" applyProtection="0"/>
    <xf numFmtId="167" fontId="86" fillId="36" borderId="0" applyNumberFormat="0" applyBorder="0" applyAlignment="0" applyProtection="0"/>
    <xf numFmtId="0" fontId="86" fillId="36"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7" borderId="0" applyNumberFormat="0" applyBorder="0" applyAlignment="0" applyProtection="0"/>
    <xf numFmtId="167" fontId="86" fillId="22" borderId="0" applyNumberFormat="0" applyBorder="0" applyAlignment="0" applyProtection="0"/>
    <xf numFmtId="167" fontId="86" fillId="22" borderId="0" applyNumberFormat="0" applyBorder="0" applyAlignment="0" applyProtection="0"/>
    <xf numFmtId="167" fontId="86" fillId="37" borderId="0" applyNumberFormat="0" applyBorder="0" applyAlignment="0" applyProtection="0"/>
    <xf numFmtId="0" fontId="86" fillId="37"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4" borderId="0" applyNumberFormat="0" applyBorder="0" applyAlignment="0" applyProtection="0"/>
    <xf numFmtId="167" fontId="86" fillId="25" borderId="0" applyNumberFormat="0" applyBorder="0" applyAlignment="0" applyProtection="0"/>
    <xf numFmtId="167" fontId="86" fillId="25" borderId="0" applyNumberFormat="0" applyBorder="0" applyAlignment="0" applyProtection="0"/>
    <xf numFmtId="167" fontId="86" fillId="24" borderId="0" applyNumberFormat="0" applyBorder="0" applyAlignment="0" applyProtection="0"/>
    <xf numFmtId="0" fontId="86" fillId="24" borderId="0" applyNumberFormat="0" applyBorder="0" applyAlignment="0" applyProtection="0"/>
    <xf numFmtId="167" fontId="86" fillId="24" borderId="0" applyNumberFormat="0" applyBorder="0" applyAlignment="0" applyProtection="0"/>
    <xf numFmtId="167" fontId="86"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2" fillId="24" borderId="0" applyNumberFormat="0" applyBorder="0" applyAlignment="0" applyProtection="0"/>
    <xf numFmtId="167" fontId="37" fillId="35" borderId="0" applyNumberFormat="0" applyBorder="0" applyAlignment="0" applyProtection="0">
      <alignment vertical="center"/>
    </xf>
    <xf numFmtId="0" fontId="37" fillId="35" borderId="0" applyNumberFormat="0" applyBorder="0" applyAlignment="0" applyProtection="0">
      <alignment vertical="center"/>
    </xf>
    <xf numFmtId="167" fontId="37" fillId="25" borderId="0" applyNumberFormat="0" applyBorder="0" applyAlignment="0" applyProtection="0">
      <alignment vertical="center"/>
    </xf>
    <xf numFmtId="0" fontId="37" fillId="25" borderId="0" applyNumberFormat="0" applyBorder="0" applyAlignment="0" applyProtection="0">
      <alignment vertical="center"/>
    </xf>
    <xf numFmtId="167" fontId="37" fillId="31" borderId="0" applyNumberFormat="0" applyBorder="0" applyAlignment="0" applyProtection="0">
      <alignment vertical="center"/>
    </xf>
    <xf numFmtId="0" fontId="37" fillId="31" borderId="0" applyNumberFormat="0" applyBorder="0" applyAlignment="0" applyProtection="0">
      <alignment vertical="center"/>
    </xf>
    <xf numFmtId="167" fontId="37" fillId="36" borderId="0" applyNumberFormat="0" applyBorder="0" applyAlignment="0" applyProtection="0">
      <alignment vertical="center"/>
    </xf>
    <xf numFmtId="0" fontId="37" fillId="36" borderId="0" applyNumberFormat="0" applyBorder="0" applyAlignment="0" applyProtection="0">
      <alignment vertical="center"/>
    </xf>
    <xf numFmtId="167" fontId="37" fillId="37" borderId="0" applyNumberFormat="0" applyBorder="0" applyAlignment="0" applyProtection="0">
      <alignment vertical="center"/>
    </xf>
    <xf numFmtId="0" fontId="37" fillId="37" borderId="0" applyNumberFormat="0" applyBorder="0" applyAlignment="0" applyProtection="0">
      <alignment vertical="center"/>
    </xf>
    <xf numFmtId="167" fontId="37" fillId="24" borderId="0" applyNumberFormat="0" applyBorder="0" applyAlignment="0" applyProtection="0">
      <alignment vertical="center"/>
    </xf>
    <xf numFmtId="0" fontId="37" fillId="24" borderId="0" applyNumberFormat="0" applyBorder="0" applyAlignment="0" applyProtection="0">
      <alignment vertical="center"/>
    </xf>
    <xf numFmtId="192" fontId="88" fillId="0" borderId="0" applyFont="0" applyFill="0" applyBorder="0">
      <alignment horizontal="center"/>
    </xf>
    <xf numFmtId="167" fontId="89" fillId="0" borderId="0">
      <alignment horizontal="right"/>
    </xf>
    <xf numFmtId="193" fontId="37" fillId="0" borderId="0" applyFont="0" applyFill="0" applyBorder="0" applyAlignment="0" applyProtection="0"/>
    <xf numFmtId="194" fontId="37" fillId="0" borderId="0" applyFont="0" applyFill="0" applyBorder="0" applyAlignment="0" applyProtection="0"/>
    <xf numFmtId="193" fontId="37" fillId="0" borderId="0" applyFont="0" applyFill="0" applyBorder="0" applyAlignment="0" applyProtection="0"/>
    <xf numFmtId="194" fontId="37" fillId="0" borderId="0" applyFont="0" applyFill="0" applyBorder="0" applyAlignment="0" applyProtection="0"/>
    <xf numFmtId="0" fontId="86" fillId="39" borderId="0" applyNumberFormat="0" applyBorder="0" applyAlignment="0" applyProtection="0"/>
    <xf numFmtId="167" fontId="83" fillId="40" borderId="0" applyNumberFormat="0" applyBorder="0" applyAlignment="0" applyProtection="0"/>
    <xf numFmtId="167" fontId="83" fillId="40" borderId="0" applyNumberFormat="0" applyBorder="0" applyAlignment="0" applyProtection="0"/>
    <xf numFmtId="167" fontId="87" fillId="4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2"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7" fontId="83" fillId="43" borderId="0" applyNumberFormat="0" applyBorder="0" applyAlignment="0" applyProtection="0"/>
    <xf numFmtId="167" fontId="83" fillId="44" borderId="0" applyNumberFormat="0" applyBorder="0" applyAlignment="0" applyProtection="0"/>
    <xf numFmtId="167" fontId="87" fillId="45"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2"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7" fontId="83" fillId="43" borderId="0" applyNumberFormat="0" applyBorder="0" applyAlignment="0" applyProtection="0"/>
    <xf numFmtId="167" fontId="83" fillId="47" borderId="0" applyNumberFormat="0" applyBorder="0" applyAlignment="0" applyProtection="0"/>
    <xf numFmtId="167" fontId="87" fillId="44"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2"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7" fontId="83" fillId="40" borderId="0" applyNumberFormat="0" applyBorder="0" applyAlignment="0" applyProtection="0"/>
    <xf numFmtId="167" fontId="83" fillId="44" borderId="0" applyNumberFormat="0" applyBorder="0" applyAlignment="0" applyProtection="0"/>
    <xf numFmtId="167" fontId="87" fillId="44"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2"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7" fontId="83" fillId="48" borderId="0" applyNumberFormat="0" applyBorder="0" applyAlignment="0" applyProtection="0"/>
    <xf numFmtId="167" fontId="83" fillId="40" borderId="0" applyNumberFormat="0" applyBorder="0" applyAlignment="0" applyProtection="0"/>
    <xf numFmtId="167" fontId="87" fillId="4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2"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7" fontId="83" fillId="43" borderId="0" applyNumberFormat="0" applyBorder="0" applyAlignment="0" applyProtection="0"/>
    <xf numFmtId="167" fontId="83" fillId="50" borderId="0" applyNumberFormat="0" applyBorder="0" applyAlignment="0" applyProtection="0"/>
    <xf numFmtId="167" fontId="87" fillId="50"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2"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0" fontId="86" fillId="49" borderId="0" applyNumberFormat="0" applyBorder="0" applyAlignment="0" applyProtection="0"/>
    <xf numFmtId="195" fontId="90" fillId="51" borderId="0">
      <alignment horizontal="center" vertical="center"/>
    </xf>
    <xf numFmtId="196" fontId="91" fillId="0" borderId="31" applyFont="0" applyFill="0">
      <alignment horizontal="right" vertical="center"/>
      <protection locked="0"/>
    </xf>
    <xf numFmtId="197" fontId="37" fillId="0" borderId="0" applyFont="0" applyFill="0" applyBorder="0" applyProtection="0"/>
    <xf numFmtId="0" fontId="92" fillId="0" borderId="0" applyNumberFormat="0" applyFill="0" applyBorder="0" applyAlignment="0" applyProtection="0">
      <alignment vertical="top"/>
      <protection locked="0"/>
    </xf>
    <xf numFmtId="198" fontId="62" fillId="0" borderId="0" applyFont="0" applyFill="0" applyBorder="0" applyAlignment="0" applyProtection="0"/>
    <xf numFmtId="178" fontId="93" fillId="0" borderId="0" applyFont="0" applyFill="0" applyBorder="0" applyAlignment="0" applyProtection="0"/>
    <xf numFmtId="178" fontId="94" fillId="0" borderId="0" applyFont="0" applyFill="0" applyBorder="0" applyAlignment="0" applyProtection="0"/>
    <xf numFmtId="199" fontId="62" fillId="0" borderId="0" applyFont="0" applyFill="0" applyBorder="0" applyAlignment="0" applyProtection="0"/>
    <xf numFmtId="178" fontId="93" fillId="0" borderId="0" applyFont="0" applyFill="0" applyBorder="0" applyAlignment="0" applyProtection="0"/>
    <xf numFmtId="178" fontId="94" fillId="0" borderId="0" applyFont="0" applyFill="0" applyBorder="0" applyAlignment="0" applyProtection="0"/>
    <xf numFmtId="167" fontId="95" fillId="0" borderId="0" applyNumberFormat="0" applyFill="0" applyBorder="0" applyAlignment="0" applyProtection="0">
      <alignment vertical="top"/>
      <protection locked="0"/>
    </xf>
    <xf numFmtId="167" fontId="40" fillId="0" borderId="0"/>
    <xf numFmtId="200" fontId="54" fillId="0" borderId="32">
      <protection locked="0"/>
    </xf>
    <xf numFmtId="201" fontId="32" fillId="0" borderId="0" applyFont="0" applyFill="0" applyBorder="0" applyAlignment="0" applyProtection="0"/>
    <xf numFmtId="202" fontId="32" fillId="0" borderId="0" applyFont="0" applyFill="0" applyBorder="0" applyAlignment="0" applyProtection="0"/>
    <xf numFmtId="203" fontId="96" fillId="0" borderId="0">
      <alignment horizontal="left"/>
    </xf>
    <xf numFmtId="203" fontId="96" fillId="0" borderId="0">
      <alignment horizontal="left"/>
    </xf>
    <xf numFmtId="203" fontId="96" fillId="0" borderId="0">
      <alignment horizontal="left"/>
    </xf>
    <xf numFmtId="39" fontId="97" fillId="0" borderId="0" applyFont="0" applyFill="0">
      <alignment vertical="center"/>
    </xf>
    <xf numFmtId="204" fontId="67" fillId="0" borderId="0"/>
    <xf numFmtId="0" fontId="98" fillId="0" borderId="0">
      <alignment horizontal="right"/>
    </xf>
    <xf numFmtId="196" fontId="91" fillId="0" borderId="0" applyFont="0" applyBorder="0" applyProtection="0">
      <alignment vertical="center"/>
    </xf>
    <xf numFmtId="195" fontId="37" fillId="0" borderId="0" applyNumberFormat="0" applyFont="0" applyAlignment="0">
      <alignment horizontal="center" vertical="center"/>
    </xf>
    <xf numFmtId="167" fontId="40" fillId="0" borderId="0" applyNumberFormat="0" applyFill="0" applyBorder="0" applyAlignment="0" applyProtection="0"/>
    <xf numFmtId="167" fontId="99" fillId="0" borderId="0" applyNumberFormat="0" applyFill="0" applyBorder="0" applyAlignment="0" applyProtection="0"/>
    <xf numFmtId="205" fontId="100" fillId="8" borderId="0" applyBorder="0">
      <protection locked="0"/>
    </xf>
    <xf numFmtId="197" fontId="101" fillId="52" borderId="12"/>
    <xf numFmtId="197" fontId="101" fillId="52" borderId="12"/>
    <xf numFmtId="197" fontId="101" fillId="52" borderId="12"/>
    <xf numFmtId="178" fontId="94" fillId="0" borderId="0" applyFont="0" applyFill="0" applyBorder="0" applyAlignment="0" applyProtection="0"/>
    <xf numFmtId="178" fontId="94" fillId="0" borderId="0" applyFont="0" applyFill="0" applyBorder="0" applyAlignment="0" applyProtection="0"/>
    <xf numFmtId="0" fontId="102" fillId="0" borderId="0"/>
    <xf numFmtId="169" fontId="103" fillId="0" borderId="0"/>
    <xf numFmtId="39" fontId="104" fillId="7" borderId="0" applyNumberFormat="0" applyBorder="0">
      <alignment vertical="center"/>
    </xf>
    <xf numFmtId="0" fontId="105"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2"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53" fillId="53" borderId="0"/>
    <xf numFmtId="167" fontId="107" fillId="53" borderId="0"/>
    <xf numFmtId="0" fontId="108" fillId="0" borderId="0"/>
    <xf numFmtId="167" fontId="109" fillId="0" borderId="0" applyNumberFormat="0" applyFill="0" applyBorder="0" applyAlignment="0" applyProtection="0"/>
    <xf numFmtId="0" fontId="54" fillId="0" borderId="0">
      <alignment horizontal="left"/>
    </xf>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171" fontId="110" fillId="0" borderId="33" applyNumberFormat="0" applyFill="0" applyBorder="0" applyAlignment="0" applyProtection="0"/>
    <xf numFmtId="38" fontId="111" fillId="0" borderId="0" applyNumberFormat="0" applyFill="0" applyBorder="0" applyAlignment="0" applyProtection="0">
      <alignment horizontal="right"/>
      <protection locked="0"/>
    </xf>
    <xf numFmtId="171" fontId="103" fillId="0" borderId="0"/>
    <xf numFmtId="167" fontId="112" fillId="0" borderId="0" applyNumberFormat="0" applyFill="0" applyBorder="0" applyAlignment="0" applyProtection="0"/>
    <xf numFmtId="0" fontId="113" fillId="0" borderId="30" applyNumberFormat="0" applyFill="0" applyAlignment="0" applyProtection="0"/>
    <xf numFmtId="0" fontId="113" fillId="0" borderId="30" applyNumberFormat="0" applyFill="0" applyAlignment="0" applyProtection="0"/>
    <xf numFmtId="0" fontId="113" fillId="0" borderId="30" applyNumberFormat="0" applyFill="0" applyAlignment="0" applyProtection="0"/>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center" wrapText="1"/>
    </xf>
    <xf numFmtId="167" fontId="104" fillId="0" borderId="0">
      <alignment horizontal="left"/>
    </xf>
    <xf numFmtId="167" fontId="104" fillId="0" borderId="0">
      <alignment horizontal="right"/>
    </xf>
    <xf numFmtId="167" fontId="63"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6" fontId="114" fillId="0" borderId="0"/>
    <xf numFmtId="207" fontId="115" fillId="0" borderId="0" applyFont="0" applyFill="0" applyBorder="0" applyAlignment="0" applyProtection="0"/>
    <xf numFmtId="49" fontId="116" fillId="0" borderId="0" applyFill="0" applyBorder="0">
      <alignment horizontal="left"/>
    </xf>
    <xf numFmtId="200"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8" fontId="120" fillId="0" borderId="0"/>
    <xf numFmtId="167" fontId="121" fillId="0" borderId="0"/>
    <xf numFmtId="178" fontId="122" fillId="0" borderId="0"/>
    <xf numFmtId="178" fontId="94" fillId="0" borderId="0"/>
    <xf numFmtId="178" fontId="123" fillId="0" borderId="0"/>
    <xf numFmtId="178" fontId="123" fillId="0" borderId="0"/>
    <xf numFmtId="178" fontId="93" fillId="0" borderId="0"/>
    <xf numFmtId="178" fontId="94" fillId="0" borderId="0"/>
    <xf numFmtId="178" fontId="93" fillId="0" borderId="0"/>
    <xf numFmtId="178" fontId="94" fillId="0" borderId="0"/>
    <xf numFmtId="178" fontId="93" fillId="0" borderId="0"/>
    <xf numFmtId="178" fontId="94" fillId="0" borderId="0"/>
    <xf numFmtId="178" fontId="124" fillId="0" borderId="0"/>
    <xf numFmtId="209" fontId="125" fillId="0" borderId="0" applyFill="0" applyBorder="0" applyAlignment="0"/>
    <xf numFmtId="167" fontId="39" fillId="0" borderId="0" applyFill="0" applyBorder="0" applyAlignment="0"/>
    <xf numFmtId="167" fontId="39" fillId="0" borderId="0" applyFill="0" applyBorder="0" applyAlignment="0"/>
    <xf numFmtId="210" fontId="40" fillId="0" borderId="0" applyFill="0" applyBorder="0" applyAlignment="0"/>
    <xf numFmtId="171" fontId="46" fillId="0" borderId="0" applyFill="0" applyBorder="0" applyAlignment="0"/>
    <xf numFmtId="211" fontId="125" fillId="0" borderId="0" applyFill="0" applyBorder="0" applyAlignment="0"/>
    <xf numFmtId="212" fontId="40" fillId="0" borderId="0" applyFill="0" applyBorder="0" applyAlignment="0"/>
    <xf numFmtId="212" fontId="40" fillId="0" borderId="0" applyFill="0" applyBorder="0" applyAlignment="0"/>
    <xf numFmtId="213" fontId="37" fillId="0" borderId="0" applyFill="0" applyBorder="0" applyAlignment="0"/>
    <xf numFmtId="214" fontId="125" fillId="0" borderId="0" applyFill="0" applyBorder="0" applyAlignment="0"/>
    <xf numFmtId="215" fontId="40" fillId="0" borderId="0" applyFill="0" applyBorder="0" applyAlignment="0"/>
    <xf numFmtId="215" fontId="40" fillId="0" borderId="0" applyFill="0" applyBorder="0" applyAlignment="0"/>
    <xf numFmtId="216" fontId="126" fillId="0" borderId="0" applyFill="0" applyBorder="0" applyAlignment="0"/>
    <xf numFmtId="217" fontId="125" fillId="0" borderId="0" applyFill="0" applyBorder="0" applyAlignment="0"/>
    <xf numFmtId="218" fontId="40" fillId="0" borderId="0" applyFill="0" applyBorder="0" applyAlignment="0"/>
    <xf numFmtId="218" fontId="40" fillId="0" borderId="0" applyFill="0" applyBorder="0" applyAlignment="0"/>
    <xf numFmtId="219" fontId="126" fillId="0" borderId="0" applyFill="0" applyBorder="0" applyAlignment="0"/>
    <xf numFmtId="220" fontId="125" fillId="0" borderId="0" applyFill="0" applyBorder="0" applyAlignment="0"/>
    <xf numFmtId="221" fontId="40" fillId="0" borderId="0" applyFill="0" applyBorder="0" applyAlignment="0"/>
    <xf numFmtId="221" fontId="40" fillId="0" borderId="0" applyFill="0" applyBorder="0" applyAlignment="0"/>
    <xf numFmtId="222" fontId="46" fillId="0" borderId="0" applyFill="0" applyBorder="0" applyAlignment="0"/>
    <xf numFmtId="209" fontId="125"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125"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125" fillId="0" borderId="0" applyFill="0" applyBorder="0" applyAlignment="0"/>
    <xf numFmtId="212" fontId="40" fillId="0" borderId="0" applyFill="0" applyBorder="0" applyAlignment="0"/>
    <xf numFmtId="212" fontId="40" fillId="0" borderId="0" applyFill="0" applyBorder="0" applyAlignment="0"/>
    <xf numFmtId="0" fontId="127" fillId="54" borderId="34" applyNumberFormat="0" applyAlignment="0" applyProtection="0"/>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39" fontId="128" fillId="0" borderId="35">
      <protection locked="0"/>
    </xf>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32"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0" fontId="127"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129" fillId="54" borderId="34" applyNumberFormat="0" applyAlignment="0" applyProtection="0"/>
    <xf numFmtId="167" fontId="32" fillId="54" borderId="34" applyNumberFormat="0" applyAlignment="0" applyProtection="0"/>
    <xf numFmtId="39" fontId="128" fillId="0" borderId="35">
      <protection locked="0"/>
    </xf>
    <xf numFmtId="39" fontId="128" fillId="0" borderId="35">
      <protection locked="0"/>
    </xf>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226" fontId="67" fillId="0" borderId="0" applyFill="0" applyBorder="0" applyAlignment="0"/>
    <xf numFmtId="38" fontId="117" fillId="0" borderId="0">
      <alignment horizontal="left"/>
    </xf>
    <xf numFmtId="167" fontId="37" fillId="55" borderId="0" applyNumberFormat="0" applyFont="0" applyBorder="0" applyAlignment="0"/>
    <xf numFmtId="200" fontId="130" fillId="0" borderId="0"/>
    <xf numFmtId="167" fontId="40" fillId="0" borderId="0">
      <alignment horizontal="center" wrapText="1"/>
    </xf>
    <xf numFmtId="167" fontId="40" fillId="0" borderId="0">
      <alignment horizontal="center" wrapText="1"/>
    </xf>
    <xf numFmtId="167" fontId="113" fillId="0" borderId="30" applyNumberFormat="0" applyFont="0" applyFill="0" applyProtection="0">
      <alignment horizontal="centerContinuous" vertical="center"/>
    </xf>
    <xf numFmtId="0" fontId="113" fillId="0" borderId="30" applyNumberFormat="0" applyFont="0" applyFill="0" applyProtection="0">
      <alignment horizontal="centerContinuous" vertical="center"/>
    </xf>
    <xf numFmtId="0" fontId="113" fillId="0" borderId="30" applyNumberFormat="0" applyFont="0" applyFill="0" applyProtection="0">
      <alignment horizontal="centerContinuous" vertical="center"/>
    </xf>
    <xf numFmtId="167" fontId="131" fillId="0" borderId="0" applyFill="0" applyBorder="0" applyProtection="0">
      <alignment horizontal="center"/>
      <protection locked="0"/>
    </xf>
    <xf numFmtId="1" fontId="132" fillId="0" borderId="0"/>
    <xf numFmtId="227" fontId="54" fillId="56" borderId="36">
      <alignment vertical="center"/>
    </xf>
    <xf numFmtId="0" fontId="133"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32"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167" fontId="134" fillId="57" borderId="37" applyNumberFormat="0" applyAlignment="0" applyProtection="0"/>
    <xf numFmtId="228" fontId="37" fillId="0" borderId="38" applyFont="0" applyFill="0" applyBorder="0" applyProtection="0">
      <alignment horizontal="center"/>
      <protection locked="0"/>
    </xf>
    <xf numFmtId="0" fontId="57" fillId="0" borderId="35"/>
    <xf numFmtId="0" fontId="72" fillId="0" borderId="0">
      <alignment horizontal="center" wrapText="1"/>
      <protection hidden="1"/>
    </xf>
    <xf numFmtId="167" fontId="113" fillId="0" borderId="0" applyNumberFormat="0" applyFill="0" applyBorder="0" applyProtection="0">
      <alignment horizontal="center" vertical="center"/>
    </xf>
    <xf numFmtId="0" fontId="135" fillId="0" borderId="0">
      <alignment horizontal="right"/>
    </xf>
    <xf numFmtId="167" fontId="32" fillId="0" borderId="0"/>
    <xf numFmtId="229" fontId="136" fillId="0" borderId="0"/>
    <xf numFmtId="167" fontId="32"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167" fontId="32" fillId="0" borderId="0"/>
    <xf numFmtId="229" fontId="136" fillId="0" borderId="0"/>
    <xf numFmtId="230" fontId="40" fillId="0" borderId="0"/>
    <xf numFmtId="167" fontId="32"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30" fontId="40" fillId="0" borderId="0"/>
    <xf numFmtId="222" fontId="46" fillId="0" borderId="0" applyFont="0" applyFill="0" applyBorder="0" applyAlignment="0" applyProtection="0"/>
    <xf numFmtId="209" fontId="40" fillId="0" borderId="0" applyFont="0" applyFill="0" applyBorder="0" applyAlignment="0" applyProtection="0"/>
    <xf numFmtId="209" fontId="40"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167" fontId="137" fillId="0" borderId="0" applyFont="0" applyFill="0" applyBorder="0" applyAlignment="0" applyProtection="0"/>
    <xf numFmtId="167" fontId="63" fillId="0" borderId="0"/>
    <xf numFmtId="167" fontId="71" fillId="0" borderId="0"/>
    <xf numFmtId="167" fontId="138" fillId="0" borderId="0" applyFont="0" applyFill="0" applyBorder="0" applyAlignment="0" applyProtection="0">
      <alignment horizontal="right"/>
    </xf>
    <xf numFmtId="167" fontId="138"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37"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1"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167" fontId="54" fillId="0" borderId="0" applyFill="0" applyBorder="0" applyAlignment="0" applyProtection="0"/>
    <xf numFmtId="167" fontId="139" fillId="0" borderId="0" applyFont="0" applyFill="0" applyBorder="0" applyAlignment="0" applyProtection="0"/>
    <xf numFmtId="234" fontId="32"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1"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83"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6"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5" fontId="40" fillId="0" borderId="0" applyFill="0" applyBorder="0" applyAlignment="0" applyProtection="0"/>
    <xf numFmtId="234" fontId="32" fillId="0" borderId="0" applyFont="0" applyFill="0" applyBorder="0" applyAlignment="0" applyProtection="0"/>
    <xf numFmtId="234" fontId="40" fillId="0" borderId="0" applyFont="0" applyFill="0" applyBorder="0" applyAlignment="0" applyProtection="0">
      <alignment vertical="center"/>
    </xf>
    <xf numFmtId="167" fontId="139" fillId="0" borderId="0" applyFont="0" applyFill="0" applyBorder="0" applyAlignment="0" applyProtection="0"/>
    <xf numFmtId="167"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0" fontId="100" fillId="0" borderId="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6"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234" fontId="82"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6" fontId="84" fillId="0" borderId="0" applyFont="0" applyFill="0" applyBorder="0" applyAlignment="0" applyProtection="0"/>
    <xf numFmtId="237"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167"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7"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1"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6" fontId="114"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5" fontId="40" fillId="0" borderId="0" applyFill="0" applyBorder="0" applyAlignment="0" applyProtection="0"/>
    <xf numFmtId="234" fontId="83"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5" fontId="40" fillId="0" borderId="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83"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4" fontId="37" fillId="0" borderId="0" applyFont="0" applyFill="0" applyBorder="0" applyAlignment="0" applyProtection="0"/>
    <xf numFmtId="235" fontId="40" fillId="0" borderId="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4" fontId="32"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6" fontId="84"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7" fontId="139" fillId="0" borderId="0" applyFont="0" applyFill="0" applyBorder="0" applyAlignment="0" applyProtection="0"/>
    <xf numFmtId="235" fontId="40" fillId="0" borderId="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75"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7" fontId="144" fillId="0" borderId="0" applyFill="0" applyBorder="0" applyAlignment="0" applyProtection="0">
      <protection locked="0"/>
    </xf>
    <xf numFmtId="200" fontId="145" fillId="0" borderId="0" applyFill="0" applyBorder="0">
      <alignment horizontal="left"/>
    </xf>
    <xf numFmtId="196" fontId="146" fillId="0" borderId="39" applyNumberFormat="0" applyFill="0" applyBorder="0" applyAlignment="0" applyProtection="0"/>
    <xf numFmtId="190" fontId="147" fillId="0" borderId="0"/>
    <xf numFmtId="238" fontId="147" fillId="0" borderId="0"/>
    <xf numFmtId="239" fontId="147" fillId="0" borderId="0"/>
    <xf numFmtId="167" fontId="148" fillId="0" borderId="29" applyNumberFormat="0" applyFill="0" applyBorder="0" applyAlignment="0" applyProtection="0">
      <alignment horizontal="left"/>
    </xf>
    <xf numFmtId="167" fontId="149" fillId="0" borderId="0" applyNumberFormat="0" applyAlignment="0">
      <alignment horizontal="left"/>
    </xf>
    <xf numFmtId="240" fontId="150" fillId="9" borderId="0" applyBorder="0"/>
    <xf numFmtId="227" fontId="150" fillId="9" borderId="35" applyBorder="0"/>
    <xf numFmtId="241" fontId="150" fillId="9" borderId="35" applyBorder="0"/>
    <xf numFmtId="9" fontId="150" fillId="9" borderId="29" applyBorder="0"/>
    <xf numFmtId="182" fontId="150" fillId="9" borderId="0" applyBorder="0"/>
    <xf numFmtId="234" fontId="150" fillId="9" borderId="40" applyBorder="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0" applyFill="0" applyBorder="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41"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28" applyFill="0" applyProtection="0"/>
    <xf numFmtId="242" fontId="67" fillId="0" borderId="0" applyFill="0" applyBorder="0" applyProtection="0"/>
    <xf numFmtId="200" fontId="151" fillId="52" borderId="32"/>
    <xf numFmtId="3" fontId="32" fillId="0" borderId="42" applyNumberFormat="0" applyAlignment="0">
      <alignment vertical="center"/>
    </xf>
    <xf numFmtId="3" fontId="152" fillId="0" borderId="42" applyNumberFormat="0" applyAlignment="0">
      <alignment vertical="center"/>
    </xf>
    <xf numFmtId="167"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3" fontId="72" fillId="0" borderId="0" applyFill="0" applyBorder="0">
      <alignment horizontal="right"/>
      <protection locked="0"/>
    </xf>
    <xf numFmtId="167" fontId="153" fillId="0" borderId="0"/>
    <xf numFmtId="167" fontId="153" fillId="0" borderId="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244" fontId="72" fillId="0" borderId="0" applyFont="0" applyFill="0" applyBorder="0" applyAlignment="0" applyProtection="0"/>
    <xf numFmtId="171" fontId="46"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45" fontId="43" fillId="0" borderId="0" applyFont="0" applyFill="0" applyBorder="0" applyAlignment="0" applyProtection="0"/>
    <xf numFmtId="246" fontId="154" fillId="0" borderId="0" applyFont="0" applyFill="0" applyBorder="0" applyProtection="0">
      <alignment horizontal="right"/>
    </xf>
    <xf numFmtId="247" fontId="154" fillId="0" borderId="0" applyFont="0" applyFill="0" applyBorder="0" applyProtection="0">
      <alignment horizontal="right"/>
    </xf>
    <xf numFmtId="167" fontId="138" fillId="0" borderId="0" applyFont="0" applyFill="0" applyBorder="0" applyAlignment="0" applyProtection="0">
      <alignment horizontal="right"/>
    </xf>
    <xf numFmtId="248" fontId="37"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37" fillId="0" borderId="0" applyFont="0" applyFill="0" applyBorder="0" applyAlignment="0" applyProtection="0"/>
    <xf numFmtId="248" fontId="40" fillId="0" borderId="0" applyFont="0" applyFill="0" applyBorder="0" applyAlignment="0" applyProtection="0"/>
    <xf numFmtId="248" fontId="37"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8"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37"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242"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3"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250" fontId="67" fillId="0" borderId="0" applyFont="0" applyFill="0" applyBorder="0" applyAlignment="0" applyProtection="0"/>
    <xf numFmtId="250" fontId="67"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3"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67" fontId="138" fillId="0" borderId="0" applyFont="0" applyFill="0" applyBorder="0" applyAlignment="0" applyProtection="0">
      <alignment horizontal="right"/>
    </xf>
    <xf numFmtId="194" fontId="37" fillId="0" borderId="0" applyFont="0" applyFill="0" applyBorder="0" applyAlignment="0" applyProtection="0"/>
    <xf numFmtId="182" fontId="37" fillId="0" borderId="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82" fontId="32"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37"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32" fillId="0" borderId="0" applyFont="0" applyFill="0" applyBorder="0" applyAlignment="0" applyProtection="0"/>
    <xf numFmtId="194" fontId="84" fillId="0" borderId="0" applyFont="0" applyFill="0" applyBorder="0" applyAlignment="0" applyProtection="0"/>
    <xf numFmtId="194" fontId="32"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82" fontId="32"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84"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194"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1" fontId="72" fillId="0" borderId="0" applyNumberFormat="0" applyFont="0" applyFill="0" applyBorder="0" applyAlignment="0" applyProtection="0">
      <alignment vertical="top"/>
    </xf>
    <xf numFmtId="252" fontId="142" fillId="0" borderId="0" applyFont="0" applyFill="0" applyBorder="0" applyAlignment="0" applyProtection="0"/>
    <xf numFmtId="252" fontId="142" fillId="0" borderId="0" applyFont="0" applyFill="0" applyBorder="0" applyAlignment="0" applyProtection="0"/>
    <xf numFmtId="252" fontId="142"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3" fontId="125" fillId="0" borderId="0" applyFont="0" applyFill="0" applyBorder="0" applyAlignment="0" applyProtection="0"/>
    <xf numFmtId="251" fontId="40" fillId="0" borderId="0" applyFont="0" applyFill="0" applyBorder="0" applyAlignment="0" applyProtection="0"/>
    <xf numFmtId="251" fontId="40" fillId="0"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54" fontId="40" fillId="58" borderId="0" applyFont="0" applyFill="0" applyBorder="0" applyAlignment="0" applyProtection="0"/>
    <xf numFmtId="200"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7" fontId="53" fillId="43" borderId="0"/>
    <xf numFmtId="167" fontId="107" fillId="59" borderId="0"/>
    <xf numFmtId="15" fontId="32" fillId="0" borderId="0"/>
    <xf numFmtId="15" fontId="158" fillId="0" borderId="0"/>
    <xf numFmtId="15" fontId="32" fillId="0" borderId="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67"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7" fontId="138" fillId="0" borderId="0" applyFont="0" applyFill="0" applyBorder="0" applyAlignment="0" applyProtection="0"/>
    <xf numFmtId="15" fontId="159" fillId="0" borderId="47" applyFont="0" applyFill="0" applyBorder="0" applyAlignment="0">
      <alignment horizontal="centerContinuous"/>
    </xf>
    <xf numFmtId="255" fontId="159" fillId="0" borderId="47" applyFont="0" applyFill="0" applyBorder="0" applyAlignment="0">
      <alignment horizontal="centerContinuous"/>
    </xf>
    <xf numFmtId="14" fontId="125" fillId="0" borderId="0" applyFill="0" applyBorder="0" applyAlignment="0"/>
    <xf numFmtId="167" fontId="37" fillId="11" borderId="0" applyFont="0" applyFill="0" applyBorder="0" applyAlignment="0" applyProtection="0"/>
    <xf numFmtId="256" fontId="103" fillId="0" borderId="0" applyFill="0" applyBorder="0" applyProtection="0"/>
    <xf numFmtId="14" fontId="103" fillId="0" borderId="0" applyFill="0" applyBorder="0" applyProtection="0"/>
    <xf numFmtId="257"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8" fontId="37" fillId="0" borderId="0" applyFont="0" applyFill="0" applyBorder="0" applyAlignment="0" applyProtection="0">
      <alignment wrapText="1"/>
    </xf>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0" applyFill="0" applyBorder="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41"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28" applyFill="0" applyProtection="0"/>
    <xf numFmtId="249" fontId="67" fillId="0" borderId="0" applyFill="0" applyBorder="0" applyProtection="0"/>
    <xf numFmtId="167" fontId="71" fillId="0" borderId="0">
      <alignment horizontal="right"/>
    </xf>
    <xf numFmtId="167" fontId="71" fillId="0" borderId="0">
      <alignment horizontal="right"/>
      <protection locked="0"/>
    </xf>
    <xf numFmtId="167" fontId="71" fillId="0" borderId="0"/>
    <xf numFmtId="167" fontId="71" fillId="0" borderId="0">
      <alignment horizontal="right"/>
      <protection locked="0"/>
    </xf>
    <xf numFmtId="259"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0" fontId="104" fillId="60" borderId="0" applyNumberFormat="0" applyBorder="0" applyAlignment="0" applyProtection="0"/>
    <xf numFmtId="261" fontId="37" fillId="0" borderId="0" applyFont="0" applyFill="0" applyBorder="0" applyAlignment="0" applyProtection="0"/>
    <xf numFmtId="237" fontId="37" fillId="0" borderId="0" applyFont="0" applyFill="0" applyBorder="0" applyAlignment="0" applyProtection="0"/>
    <xf numFmtId="0" fontId="45" fillId="0" borderId="0">
      <protection locked="0"/>
    </xf>
    <xf numFmtId="262" fontId="160" fillId="0" borderId="0">
      <alignment horizontal="left"/>
    </xf>
    <xf numFmtId="226" fontId="161" fillId="0" borderId="0"/>
    <xf numFmtId="263" fontId="43" fillId="0" borderId="0" applyFont="0" applyFill="0" applyBorder="0" applyAlignment="0" applyProtection="0"/>
    <xf numFmtId="200" fontId="162" fillId="0" borderId="0">
      <alignment horizontal="center"/>
    </xf>
    <xf numFmtId="200" fontId="162" fillId="0" borderId="0">
      <alignment horizontal="center"/>
    </xf>
    <xf numFmtId="200" fontId="162" fillId="0" borderId="0">
      <alignment horizontal="center"/>
    </xf>
    <xf numFmtId="167" fontId="138" fillId="0" borderId="49" applyNumberFormat="0" applyFont="0" applyFill="0" applyAlignment="0" applyProtection="0"/>
    <xf numFmtId="167" fontId="163" fillId="0" borderId="0" applyFill="0" applyBorder="0" applyAlignment="0" applyProtection="0"/>
    <xf numFmtId="167" fontId="71" fillId="0" borderId="0"/>
    <xf numFmtId="38" fontId="72" fillId="0" borderId="0" applyFont="0" applyFill="0" applyBorder="0" applyAlignment="0" applyProtection="0"/>
    <xf numFmtId="167" fontId="164" fillId="0" borderId="0" applyFont="0" applyFill="0" applyBorder="0" applyAlignment="0" applyProtection="0"/>
    <xf numFmtId="167"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7" fontId="166" fillId="61" borderId="0" applyNumberFormat="0" applyBorder="0" applyAlignment="0" applyProtection="0"/>
    <xf numFmtId="167" fontId="166" fillId="62" borderId="0" applyNumberFormat="0" applyBorder="0" applyAlignment="0" applyProtection="0"/>
    <xf numFmtId="167" fontId="166" fillId="63" borderId="0" applyNumberFormat="0" applyBorder="0" applyAlignment="0" applyProtection="0"/>
    <xf numFmtId="0" fontId="65" fillId="0" borderId="0">
      <protection locked="0"/>
    </xf>
    <xf numFmtId="0" fontId="65" fillId="0" borderId="0">
      <protection locked="0"/>
    </xf>
    <xf numFmtId="222" fontId="46" fillId="0" borderId="0" applyFill="0" applyBorder="0" applyAlignment="0"/>
    <xf numFmtId="209" fontId="167"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167"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167"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167"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167" fillId="0" borderId="0" applyFill="0" applyBorder="0" applyAlignment="0"/>
    <xf numFmtId="212" fontId="40" fillId="0" borderId="0" applyFill="0" applyBorder="0" applyAlignment="0"/>
    <xf numFmtId="212" fontId="40" fillId="0" borderId="0" applyFill="0" applyBorder="0" applyAlignment="0"/>
    <xf numFmtId="167" fontId="168" fillId="0" borderId="0" applyNumberFormat="0" applyAlignment="0">
      <alignment horizontal="left"/>
    </xf>
    <xf numFmtId="177" fontId="169" fillId="0" borderId="0" applyFont="0" applyFill="0" applyBorder="0" applyAlignment="0" applyProtection="0"/>
    <xf numFmtId="177" fontId="19" fillId="0" borderId="0" applyFont="0" applyFill="0" applyBorder="0" applyAlignment="0" applyProtection="0">
      <alignment vertical="top"/>
    </xf>
    <xf numFmtId="167" fontId="62" fillId="0" borderId="0" applyFont="0" applyFill="0" applyBorder="0" applyAlignment="0" applyProtection="0"/>
    <xf numFmtId="167" fontId="62" fillId="0" borderId="0" applyFont="0" applyFill="0" applyBorder="0" applyAlignment="0" applyProtection="0"/>
    <xf numFmtId="167" fontId="62" fillId="0" borderId="0" applyFont="0" applyFill="0" applyBorder="0" applyAlignment="0" applyProtection="0"/>
    <xf numFmtId="167" fontId="37" fillId="0" borderId="0" applyFont="0" applyFill="0" applyBorder="0" applyAlignment="0" applyProtection="0"/>
    <xf numFmtId="177" fontId="46" fillId="0" borderId="0" applyFont="0" applyFill="0" applyBorder="0" applyAlignment="0" applyProtection="0"/>
    <xf numFmtId="167" fontId="46" fillId="0" borderId="0" applyFont="0" applyFill="0" applyBorder="0" applyAlignment="0" applyProtection="0"/>
    <xf numFmtId="264" fontId="170" fillId="0" borderId="0" applyBorder="0" applyProtection="0"/>
    <xf numFmtId="264" fontId="171" fillId="0" borderId="0" applyBorder="0" applyProtection="0"/>
    <xf numFmtId="0" fontId="172"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2"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49" fontId="110" fillId="0" borderId="0" applyNumberFormat="0" applyFill="0" applyBorder="0" applyProtection="0">
      <alignment horizontal="center" vertical="top"/>
    </xf>
    <xf numFmtId="265" fontId="174" fillId="0" borderId="0" applyBorder="0">
      <alignment horizontal="right" vertical="top"/>
    </xf>
    <xf numFmtId="266" fontId="110" fillId="0" borderId="0" applyBorder="0">
      <alignment horizontal="right" vertical="top"/>
    </xf>
    <xf numFmtId="266" fontId="174" fillId="0" borderId="0" applyBorder="0">
      <alignment horizontal="right" vertical="top"/>
    </xf>
    <xf numFmtId="267" fontId="110" fillId="0" borderId="0" applyFill="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167" fontId="175" fillId="0" borderId="0">
      <alignment horizontal="left"/>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167" fontId="175" fillId="0" borderId="50">
      <alignment horizontal="right" wrapText="1"/>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167" fontId="177" fillId="0" borderId="0">
      <alignment vertical="center"/>
    </xf>
    <xf numFmtId="272" fontId="177" fillId="0" borderId="0">
      <alignment horizontal="left" vertical="center"/>
    </xf>
    <xf numFmtId="273" fontId="178" fillId="0" borderId="0">
      <alignment vertical="center"/>
    </xf>
    <xf numFmtId="167" fontId="80" fillId="0" borderId="0">
      <alignment vertical="center"/>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76" fillId="0" borderId="50">
      <alignment horizontal="left"/>
    </xf>
    <xf numFmtId="271" fontId="110" fillId="0" borderId="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71" fontId="179" fillId="0" borderId="50">
      <alignment horizontal="center"/>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61" fontId="110" fillId="0" borderId="50" applyFill="0" applyBorder="0" applyProtection="0">
      <alignment horizontal="right" vertical="top"/>
    </xf>
    <xf numFmtId="272" fontId="99" fillId="0" borderId="0">
      <alignment horizontal="left" vertical="center"/>
    </xf>
    <xf numFmtId="271" fontId="99" fillId="0" borderId="0"/>
    <xf numFmtId="271" fontId="180" fillId="0" borderId="0"/>
    <xf numFmtId="271" fontId="181" fillId="0" borderId="0"/>
    <xf numFmtId="271" fontId="40" fillId="0" borderId="0"/>
    <xf numFmtId="271" fontId="182" fillId="0" borderId="0">
      <alignment horizontal="left" vertical="top"/>
    </xf>
    <xf numFmtId="167" fontId="110" fillId="0" borderId="0" applyFill="0" applyBorder="0">
      <alignment horizontal="left" vertical="top" wrapText="1"/>
    </xf>
    <xf numFmtId="167" fontId="183" fillId="0" borderId="0">
      <alignment horizontal="left" vertical="top" wrapText="1"/>
    </xf>
    <xf numFmtId="167" fontId="184" fillId="0" borderId="0">
      <alignment horizontal="left" vertical="top" wrapText="1"/>
    </xf>
    <xf numFmtId="167" fontId="174" fillId="0" borderId="0">
      <alignment horizontal="left" vertical="top" wrapText="1"/>
    </xf>
    <xf numFmtId="274" fontId="37" fillId="0" borderId="0" applyFont="0" applyFill="0" applyBorder="0" applyAlignment="0" applyProtection="0"/>
    <xf numFmtId="275" fontId="37" fillId="0" borderId="0" applyFont="0" applyFill="0" applyBorder="0" applyAlignment="0" applyProtection="0"/>
    <xf numFmtId="189" fontId="185" fillId="0" borderId="0" applyFill="0" applyBorder="0" applyAlignment="0" applyProtection="0"/>
    <xf numFmtId="167" fontId="45" fillId="0" borderId="0">
      <protection locked="0"/>
    </xf>
    <xf numFmtId="189" fontId="57" fillId="0" borderId="0" applyFill="0" applyBorder="0" applyAlignment="0" applyProtection="0"/>
    <xf numFmtId="189" fontId="57" fillId="0" borderId="0" applyFill="0" applyBorder="0" applyAlignment="0" applyProtection="0"/>
    <xf numFmtId="167" fontId="45" fillId="0" borderId="0">
      <protection locked="0"/>
    </xf>
    <xf numFmtId="189" fontId="186" fillId="0" borderId="0" applyFill="0" applyBorder="0" applyAlignment="0" applyProtection="0"/>
    <xf numFmtId="167" fontId="187" fillId="0" borderId="0">
      <protection locked="0"/>
    </xf>
    <xf numFmtId="189" fontId="188" fillId="0" borderId="0" applyFill="0" applyBorder="0" applyAlignment="0" applyProtection="0"/>
    <xf numFmtId="167" fontId="45" fillId="0" borderId="0">
      <protection locked="0"/>
    </xf>
    <xf numFmtId="189" fontId="189" fillId="0" borderId="0" applyFill="0" applyBorder="0" applyAlignment="0" applyProtection="0"/>
    <xf numFmtId="167" fontId="45" fillId="0" borderId="0">
      <protection locked="0"/>
    </xf>
    <xf numFmtId="189" fontId="190" fillId="0" borderId="0" applyFill="0" applyBorder="0" applyAlignment="0" applyProtection="0"/>
    <xf numFmtId="167" fontId="45" fillId="0" borderId="0">
      <protection locked="0"/>
    </xf>
    <xf numFmtId="189" fontId="191" fillId="0" borderId="0" applyFill="0" applyBorder="0" applyAlignment="0" applyProtection="0"/>
    <xf numFmtId="167" fontId="45" fillId="0" borderId="0">
      <protection locked="0"/>
    </xf>
    <xf numFmtId="276" fontId="40" fillId="0" borderId="0" applyFont="0" applyFill="0" applyBorder="0" applyAlignment="0" applyProtection="0"/>
    <xf numFmtId="167" fontId="32" fillId="0" borderId="0"/>
    <xf numFmtId="190" fontId="192" fillId="0" borderId="0"/>
    <xf numFmtId="190" fontId="193" fillId="0" borderId="0"/>
    <xf numFmtId="190" fontId="192" fillId="0" borderId="0"/>
    <xf numFmtId="190" fontId="192" fillId="0" borderId="0"/>
    <xf numFmtId="190" fontId="192" fillId="0" borderId="0"/>
    <xf numFmtId="167" fontId="32" fillId="0" borderId="0"/>
    <xf numFmtId="190"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7" fontId="194" fillId="0" borderId="0" applyFill="0" applyBorder="0" applyProtection="0">
      <alignment horizontal="left"/>
    </xf>
    <xf numFmtId="0" fontId="37" fillId="0" borderId="0" applyNumberFormat="0" applyFont="0">
      <alignment wrapText="1"/>
    </xf>
    <xf numFmtId="167" fontId="32" fillId="0" borderId="0"/>
    <xf numFmtId="167" fontId="195" fillId="0" borderId="0"/>
    <xf numFmtId="167"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39" applyNumberFormat="0" applyFill="0" applyAlignment="0" applyProtection="0"/>
    <xf numFmtId="0" fontId="198" fillId="0" borderId="39" applyNumberFormat="0" applyFill="0" applyAlignment="0" applyProtection="0"/>
    <xf numFmtId="0" fontId="198" fillId="0" borderId="39" applyNumberFormat="0" applyFill="0" applyAlignment="0" applyProtection="0"/>
    <xf numFmtId="0" fontId="198" fillId="0" borderId="39" applyNumberFormat="0" applyFill="0" applyAlignment="0" applyProtection="0"/>
    <xf numFmtId="234" fontId="119" fillId="0" borderId="0" applyFill="0" applyBorder="0"/>
    <xf numFmtId="167" fontId="40" fillId="0" borderId="0" applyNumberFormat="0" applyFont="0" applyBorder="0" applyAlignment="0"/>
    <xf numFmtId="227" fontId="119" fillId="0" borderId="29" applyFill="0" applyBorder="0"/>
    <xf numFmtId="240" fontId="119" fillId="0" borderId="0" applyFill="0" applyBorder="0"/>
    <xf numFmtId="0" fontId="199"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2"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234"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6" fontId="40" fillId="8" borderId="12" applyNumberFormat="0" applyFont="0" applyBorder="0" applyAlignment="0" applyProtection="0"/>
    <xf numFmtId="166" fontId="40" fillId="8" borderId="12" applyNumberFormat="0" applyFont="0" applyBorder="0" applyAlignment="0" applyProtection="0"/>
    <xf numFmtId="166" fontId="40" fillId="8" borderId="12" applyNumberFormat="0" applyFont="0" applyBorder="0" applyAlignment="0" applyProtection="0"/>
    <xf numFmtId="171" fontId="205" fillId="0" borderId="0">
      <alignment vertical="center"/>
    </xf>
    <xf numFmtId="167" fontId="138" fillId="0" borderId="0" applyFont="0" applyFill="0" applyBorder="0" applyAlignment="0" applyProtection="0">
      <alignment horizontal="right"/>
    </xf>
    <xf numFmtId="171" fontId="206" fillId="8" borderId="0" applyNumberFormat="0" applyFont="0" applyAlignment="0"/>
    <xf numFmtId="167" fontId="207" fillId="0" borderId="0" applyProtection="0">
      <alignment horizontal="right"/>
    </xf>
    <xf numFmtId="167" fontId="208" fillId="0" borderId="51" applyNumberFormat="0" applyAlignment="0" applyProtection="0">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67"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83" fillId="0" borderId="0"/>
    <xf numFmtId="167" fontId="212" fillId="0" borderId="1"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212" fillId="0" borderId="1" applyNumberFormat="0" applyFill="0" applyAlignment="0" applyProtection="0"/>
    <xf numFmtId="167" fontId="210" fillId="0" borderId="0" applyNumberFormat="0" applyFill="0" applyBorder="0" applyAlignment="0" applyProtection="0"/>
    <xf numFmtId="167" fontId="213" fillId="0" borderId="52" applyNumberFormat="0" applyFill="0" applyAlignment="0" applyProtection="0"/>
    <xf numFmtId="167" fontId="32" fillId="0" borderId="52"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0" fillId="0" borderId="0" applyNumberFormat="0" applyFill="0" applyBorder="0" applyAlignment="0" applyProtection="0"/>
    <xf numFmtId="167" fontId="213" fillId="0" borderId="5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167" fontId="211" fillId="0" borderId="0" applyNumberFormat="0" applyFill="0" applyBorder="0" applyAlignment="0" applyProtection="0"/>
    <xf numFmtId="0" fontId="214"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6" fillId="0" borderId="2"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0" fontId="216" fillId="0" borderId="2" applyNumberFormat="0" applyFill="0" applyAlignment="0" applyProtection="0"/>
    <xf numFmtId="167" fontId="217" fillId="0" borderId="0" applyNumberFormat="0" applyFill="0" applyBorder="0" applyAlignment="0" applyProtection="0"/>
    <xf numFmtId="167" fontId="2" fillId="0" borderId="2" applyNumberFormat="0" applyFill="0" applyAlignment="0" applyProtection="0"/>
    <xf numFmtId="167" fontId="218" fillId="0" borderId="53" applyNumberFormat="0" applyFill="0" applyAlignment="0" applyProtection="0"/>
    <xf numFmtId="167" fontId="32"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7" fillId="0" borderId="0" applyNumberFormat="0" applyFill="0" applyBorder="0" applyAlignment="0" applyProtection="0"/>
    <xf numFmtId="167" fontId="218" fillId="0" borderId="5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167" fontId="215" fillId="0" borderId="0" applyNumberFormat="0" applyFill="0" applyBorder="0" applyAlignment="0" applyProtection="0"/>
    <xf numFmtId="0" fontId="219"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1" fillId="0" borderId="3"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0" fontId="221" fillId="0" borderId="3" applyNumberFormat="0" applyFill="0" applyAlignment="0" applyProtection="0"/>
    <xf numFmtId="167" fontId="220" fillId="0" borderId="54" applyNumberFormat="0" applyFill="0" applyAlignment="0" applyProtection="0"/>
    <xf numFmtId="167" fontId="32"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167" fontId="220" fillId="0" borderId="54" applyNumberFormat="0" applyFill="0" applyAlignment="0" applyProtection="0"/>
    <xf numFmtId="0" fontId="219"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0" fontId="221" fillId="0" borderId="0" applyNumberFormat="0" applyFill="0" applyBorder="0" applyAlignment="0" applyProtection="0"/>
    <xf numFmtId="167" fontId="220" fillId="0" borderId="0" applyNumberFormat="0" applyFill="0" applyBorder="0" applyAlignment="0" applyProtection="0"/>
    <xf numFmtId="167" fontId="32"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99" fillId="0" borderId="0"/>
    <xf numFmtId="37" fontId="222" fillId="0" borderId="0"/>
    <xf numFmtId="167" fontId="131" fillId="0" borderId="0" applyFill="0" applyAlignment="0" applyProtection="0">
      <protection locked="0"/>
    </xf>
    <xf numFmtId="167" fontId="131" fillId="0" borderId="30"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7"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5" fontId="227" fillId="11" borderId="0" applyNumberFormat="0" applyBorder="0" applyAlignment="0" applyProtection="0">
      <protection locked="0"/>
    </xf>
    <xf numFmtId="0" fontId="37" fillId="0" borderId="0">
      <alignment horizontal="center"/>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167" fontId="228" fillId="0" borderId="0" applyNumberFormat="0" applyFill="0" applyBorder="0" applyAlignment="0" applyProtection="0">
      <alignment vertical="top"/>
      <protection locked="0"/>
    </xf>
    <xf numFmtId="0" fontId="230" fillId="0" borderId="0" applyFont="0" applyFill="0" applyBorder="0" applyAlignment="0" applyProtection="0"/>
    <xf numFmtId="167" fontId="32" fillId="0" borderId="0"/>
    <xf numFmtId="200" fontId="53" fillId="0" borderId="0"/>
    <xf numFmtId="167" fontId="231" fillId="0" borderId="0"/>
    <xf numFmtId="277"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4"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167" fontId="237"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278" fontId="37" fillId="10" borderId="12" applyNumberFormat="0" applyFont="0" applyAlignment="0">
      <protection locked="0"/>
    </xf>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236" fillId="2" borderId="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279" fontId="238" fillId="10" borderId="0" applyProtection="0">
      <alignment horizontal="right" vertical="center"/>
      <protection locked="0"/>
    </xf>
    <xf numFmtId="10" fontId="239" fillId="0" borderId="0">
      <protection locked="0"/>
    </xf>
    <xf numFmtId="280" fontId="240" fillId="0" borderId="0" applyFill="0" applyBorder="0" applyProtection="0"/>
    <xf numFmtId="281" fontId="240" fillId="0" borderId="0" applyFill="0" applyBorder="0" applyProtection="0"/>
    <xf numFmtId="282"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5">
      <protection locked="0"/>
    </xf>
    <xf numFmtId="283" fontId="241" fillId="67" borderId="0" applyNumberFormat="0" applyFont="0" applyBorder="0" applyAlignment="0">
      <alignment horizontal="right"/>
      <protection locked="0"/>
    </xf>
    <xf numFmtId="174" fontId="41" fillId="0" borderId="0">
      <alignment vertical="top"/>
    </xf>
    <xf numFmtId="174" fontId="41" fillId="7" borderId="0">
      <alignment vertical="top"/>
    </xf>
    <xf numFmtId="284" fontId="41" fillId="8" borderId="0">
      <alignment vertical="top"/>
    </xf>
    <xf numFmtId="0" fontId="239" fillId="0" borderId="0">
      <protection locked="0"/>
    </xf>
    <xf numFmtId="3" fontId="70" fillId="0" borderId="0"/>
    <xf numFmtId="167" fontId="242" fillId="69" borderId="0" applyNumberFormat="0" applyBorder="0" applyAlignment="0" applyProtection="0"/>
    <xf numFmtId="285" fontId="243" fillId="0" borderId="56" applyFont="0" applyFill="0" applyBorder="0" applyAlignment="0" applyProtection="0"/>
    <xf numFmtId="285" fontId="243" fillId="0" borderId="56" applyFont="0" applyFill="0" applyBorder="0" applyAlignment="0" applyProtection="0"/>
    <xf numFmtId="285" fontId="243" fillId="0" borderId="56" applyFont="0" applyFill="0" applyBorder="0" applyAlignment="0" applyProtection="0"/>
    <xf numFmtId="167" fontId="244" fillId="0" borderId="0" applyNumberFormat="0" applyFill="0" applyBorder="0" applyAlignment="0" applyProtection="0">
      <alignment vertical="top"/>
      <protection locked="0"/>
    </xf>
    <xf numFmtId="167" fontId="245" fillId="0" borderId="0">
      <alignment vertical="center"/>
    </xf>
    <xf numFmtId="167" fontId="245" fillId="0" borderId="0">
      <alignment vertical="center"/>
    </xf>
    <xf numFmtId="167" fontId="245" fillId="0" borderId="0">
      <alignment vertical="center"/>
    </xf>
    <xf numFmtId="166" fontId="246" fillId="0" borderId="0" applyFill="0" applyBorder="0" applyProtection="0">
      <alignment vertical="top"/>
    </xf>
    <xf numFmtId="286"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5" fontId="249" fillId="72" borderId="57">
      <alignment horizontal="left"/>
      <protection locked="0"/>
    </xf>
    <xf numFmtId="165" fontId="249" fillId="72" borderId="57">
      <alignment horizontal="left"/>
      <protection locked="0"/>
    </xf>
    <xf numFmtId="287" fontId="249" fillId="72" borderId="57">
      <protection locked="0"/>
    </xf>
    <xf numFmtId="287" fontId="249" fillId="72" borderId="57">
      <protection locked="0"/>
    </xf>
    <xf numFmtId="0" fontId="249" fillId="72" borderId="57">
      <alignment horizontal="center"/>
      <protection locked="0"/>
    </xf>
    <xf numFmtId="0" fontId="249" fillId="72" borderId="57">
      <alignment horizontal="center"/>
      <protection locked="0"/>
    </xf>
    <xf numFmtId="197" fontId="37" fillId="73" borderId="12">
      <alignment vertical="center"/>
    </xf>
    <xf numFmtId="288" fontId="40" fillId="0" borderId="0"/>
    <xf numFmtId="288" fontId="40" fillId="0" borderId="0"/>
    <xf numFmtId="289" fontId="40" fillId="0" borderId="0"/>
    <xf numFmtId="289" fontId="40" fillId="0" borderId="0"/>
    <xf numFmtId="290" fontId="37" fillId="0" borderId="0" applyFont="0" applyFill="0" applyBorder="0" applyAlignment="0" applyProtection="0"/>
    <xf numFmtId="291" fontId="37" fillId="0" borderId="0" applyFont="0" applyFill="0" applyBorder="0" applyAlignment="0" applyProtection="0"/>
    <xf numFmtId="38" fontId="250" fillId="0" borderId="0"/>
    <xf numFmtId="38" fontId="251" fillId="0" borderId="0"/>
    <xf numFmtId="38" fontId="252" fillId="0" borderId="0"/>
    <xf numFmtId="38" fontId="253" fillId="0" borderId="0"/>
    <xf numFmtId="167" fontId="254" fillId="0" borderId="0"/>
    <xf numFmtId="167" fontId="254" fillId="0" borderId="0"/>
    <xf numFmtId="167" fontId="40" fillId="0" borderId="0">
      <alignment horizontal="left"/>
    </xf>
    <xf numFmtId="167" fontId="40" fillId="0" borderId="0">
      <alignment horizontal="left"/>
    </xf>
    <xf numFmtId="195" fontId="255" fillId="74" borderId="58" applyBorder="0" applyAlignment="0">
      <alignment horizontal="left" indent="1"/>
    </xf>
    <xf numFmtId="167" fontId="229" fillId="0" borderId="0" applyNumberFormat="0" applyFill="0" applyBorder="0" applyAlignment="0" applyProtection="0">
      <alignment vertical="top"/>
      <protection locked="0"/>
    </xf>
    <xf numFmtId="196" fontId="57" fillId="0" borderId="0" applyFill="0" applyBorder="0" applyAlignment="0" applyProtection="0"/>
    <xf numFmtId="197" fontId="256" fillId="0" borderId="35" applyNumberFormat="0" applyFill="0" applyBorder="0" applyAlignment="0" applyProtection="0"/>
    <xf numFmtId="222" fontId="46" fillId="0" borderId="0" applyFill="0" applyBorder="0" applyAlignment="0"/>
    <xf numFmtId="209" fontId="257"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257"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257"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257"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257" fillId="0" borderId="0" applyFill="0" applyBorder="0" applyAlignment="0"/>
    <xf numFmtId="212" fontId="40" fillId="0" borderId="0" applyFill="0" applyBorder="0" applyAlignment="0"/>
    <xf numFmtId="212" fontId="40" fillId="0" borderId="0" applyFill="0" applyBorder="0" applyAlignment="0"/>
    <xf numFmtId="0" fontId="258"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32"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7" fontId="259" fillId="0" borderId="59" applyNumberFormat="0" applyFill="0" applyAlignment="0" applyProtection="0"/>
    <xf numFmtId="169" fontId="103" fillId="0" borderId="0"/>
    <xf numFmtId="0" fontId="46" fillId="0" borderId="0"/>
    <xf numFmtId="167" fontId="99" fillId="0" borderId="0"/>
    <xf numFmtId="166" fontId="260" fillId="0" borderId="0"/>
    <xf numFmtId="0" fontId="37" fillId="0" borderId="0">
      <alignment horizontal="center"/>
    </xf>
    <xf numFmtId="200"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2" fontId="37" fillId="0" borderId="0" applyFont="0" applyFill="0" applyBorder="0" applyAlignment="0" applyProtection="0"/>
    <xf numFmtId="293" fontId="37" fillId="0" borderId="0" applyFont="0" applyFill="0" applyBorder="0" applyAlignment="0" applyProtection="0"/>
    <xf numFmtId="167" fontId="32" fillId="0" borderId="0" applyFont="0" applyFill="0" applyBorder="0" applyAlignment="0" applyProtection="0"/>
    <xf numFmtId="294" fontId="40" fillId="0" borderId="0" applyFont="0" applyFill="0" applyBorder="0" applyAlignment="0" applyProtection="0"/>
    <xf numFmtId="167"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7" fontId="40" fillId="0" borderId="0" applyFont="0" applyFill="0" applyBorder="0" applyAlignment="0" applyProtection="0"/>
    <xf numFmtId="295" fontId="40" fillId="0" borderId="0" applyFont="0" applyFill="0" applyBorder="0" applyAlignment="0" applyProtection="0"/>
    <xf numFmtId="296" fontId="40" fillId="0" borderId="0" applyFont="0" applyFill="0" applyBorder="0" applyAlignment="0" applyProtection="0"/>
    <xf numFmtId="295" fontId="40" fillId="0" borderId="0" applyFont="0" applyFill="0" applyBorder="0" applyAlignment="0" applyProtection="0"/>
    <xf numFmtId="167" fontId="37" fillId="0" borderId="0" applyFont="0" applyFill="0" applyBorder="0" applyAlignment="0" applyProtection="0"/>
    <xf numFmtId="167" fontId="37" fillId="0" borderId="0" applyFont="0" applyFill="0" applyBorder="0" applyAlignment="0" applyProtection="0"/>
    <xf numFmtId="297" fontId="37" fillId="0" borderId="0" applyFont="0" applyFill="0" applyBorder="0" applyAlignment="0" applyProtection="0"/>
    <xf numFmtId="298" fontId="37" fillId="0" borderId="0" applyFont="0" applyFill="0" applyBorder="0" applyAlignment="0" applyProtection="0"/>
    <xf numFmtId="167" fontId="37" fillId="0" borderId="0" applyFont="0" applyFill="0" applyBorder="0" applyAlignment="0" applyProtection="0"/>
    <xf numFmtId="167" fontId="37" fillId="0" borderId="0" applyFont="0" applyFill="0" applyBorder="0" applyAlignment="0" applyProtection="0"/>
    <xf numFmtId="299" fontId="43"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263" fontId="114" fillId="0" borderId="0" applyFont="0" applyFill="0" applyBorder="0" applyAlignment="0" applyProtection="0"/>
    <xf numFmtId="167" fontId="262" fillId="0" borderId="0">
      <alignment horizontal="left" vertical="center"/>
    </xf>
    <xf numFmtId="0" fontId="263"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2"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2" fillId="0" borderId="0"/>
    <xf numFmtId="167" fontId="67" fillId="0" borderId="0"/>
    <xf numFmtId="167" fontId="32" fillId="0" borderId="0"/>
    <xf numFmtId="0" fontId="67" fillId="0" borderId="0"/>
    <xf numFmtId="37" fontId="265" fillId="0" borderId="0"/>
    <xf numFmtId="167" fontId="53" fillId="0" borderId="0"/>
    <xf numFmtId="1" fontId="266" fillId="0" borderId="0" applyProtection="0"/>
    <xf numFmtId="167" fontId="72" fillId="0" borderId="27"/>
    <xf numFmtId="167" fontId="72" fillId="0" borderId="27"/>
    <xf numFmtId="167" fontId="72" fillId="0" borderId="27"/>
    <xf numFmtId="167" fontId="32" fillId="0" borderId="0"/>
    <xf numFmtId="167" fontId="37" fillId="0" borderId="0"/>
    <xf numFmtId="167" fontId="267" fillId="0" borderId="0"/>
    <xf numFmtId="167" fontId="37" fillId="0" borderId="0"/>
    <xf numFmtId="302" fontId="40" fillId="0" borderId="0"/>
    <xf numFmtId="167" fontId="32" fillId="0" borderId="0"/>
    <xf numFmtId="0" fontId="267" fillId="0" borderId="0"/>
    <xf numFmtId="167" fontId="267" fillId="0" borderId="0"/>
    <xf numFmtId="167" fontId="153" fillId="0" borderId="0"/>
    <xf numFmtId="167" fontId="153" fillId="0" borderId="0"/>
    <xf numFmtId="167" fontId="268"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40" fillId="0" borderId="0"/>
    <xf numFmtId="167" fontId="268"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125"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68" fillId="0" borderId="0"/>
    <xf numFmtId="167" fontId="125" fillId="0" borderId="0"/>
    <xf numFmtId="167" fontId="125" fillId="0" borderId="0"/>
    <xf numFmtId="167" fontId="125" fillId="0" borderId="0"/>
    <xf numFmtId="167" fontId="125" fillId="0" borderId="0"/>
    <xf numFmtId="167" fontId="125" fillId="0" borderId="0"/>
    <xf numFmtId="167" fontId="125"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0" fontId="40" fillId="0" borderId="0"/>
    <xf numFmtId="167" fontId="40"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3" fillId="0" borderId="0"/>
    <xf numFmtId="167" fontId="40" fillId="0" borderId="0"/>
    <xf numFmtId="167" fontId="40" fillId="0" borderId="0"/>
    <xf numFmtId="167" fontId="32" fillId="0" borderId="0"/>
    <xf numFmtId="167" fontId="40" fillId="0" borderId="0"/>
    <xf numFmtId="167" fontId="40" fillId="0" borderId="0"/>
    <xf numFmtId="167" fontId="40" fillId="0" borderId="0"/>
    <xf numFmtId="167" fontId="84" fillId="0" borderId="0"/>
    <xf numFmtId="167" fontId="67"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167" fontId="40" fillId="0" borderId="0"/>
    <xf numFmtId="0"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84" fillId="0" borderId="0"/>
    <xf numFmtId="0" fontId="84" fillId="0" borderId="0"/>
    <xf numFmtId="0" fontId="84" fillId="0" borderId="0"/>
    <xf numFmtId="0" fontId="40" fillId="0" borderId="0"/>
    <xf numFmtId="0" fontId="84" fillId="0" borderId="0"/>
    <xf numFmtId="167" fontId="32" fillId="0" borderId="0"/>
    <xf numFmtId="167" fontId="40" fillId="0" borderId="0"/>
    <xf numFmtId="0" fontId="1" fillId="0" borderId="0"/>
    <xf numFmtId="0" fontId="84" fillId="0" borderId="0"/>
    <xf numFmtId="167" fontId="32" fillId="0" borderId="0"/>
    <xf numFmtId="167" fontId="40" fillId="0" borderId="0"/>
    <xf numFmtId="0" fontId="32"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32"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100" fillId="0" borderId="0" applyProtection="0"/>
    <xf numFmtId="227" fontId="269" fillId="0" borderId="0"/>
    <xf numFmtId="227" fontId="269" fillId="0" borderId="0"/>
    <xf numFmtId="227" fontId="269"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167" fontId="40" fillId="0" borderId="0"/>
    <xf numFmtId="0"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0" fontId="8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40" fillId="0" borderId="0"/>
    <xf numFmtId="167" fontId="32" fillId="0" borderId="0"/>
    <xf numFmtId="167" fontId="40" fillId="0" borderId="0"/>
    <xf numFmtId="227" fontId="37" fillId="0" borderId="0"/>
    <xf numFmtId="227" fontId="269" fillId="0" borderId="0"/>
    <xf numFmtId="227" fontId="269" fillId="0" borderId="0"/>
    <xf numFmtId="227" fontId="269" fillId="0" borderId="0"/>
    <xf numFmtId="227" fontId="269"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100" fillId="0" borderId="0" applyProtection="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40" fillId="0" borderId="0"/>
    <xf numFmtId="227" fontId="3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227" fontId="37" fillId="0" borderId="0"/>
    <xf numFmtId="167" fontId="40"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0" fontId="32" fillId="0" borderId="0"/>
    <xf numFmtId="167"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37" fillId="0" borderId="0"/>
    <xf numFmtId="227" fontId="37" fillId="0" borderId="0"/>
    <xf numFmtId="16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37"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100" fillId="0" borderId="0" applyProtection="0"/>
    <xf numFmtId="227" fontId="37" fillId="0" borderId="0"/>
    <xf numFmtId="0" fontId="100" fillId="0" borderId="0" applyProtection="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1"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227" fontId="269"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7" fontId="269" fillId="0" borderId="0"/>
    <xf numFmtId="0" fontId="100" fillId="0" borderId="0" applyProtection="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7" fontId="271" fillId="0" borderId="0"/>
    <xf numFmtId="167" fontId="40" fillId="0" borderId="0"/>
    <xf numFmtId="0" fontId="40" fillId="0" borderId="0"/>
    <xf numFmtId="167" fontId="84" fillId="0" borderId="0"/>
    <xf numFmtId="167" fontId="1" fillId="0" borderId="0"/>
    <xf numFmtId="167" fontId="84" fillId="0" borderId="0"/>
    <xf numFmtId="167" fontId="1"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37" fillId="0" borderId="0"/>
    <xf numFmtId="167" fontId="40" fillId="0" borderId="0">
      <alignment vertical="center"/>
    </xf>
    <xf numFmtId="0" fontId="1" fillId="0" borderId="0"/>
    <xf numFmtId="167" fontId="1" fillId="0" borderId="0"/>
    <xf numFmtId="0" fontId="100" fillId="0" borderId="0" applyProtection="0"/>
    <xf numFmtId="167" fontId="84"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0" fontId="225" fillId="0" borderId="0" applyNumberFormat="0" applyFill="0" applyBorder="0" applyAlignment="0" applyProtection="0"/>
    <xf numFmtId="227" fontId="40" fillId="0" borderId="0"/>
    <xf numFmtId="227" fontId="40" fillId="0" borderId="0"/>
    <xf numFmtId="167" fontId="40" fillId="0" borderId="0"/>
    <xf numFmtId="167" fontId="1" fillId="0" borderId="0"/>
    <xf numFmtId="167" fontId="40" fillId="0" borderId="0"/>
    <xf numFmtId="227" fontId="40" fillId="0" borderId="0"/>
    <xf numFmtId="0" fontId="100" fillId="0" borderId="0" applyProtection="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227" fontId="40" fillId="0" borderId="0"/>
    <xf numFmtId="167" fontId="84" fillId="0" borderId="0"/>
    <xf numFmtId="167" fontId="83" fillId="0" borderId="0"/>
    <xf numFmtId="167" fontId="40" fillId="0" borderId="0"/>
    <xf numFmtId="167" fontId="83" fillId="0" borderId="0"/>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227" fontId="40" fillId="0" borderId="0"/>
    <xf numFmtId="167" fontId="84" fillId="0" borderId="0"/>
    <xf numFmtId="22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1" fillId="0" borderId="0"/>
    <xf numFmtId="167" fontId="82" fillId="0" borderId="0"/>
    <xf numFmtId="167" fontId="40" fillId="0" borderId="0"/>
    <xf numFmtId="167" fontId="84" fillId="0" borderId="0"/>
    <xf numFmtId="167" fontId="84" fillId="0" borderId="0"/>
    <xf numFmtId="167" fontId="84" fillId="0" borderId="0"/>
    <xf numFmtId="0" fontId="84" fillId="0" borderId="0"/>
    <xf numFmtId="167" fontId="84"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40" fillId="0" borderId="0">
      <alignment vertical="center"/>
    </xf>
    <xf numFmtId="167" fontId="40" fillId="0" borderId="0"/>
    <xf numFmtId="167" fontId="37" fillId="0" borderId="0"/>
    <xf numFmtId="167" fontId="40" fillId="0" borderId="0"/>
    <xf numFmtId="167" fontId="37" fillId="0" borderId="0"/>
    <xf numFmtId="167" fontId="37" fillId="0" borderId="0"/>
    <xf numFmtId="167" fontId="40" fillId="0" borderId="0"/>
    <xf numFmtId="167" fontId="37" fillId="0" borderId="0"/>
    <xf numFmtId="167" fontId="37" fillId="0" borderId="0"/>
    <xf numFmtId="167" fontId="40" fillId="0" borderId="0"/>
    <xf numFmtId="167" fontId="37" fillId="0" borderId="0"/>
    <xf numFmtId="167" fontId="40"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32"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40" fillId="0" borderId="0"/>
    <xf numFmtId="0" fontId="32" fillId="0" borderId="0"/>
    <xf numFmtId="167" fontId="1"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37"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7" fontId="84"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32"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71" fillId="0" borderId="0"/>
    <xf numFmtId="0" fontId="268" fillId="0" borderId="0"/>
    <xf numFmtId="167" fontId="1" fillId="0" borderId="0"/>
    <xf numFmtId="167" fontId="40" fillId="0" borderId="0"/>
    <xf numFmtId="167" fontId="37" fillId="0" borderId="0"/>
    <xf numFmtId="0" fontId="271"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0" fontId="40"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272" fillId="0" borderId="0"/>
    <xf numFmtId="167" fontId="272" fillId="0" borderId="0"/>
    <xf numFmtId="167" fontId="272" fillId="0" borderId="0"/>
    <xf numFmtId="167" fontId="272" fillId="0" borderId="0"/>
    <xf numFmtId="0" fontId="120" fillId="0" borderId="0"/>
    <xf numFmtId="167" fontId="40" fillId="0" borderId="0"/>
    <xf numFmtId="167" fontId="120" fillId="0" borderId="0"/>
    <xf numFmtId="167" fontId="84" fillId="0" borderId="0"/>
    <xf numFmtId="167" fontId="84" fillId="0" borderId="0"/>
    <xf numFmtId="167" fontId="84" fillId="0" borderId="0"/>
    <xf numFmtId="167" fontId="84" fillId="0" borderId="0"/>
    <xf numFmtId="167" fontId="84" fillId="0" borderId="0"/>
    <xf numFmtId="167" fontId="272"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40" fillId="0" borderId="0"/>
    <xf numFmtId="167" fontId="63" fillId="0" borderId="62"/>
    <xf numFmtId="167" fontId="273" fillId="0" borderId="0"/>
    <xf numFmtId="0" fontId="89" fillId="0" borderId="0"/>
    <xf numFmtId="167" fontId="89" fillId="0" borderId="0"/>
    <xf numFmtId="178" fontId="89" fillId="0" borderId="0"/>
    <xf numFmtId="167" fontId="274" fillId="0" borderId="0"/>
    <xf numFmtId="167" fontId="46" fillId="0" borderId="0"/>
    <xf numFmtId="167" fontId="275" fillId="0" borderId="0"/>
    <xf numFmtId="0" fontId="46" fillId="0" borderId="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32"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40"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0" fontId="276"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3" fillId="34" borderId="63"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167" fontId="84" fillId="4" borderId="6" applyNumberFormat="0" applyFont="0" applyAlignment="0" applyProtection="0"/>
    <xf numFmtId="303" fontId="277" fillId="0" borderId="62"/>
    <xf numFmtId="303" fontId="278" fillId="0" borderId="62"/>
    <xf numFmtId="304" fontId="37" fillId="11" borderId="0"/>
    <xf numFmtId="305" fontId="279" fillId="0" borderId="0"/>
    <xf numFmtId="227" fontId="231" fillId="0" borderId="0" applyFont="0" applyFill="0" applyBorder="0" applyAlignment="0" applyProtection="0"/>
    <xf numFmtId="234" fontId="231" fillId="0" borderId="0" applyFont="0" applyFill="0" applyBorder="0" applyAlignment="0" applyProtection="0"/>
    <xf numFmtId="241" fontId="119" fillId="0" borderId="0" applyFill="0" applyBorder="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32"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0" fontId="280"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281" fillId="54" borderId="64" applyNumberFormat="0" applyAlignment="0" applyProtection="0"/>
    <xf numFmtId="167" fontId="32" fillId="54" borderId="64" applyNumberFormat="0" applyAlignment="0" applyProtection="0"/>
    <xf numFmtId="167" fontId="281" fillId="54" borderId="64" applyNumberFormat="0" applyAlignment="0" applyProtection="0"/>
    <xf numFmtId="167" fontId="281" fillId="54" borderId="64" applyNumberFormat="0" applyAlignment="0" applyProtection="0"/>
    <xf numFmtId="40" fontId="125" fillId="27" borderId="0">
      <alignment horizontal="right"/>
    </xf>
    <xf numFmtId="167" fontId="282" fillId="70" borderId="0">
      <alignment horizontal="center"/>
    </xf>
    <xf numFmtId="167" fontId="283" fillId="75" borderId="0"/>
    <xf numFmtId="167" fontId="284" fillId="27" borderId="0" applyBorder="0">
      <alignment horizontal="centerContinuous"/>
    </xf>
    <xf numFmtId="167" fontId="285" fillId="75" borderId="0" applyBorder="0">
      <alignment horizontal="centerContinuous"/>
    </xf>
    <xf numFmtId="167" fontId="208" fillId="0" borderId="0" applyNumberFormat="0" applyFill="0" applyBorder="0" applyAlignment="0" applyProtection="0"/>
    <xf numFmtId="178" fontId="102" fillId="0" borderId="0">
      <alignment vertical="center"/>
    </xf>
    <xf numFmtId="167" fontId="286" fillId="0" borderId="0"/>
    <xf numFmtId="167" fontId="286" fillId="0" borderId="0"/>
    <xf numFmtId="167" fontId="286" fillId="0" borderId="0"/>
    <xf numFmtId="1" fontId="287" fillId="0" borderId="0" applyProtection="0">
      <alignment horizontal="right" vertical="center"/>
    </xf>
    <xf numFmtId="167" fontId="288" fillId="11" borderId="0"/>
    <xf numFmtId="200" fontId="289" fillId="0" borderId="30">
      <alignment vertical="center"/>
    </xf>
    <xf numFmtId="306" fontId="37" fillId="0" borderId="0" applyFont="0" applyFill="0" applyBorder="0" applyAlignment="0" applyProtection="0"/>
    <xf numFmtId="307" fontId="37"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37"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8"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219"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1" fontId="40" fillId="0" borderId="0" applyFont="0" applyFill="0" applyBorder="0" applyAlignment="0" applyProtection="0"/>
    <xf numFmtId="221" fontId="40" fillId="0" borderId="0" applyFont="0" applyFill="0" applyBorder="0" applyAlignment="0" applyProtection="0"/>
    <xf numFmtId="292" fontId="126"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166"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37"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7"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19" fontId="120" fillId="44" borderId="65"/>
    <xf numFmtId="320" fontId="120" fillId="0" borderId="65" applyFont="0" applyFill="0" applyBorder="0" applyAlignment="0" applyProtection="0">
      <protection locked="0"/>
    </xf>
    <xf numFmtId="167" fontId="63" fillId="0" borderId="0"/>
    <xf numFmtId="167"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66"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29" applyFill="0" applyBorder="0"/>
    <xf numFmtId="182" fontId="119" fillId="0" borderId="0" applyFill="0" applyBorder="0"/>
    <xf numFmtId="234" fontId="119" fillId="0" borderId="0" applyFill="0" applyBorder="0"/>
    <xf numFmtId="321" fontId="46" fillId="0" borderId="0"/>
    <xf numFmtId="322" fontId="46" fillId="0" borderId="0"/>
    <xf numFmtId="222" fontId="46" fillId="0" borderId="0" applyFill="0" applyBorder="0" applyAlignment="0"/>
    <xf numFmtId="209" fontId="290" fillId="0" borderId="0" applyFill="0" applyBorder="0" applyAlignment="0"/>
    <xf numFmtId="210" fontId="40" fillId="0" borderId="0" applyFill="0" applyBorder="0" applyAlignment="0"/>
    <xf numFmtId="210" fontId="40" fillId="0" borderId="0" applyFill="0" applyBorder="0" applyAlignment="0"/>
    <xf numFmtId="171" fontId="46" fillId="0" borderId="0" applyFill="0" applyBorder="0" applyAlignment="0"/>
    <xf numFmtId="211" fontId="290" fillId="0" borderId="0" applyFill="0" applyBorder="0" applyAlignment="0"/>
    <xf numFmtId="212" fontId="40" fillId="0" borderId="0" applyFill="0" applyBorder="0" applyAlignment="0"/>
    <xf numFmtId="212" fontId="40" fillId="0" borderId="0" applyFill="0" applyBorder="0" applyAlignment="0"/>
    <xf numFmtId="222" fontId="46" fillId="0" borderId="0" applyFill="0" applyBorder="0" applyAlignment="0"/>
    <xf numFmtId="209" fontId="290" fillId="0" borderId="0" applyFill="0" applyBorder="0" applyAlignment="0"/>
    <xf numFmtId="210" fontId="40" fillId="0" borderId="0" applyFill="0" applyBorder="0" applyAlignment="0"/>
    <xf numFmtId="210" fontId="40" fillId="0" borderId="0" applyFill="0" applyBorder="0" applyAlignment="0"/>
    <xf numFmtId="223" fontId="46" fillId="0" borderId="0" applyFill="0" applyBorder="0" applyAlignment="0"/>
    <xf numFmtId="224" fontId="290" fillId="0" borderId="0" applyFill="0" applyBorder="0" applyAlignment="0"/>
    <xf numFmtId="225" fontId="40" fillId="0" borderId="0" applyFill="0" applyBorder="0" applyAlignment="0"/>
    <xf numFmtId="225" fontId="40" fillId="0" borderId="0" applyFill="0" applyBorder="0" applyAlignment="0"/>
    <xf numFmtId="171" fontId="46" fillId="0" borderId="0" applyFill="0" applyBorder="0" applyAlignment="0"/>
    <xf numFmtId="211" fontId="290" fillId="0" borderId="0" applyFill="0" applyBorder="0" applyAlignment="0"/>
    <xf numFmtId="212" fontId="40" fillId="0" borderId="0" applyFill="0" applyBorder="0" applyAlignment="0"/>
    <xf numFmtId="212"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7" fontId="286" fillId="0" borderId="0"/>
    <xf numFmtId="167" fontId="286" fillId="0" borderId="0"/>
    <xf numFmtId="167" fontId="286" fillId="0" borderId="0"/>
    <xf numFmtId="167" fontId="291" fillId="0" borderId="0" applyNumberFormat="0" applyFill="0" applyBorder="0" applyAlignment="0" applyProtection="0">
      <alignment horizontal="left"/>
      <protection locked="0"/>
    </xf>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167" fillId="0" borderId="12" applyNumberFormat="0" applyProtection="0"/>
    <xf numFmtId="167" fontId="277" fillId="0" borderId="0"/>
    <xf numFmtId="167" fontId="292" fillId="0" borderId="0"/>
    <xf numFmtId="167" fontId="293" fillId="0" borderId="0"/>
    <xf numFmtId="167" fontId="278" fillId="0" borderId="0"/>
    <xf numFmtId="323" fontId="70" fillId="0" borderId="0" applyNumberFormat="0" applyFill="0" applyBorder="0" applyAlignment="0" applyProtection="0">
      <alignment horizontal="left"/>
    </xf>
    <xf numFmtId="324" fontId="71" fillId="0" borderId="0"/>
    <xf numFmtId="3" fontId="54" fillId="0" borderId="0" applyFont="0" applyFill="0" applyBorder="0" applyAlignment="0"/>
    <xf numFmtId="167" fontId="32" fillId="0" borderId="0">
      <alignment horizontal="right"/>
    </xf>
    <xf numFmtId="166" fontId="294" fillId="0" borderId="0">
      <alignment horizontal="right"/>
    </xf>
    <xf numFmtId="167" fontId="32" fillId="0" borderId="0">
      <alignment horizontal="right"/>
    </xf>
    <xf numFmtId="166" fontId="295" fillId="0" borderId="0">
      <alignment horizontal="right"/>
    </xf>
    <xf numFmtId="178" fontId="296" fillId="0" borderId="0"/>
    <xf numFmtId="178" fontId="296" fillId="0" borderId="66">
      <alignment horizontal="centerContinuous"/>
    </xf>
    <xf numFmtId="167" fontId="297" fillId="0" borderId="67">
      <alignment vertical="center"/>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167" fontId="131" fillId="76" borderId="68" applyNumberFormat="0" applyProtection="0">
      <alignment horizontal="left" vertical="center" indent="1"/>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325" fontId="125" fillId="77" borderId="68" applyProtection="0">
      <alignment horizontal="right" vertical="center"/>
    </xf>
    <xf numFmtId="167" fontId="298" fillId="0" borderId="0">
      <alignment horizontal="left" vertical="top" wrapText="1"/>
    </xf>
    <xf numFmtId="167" fontId="32" fillId="0" borderId="0"/>
    <xf numFmtId="167" fontId="299" fillId="0" borderId="0"/>
    <xf numFmtId="167" fontId="32" fillId="0" borderId="0"/>
    <xf numFmtId="0" fontId="300" fillId="0" borderId="0"/>
    <xf numFmtId="167" fontId="71" fillId="0" borderId="23"/>
    <xf numFmtId="167" fontId="32" fillId="0" borderId="0">
      <alignment horizontal="right"/>
    </xf>
    <xf numFmtId="326" fontId="57" fillId="0" borderId="0">
      <alignment horizontal="right"/>
    </xf>
    <xf numFmtId="167" fontId="32" fillId="0" borderId="0">
      <alignment horizontal="right"/>
    </xf>
    <xf numFmtId="327" fontId="301" fillId="0" borderId="0">
      <alignment horizontal="right"/>
    </xf>
    <xf numFmtId="167" fontId="32" fillId="0" borderId="0">
      <alignment horizontal="right"/>
    </xf>
    <xf numFmtId="328" fontId="294" fillId="0" borderId="0">
      <alignment horizontal="right"/>
    </xf>
    <xf numFmtId="167" fontId="32" fillId="0" borderId="0">
      <alignment horizontal="right"/>
    </xf>
    <xf numFmtId="329" fontId="295" fillId="0" borderId="0">
      <alignment horizontal="right"/>
    </xf>
    <xf numFmtId="167" fontId="63" fillId="78" borderId="0" applyFont="0"/>
    <xf numFmtId="167" fontId="302" fillId="0" borderId="0" applyNumberFormat="0" applyFill="0" applyBorder="0" applyAlignment="0" applyProtection="0"/>
    <xf numFmtId="167" fontId="32" fillId="0" borderId="62"/>
    <xf numFmtId="167" fontId="195" fillId="0" borderId="62"/>
    <xf numFmtId="167" fontId="32" fillId="0" borderId="62"/>
    <xf numFmtId="0" fontId="195" fillId="0" borderId="62"/>
    <xf numFmtId="167" fontId="32" fillId="0" borderId="0">
      <alignment horizontal="right"/>
    </xf>
    <xf numFmtId="166" fontId="303" fillId="0" borderId="0">
      <alignment horizontal="right"/>
    </xf>
    <xf numFmtId="166" fontId="304" fillId="0" borderId="0">
      <alignment horizontal="right"/>
    </xf>
    <xf numFmtId="166" fontId="303" fillId="0" borderId="0">
      <alignment horizontal="right"/>
    </xf>
    <xf numFmtId="166" fontId="303" fillId="0" borderId="0">
      <alignment horizontal="right"/>
    </xf>
    <xf numFmtId="166" fontId="303" fillId="0" borderId="0">
      <alignment horizontal="right"/>
    </xf>
    <xf numFmtId="167" fontId="32" fillId="0" borderId="0">
      <alignment horizontal="right"/>
    </xf>
    <xf numFmtId="166" fontId="303" fillId="0" borderId="0">
      <alignment horizontal="right"/>
    </xf>
    <xf numFmtId="167" fontId="115" fillId="0" borderId="0" applyFill="0" applyBorder="0" applyAlignment="0" applyProtection="0"/>
    <xf numFmtId="167" fontId="89" fillId="0" borderId="0" applyNumberFormat="0" applyFill="0" applyBorder="0" applyAlignment="0" applyProtection="0">
      <alignment horizontal="center"/>
    </xf>
    <xf numFmtId="167" fontId="32" fillId="0" borderId="0"/>
    <xf numFmtId="167" fontId="301" fillId="0" borderId="0"/>
    <xf numFmtId="167" fontId="301" fillId="0" borderId="0"/>
    <xf numFmtId="167" fontId="57" fillId="0" borderId="0"/>
    <xf numFmtId="167" fontId="301" fillId="0" borderId="0"/>
    <xf numFmtId="167" fontId="301" fillId="0" borderId="0"/>
    <xf numFmtId="167" fontId="301" fillId="0" borderId="0"/>
    <xf numFmtId="167" fontId="301" fillId="0" borderId="0"/>
    <xf numFmtId="167" fontId="301" fillId="0" borderId="0"/>
    <xf numFmtId="167" fontId="301" fillId="0" borderId="0"/>
    <xf numFmtId="167" fontId="301" fillId="0" borderId="0"/>
    <xf numFmtId="167" fontId="32" fillId="0" borderId="0"/>
    <xf numFmtId="0" fontId="301" fillId="0" borderId="0"/>
    <xf numFmtId="167" fontId="301" fillId="0" borderId="0"/>
    <xf numFmtId="167" fontId="32" fillId="0" borderId="0">
      <alignment horizontal="right"/>
    </xf>
    <xf numFmtId="166" fontId="305" fillId="0" borderId="0">
      <alignment horizontal="right"/>
    </xf>
    <xf numFmtId="166" fontId="306" fillId="0" borderId="0">
      <alignment horizontal="right"/>
    </xf>
    <xf numFmtId="166" fontId="305" fillId="0" borderId="0">
      <alignment horizontal="right"/>
    </xf>
    <xf numFmtId="166" fontId="305" fillId="0" borderId="0">
      <alignment horizontal="right"/>
    </xf>
    <xf numFmtId="166" fontId="305" fillId="0" borderId="0">
      <alignment horizontal="right"/>
    </xf>
    <xf numFmtId="167" fontId="32" fillId="0" borderId="0">
      <alignment horizontal="right"/>
    </xf>
    <xf numFmtId="166" fontId="305" fillId="0" borderId="0">
      <alignment horizontal="right"/>
    </xf>
    <xf numFmtId="178" fontId="307" fillId="0" borderId="66"/>
    <xf numFmtId="330" fontId="308" fillId="0" borderId="12">
      <alignment horizontal="left" vertical="center"/>
      <protection locked="0"/>
    </xf>
    <xf numFmtId="167" fontId="84" fillId="0" borderId="0"/>
    <xf numFmtId="167" fontId="37" fillId="0" borderId="0"/>
    <xf numFmtId="167" fontId="37" fillId="0" borderId="0"/>
    <xf numFmtId="167" fontId="37"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37" fillId="0" borderId="0"/>
    <xf numFmtId="167" fontId="37"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40" fillId="0" borderId="0"/>
    <xf numFmtId="167" fontId="40" fillId="0" borderId="0"/>
    <xf numFmtId="167" fontId="40"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84" fillId="0" borderId="0"/>
    <xf numFmtId="167" fontId="40" fillId="0" borderId="0"/>
    <xf numFmtId="167" fontId="40" fillId="0" borderId="0"/>
    <xf numFmtId="167" fontId="40" fillId="0" borderId="0"/>
    <xf numFmtId="167" fontId="40" fillId="0" borderId="0"/>
    <xf numFmtId="167" fontId="40" fillId="0" borderId="0"/>
    <xf numFmtId="167" fontId="37" fillId="0" borderId="0"/>
    <xf numFmtId="167" fontId="37" fillId="0" borderId="0"/>
    <xf numFmtId="167" fontId="37" fillId="0" borderId="0"/>
    <xf numFmtId="167" fontId="37" fillId="0" borderId="0"/>
    <xf numFmtId="167" fontId="37" fillId="0" borderId="0"/>
    <xf numFmtId="167" fontId="32" fillId="0" borderId="0"/>
    <xf numFmtId="167" fontId="309" fillId="0" borderId="0"/>
    <xf numFmtId="167" fontId="32" fillId="0" borderId="0"/>
    <xf numFmtId="0" fontId="310" fillId="0" borderId="0"/>
    <xf numFmtId="167" fontId="32" fillId="0" borderId="0">
      <alignment horizontal="right"/>
    </xf>
    <xf numFmtId="327" fontId="301" fillId="0" borderId="0">
      <alignment horizontal="right"/>
    </xf>
    <xf numFmtId="327" fontId="301" fillId="0" borderId="0">
      <alignment horizontal="right"/>
    </xf>
    <xf numFmtId="326" fontId="57"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327" fontId="301" fillId="0" borderId="0">
      <alignment horizontal="right"/>
    </xf>
    <xf numFmtId="167" fontId="32" fillId="0" borderId="0">
      <alignment horizontal="right"/>
    </xf>
    <xf numFmtId="327" fontId="301" fillId="0" borderId="0">
      <alignment horizontal="right"/>
    </xf>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167" fontId="120" fillId="0" borderId="0"/>
    <xf numFmtId="0"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0"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46" fillId="0" borderId="0"/>
    <xf numFmtId="167" fontId="311" fillId="0" borderId="0"/>
    <xf numFmtId="167" fontId="53" fillId="0" borderId="0"/>
    <xf numFmtId="167" fontId="53" fillId="0" borderId="0"/>
    <xf numFmtId="167" fontId="53" fillId="0" borderId="0"/>
    <xf numFmtId="0" fontId="311" fillId="0" borderId="0"/>
    <xf numFmtId="167" fontId="312" fillId="0" borderId="0"/>
    <xf numFmtId="167" fontId="313" fillId="0" borderId="0"/>
    <xf numFmtId="40" fontId="314" fillId="0" borderId="0" applyBorder="0">
      <alignment horizontal="right"/>
    </xf>
    <xf numFmtId="167" fontId="32" fillId="0" borderId="0">
      <alignment horizontal="right"/>
    </xf>
    <xf numFmtId="331" fontId="57" fillId="0" borderId="0">
      <alignment horizontal="right"/>
    </xf>
    <xf numFmtId="167" fontId="32" fillId="0" borderId="0">
      <alignment horizontal="right"/>
    </xf>
    <xf numFmtId="332" fontId="301" fillId="0" borderId="0">
      <alignment horizontal="right"/>
    </xf>
    <xf numFmtId="167" fontId="315" fillId="0" borderId="0" applyBorder="0" applyProtection="0">
      <alignment vertical="center"/>
    </xf>
    <xf numFmtId="167" fontId="315" fillId="0" borderId="69" applyBorder="0" applyProtection="0">
      <alignment horizontal="right" vertical="center"/>
    </xf>
    <xf numFmtId="167" fontId="316" fillId="79" borderId="0" applyBorder="0" applyProtection="0">
      <alignment horizontal="centerContinuous" vertical="center"/>
    </xf>
    <xf numFmtId="167" fontId="316" fillId="80" borderId="69" applyBorder="0" applyProtection="0">
      <alignment horizontal="centerContinuous" vertical="center"/>
    </xf>
    <xf numFmtId="167" fontId="305" fillId="0" borderId="0"/>
    <xf numFmtId="167" fontId="104" fillId="0" borderId="69" applyAlignment="0"/>
    <xf numFmtId="167" fontId="274" fillId="0" borderId="0"/>
    <xf numFmtId="167" fontId="317" fillId="0" borderId="0" applyFill="0" applyBorder="0" applyProtection="0">
      <alignment horizontal="left"/>
    </xf>
    <xf numFmtId="167" fontId="194" fillId="0" borderId="29" applyFill="0" applyBorder="0" applyProtection="0">
      <alignment horizontal="left" vertical="top"/>
    </xf>
    <xf numFmtId="167" fontId="318" fillId="0" borderId="0">
      <alignment horizontal="centerContinuous"/>
    </xf>
    <xf numFmtId="0" fontId="12" fillId="6" borderId="22"/>
    <xf numFmtId="49" fontId="319" fillId="0" borderId="30">
      <alignment vertical="center"/>
    </xf>
    <xf numFmtId="49" fontId="40" fillId="0" borderId="0" applyFont="0" applyFill="0" applyBorder="0" applyAlignment="0" applyProtection="0"/>
    <xf numFmtId="167"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7" fontId="321" fillId="0" borderId="0"/>
    <xf numFmtId="49" fontId="125" fillId="0" borderId="0" applyFill="0" applyBorder="0" applyAlignment="0"/>
    <xf numFmtId="333" fontId="126" fillId="0" borderId="0" applyFill="0" applyBorder="0" applyAlignment="0"/>
    <xf numFmtId="277" fontId="125" fillId="0" borderId="0" applyFill="0" applyBorder="0" applyAlignment="0"/>
    <xf numFmtId="334" fontId="40" fillId="0" borderId="0" applyFill="0" applyBorder="0" applyAlignment="0"/>
    <xf numFmtId="334" fontId="40" fillId="0" borderId="0" applyFill="0" applyBorder="0" applyAlignment="0"/>
    <xf numFmtId="335" fontId="126" fillId="0" borderId="0" applyFill="0" applyBorder="0" applyAlignment="0"/>
    <xf numFmtId="336" fontId="125" fillId="0" borderId="0" applyFill="0" applyBorder="0" applyAlignment="0"/>
    <xf numFmtId="337" fontId="40" fillId="0" borderId="0" applyFill="0" applyBorder="0" applyAlignment="0"/>
    <xf numFmtId="337" fontId="40" fillId="0" borderId="0" applyFill="0" applyBorder="0" applyAlignment="0"/>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128" fillId="0" borderId="0">
      <alignment vertical="top"/>
    </xf>
    <xf numFmtId="167" fontId="32" fillId="0" borderId="0" applyFont="0" applyFill="0" applyBorder="0" applyAlignment="0" applyProtection="0"/>
    <xf numFmtId="338" fontId="40" fillId="0" borderId="0" applyFont="0" applyFill="0" applyBorder="0" applyAlignment="0" applyProtection="0"/>
    <xf numFmtId="167" fontId="32" fillId="0" borderId="0" applyFont="0" applyFill="0" applyBorder="0" applyAlignment="0" applyProtection="0"/>
    <xf numFmtId="167" fontId="322" fillId="0" borderId="0" applyFill="0" applyBorder="0" applyProtection="0">
      <alignment horizontal="left" vertical="top"/>
    </xf>
    <xf numFmtId="200" fontId="130" fillId="0" borderId="0" applyNumberFormat="0" applyFill="0" applyBorder="0"/>
    <xf numFmtId="167" fontId="67" fillId="0" borderId="0" applyNumberFormat="0" applyFill="0" applyBorder="0" applyAlignment="0" applyProtection="0"/>
    <xf numFmtId="167"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325"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0" fontId="325" fillId="0" borderId="0" applyNumberFormat="0" applyFill="0" applyBorder="0" applyAlignment="0" applyProtection="0"/>
    <xf numFmtId="167" fontId="326" fillId="0" borderId="0" applyNumberFormat="0" applyFill="0" applyBorder="0" applyAlignment="0" applyProtection="0"/>
    <xf numFmtId="167" fontId="32"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167" fontId="326"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107" fillId="7" borderId="0">
      <alignment horizontal="left"/>
    </xf>
    <xf numFmtId="167" fontId="107" fillId="7" borderId="0">
      <alignment horizontal="left"/>
    </xf>
    <xf numFmtId="167" fontId="107" fillId="7" borderId="0">
      <alignment horizontal="left"/>
    </xf>
    <xf numFmtId="167" fontId="107" fillId="7" borderId="0">
      <alignment horizontal="left"/>
    </xf>
    <xf numFmtId="260" fontId="290" fillId="0" borderId="0" applyNumberFormat="0" applyFill="0" applyBorder="0" applyAlignment="0" applyProtection="0"/>
    <xf numFmtId="167" fontId="32" fillId="0" borderId="0"/>
    <xf numFmtId="339" fontId="192" fillId="0" borderId="0"/>
    <xf numFmtId="339" fontId="193" fillId="0" borderId="0"/>
    <xf numFmtId="167" fontId="32" fillId="0" borderId="0"/>
    <xf numFmtId="0" fontId="327" fillId="0" borderId="70" applyNumberForma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167" fontId="125" fillId="0" borderId="71" applyNumberFormat="0" applyFon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32"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0" fontId="327"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166"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167" fontId="125" fillId="0" borderId="71" applyNumberFormat="0" applyFont="0" applyFill="0" applyAlignment="0" applyProtection="0"/>
    <xf numFmtId="167" fontId="238" fillId="0" borderId="0">
      <alignment horizontal="fill"/>
    </xf>
    <xf numFmtId="167" fontId="328" fillId="0" borderId="0">
      <alignment vertical="top"/>
    </xf>
    <xf numFmtId="167" fontId="329" fillId="0" borderId="0"/>
    <xf numFmtId="167" fontId="329" fillId="0" borderId="0"/>
    <xf numFmtId="167" fontId="329" fillId="0" borderId="0"/>
    <xf numFmtId="340" fontId="37" fillId="0" borderId="0" applyFont="0" applyFill="0" applyBorder="0" applyAlignment="0" applyProtection="0"/>
    <xf numFmtId="341" fontId="37" fillId="0" borderId="0" applyFont="0" applyFill="0" applyBorder="0" applyAlignment="0" applyProtection="0"/>
    <xf numFmtId="167" fontId="329" fillId="0" borderId="0"/>
    <xf numFmtId="167" fontId="329" fillId="0" borderId="0"/>
    <xf numFmtId="167" fontId="329" fillId="0" borderId="0"/>
    <xf numFmtId="193" fontId="37" fillId="0" borderId="0" applyFont="0" applyFill="0" applyBorder="0" applyAlignment="0" applyProtection="0"/>
    <xf numFmtId="194" fontId="37" fillId="0" borderId="0" applyFont="0" applyFill="0" applyBorder="0" applyAlignment="0" applyProtection="0"/>
    <xf numFmtId="244" fontId="72" fillId="0" borderId="0" applyFont="0" applyFill="0" applyBorder="0" applyAlignment="0" applyProtection="0"/>
    <xf numFmtId="342" fontId="72" fillId="0" borderId="0" applyFont="0" applyFill="0" applyBorder="0" applyAlignment="0" applyProtection="0"/>
    <xf numFmtId="0" fontId="330"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2"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40" fillId="31" borderId="0" applyNumberFormat="0" applyBorder="0" applyAlignment="0" applyProtection="0"/>
    <xf numFmtId="343" fontId="37"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37"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37"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3" fontId="40" fillId="0" borderId="0" applyFont="0" applyFill="0" applyBorder="0" applyAlignment="0" applyProtection="0"/>
    <xf numFmtId="347" fontId="37"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167" fontId="332" fillId="0" borderId="30" applyBorder="0" applyProtection="0">
      <alignment horizontal="right"/>
    </xf>
    <xf numFmtId="351" fontId="159" fillId="0" borderId="47" applyFont="0" applyFill="0" applyBorder="0" applyAlignment="0">
      <alignment horizontal="centerContinuous"/>
    </xf>
    <xf numFmtId="352" fontId="333" fillId="0" borderId="47" applyFont="0" applyFill="0" applyBorder="0" applyAlignment="0">
      <alignment horizontal="centerContinuous"/>
    </xf>
    <xf numFmtId="1" fontId="334" fillId="0" borderId="0" applyFill="0" applyProtection="0">
      <alignment horizontal="right"/>
    </xf>
    <xf numFmtId="353" fontId="115" fillId="0" borderId="0" applyFont="0" applyFill="0" applyBorder="0" applyAlignment="0" applyProtection="0"/>
    <xf numFmtId="354" fontId="40" fillId="0" borderId="0" applyFont="0" applyFill="0" applyBorder="0" applyAlignment="0" applyProtection="0"/>
    <xf numFmtId="167"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9"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9" borderId="0" applyNumberFormat="0" applyBorder="0" applyAlignment="0" applyProtection="0"/>
    <xf numFmtId="167" fontId="86" fillId="39" borderId="0" applyNumberFormat="0" applyBorder="0" applyAlignment="0" applyProtection="0"/>
    <xf numFmtId="167" fontId="86"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39" borderId="0" applyNumberFormat="0" applyBorder="0" applyAlignment="0" applyProtection="0"/>
    <xf numFmtId="167"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2" borderId="0" applyNumberFormat="0" applyBorder="0" applyAlignment="0" applyProtection="0"/>
    <xf numFmtId="167" fontId="86" fillId="42" borderId="0" applyNumberFormat="0" applyBorder="0" applyAlignment="0" applyProtection="0"/>
    <xf numFmtId="167" fontId="86"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2" borderId="0" applyNumberFormat="0" applyBorder="0" applyAlignment="0" applyProtection="0"/>
    <xf numFmtId="167"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46" borderId="0" applyNumberFormat="0" applyBorder="0" applyAlignment="0" applyProtection="0"/>
    <xf numFmtId="167" fontId="86" fillId="82" borderId="0" applyNumberFormat="0" applyBorder="0" applyAlignment="0" applyProtection="0"/>
    <xf numFmtId="167" fontId="86" fillId="82" borderId="0" applyNumberFormat="0" applyBorder="0" applyAlignment="0" applyProtection="0"/>
    <xf numFmtId="167" fontId="86" fillId="46" borderId="0" applyNumberFormat="0" applyBorder="0" applyAlignment="0" applyProtection="0"/>
    <xf numFmtId="167" fontId="86" fillId="46" borderId="0" applyNumberFormat="0" applyBorder="0" applyAlignment="0" applyProtection="0"/>
    <xf numFmtId="167" fontId="86"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46" borderId="0" applyNumberFormat="0" applyBorder="0" applyAlignment="0" applyProtection="0"/>
    <xf numFmtId="167"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36" borderId="0" applyNumberFormat="0" applyBorder="0" applyAlignment="0" applyProtection="0"/>
    <xf numFmtId="167" fontId="86" fillId="9" borderId="0" applyNumberFormat="0" applyBorder="0" applyAlignment="0" applyProtection="0"/>
    <xf numFmtId="167" fontId="86" fillId="9"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86"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6" borderId="0" applyNumberFormat="0" applyBorder="0" applyAlignment="0" applyProtection="0"/>
    <xf numFmtId="167"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7" borderId="0" applyNumberFormat="0" applyBorder="0" applyAlignment="0" applyProtection="0"/>
    <xf numFmtId="167" fontId="86" fillId="81" borderId="0" applyNumberFormat="0" applyBorder="0" applyAlignment="0" applyProtection="0"/>
    <xf numFmtId="167" fontId="86" fillId="81"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86"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37" borderId="0" applyNumberFormat="0" applyBorder="0" applyAlignment="0" applyProtection="0"/>
    <xf numFmtId="167"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9" borderId="0" applyNumberFormat="0" applyBorder="0" applyAlignment="0" applyProtection="0"/>
    <xf numFmtId="167" fontId="86" fillId="32" borderId="0" applyNumberFormat="0" applyBorder="0" applyAlignment="0" applyProtection="0"/>
    <xf numFmtId="167" fontId="86" fillId="32" borderId="0" applyNumberFormat="0" applyBorder="0" applyAlignment="0" applyProtection="0"/>
    <xf numFmtId="167" fontId="86" fillId="49" borderId="0" applyNumberFormat="0" applyBorder="0" applyAlignment="0" applyProtection="0"/>
    <xf numFmtId="167" fontId="86" fillId="49" borderId="0" applyNumberFormat="0" applyBorder="0" applyAlignment="0" applyProtection="0"/>
    <xf numFmtId="167" fontId="86"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167" fontId="32" fillId="49" borderId="0" applyNumberFormat="0" applyBorder="0" applyAlignment="0" applyProtection="0"/>
    <xf numFmtId="200" fontId="54" fillId="0" borderId="32">
      <protection locked="0"/>
    </xf>
    <xf numFmtId="200" fontId="54" fillId="0" borderId="32">
      <protection locked="0"/>
    </xf>
    <xf numFmtId="0" fontId="235" fillId="23" borderId="34"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0"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0"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0" fontId="235" fillId="23" borderId="34"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335" fillId="25" borderId="63"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235"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167" fontId="32" fillId="23" borderId="34" applyNumberFormat="0" applyAlignment="0" applyProtection="0"/>
    <xf numFmtId="0" fontId="235" fillId="23" borderId="34"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7" fontId="280" fillId="54" borderId="64" applyNumberFormat="0" applyAlignment="0" applyProtection="0"/>
    <xf numFmtId="167" fontId="32" fillId="54" borderId="64" applyNumberFormat="0" applyAlignment="0" applyProtection="0"/>
    <xf numFmtId="167"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0"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0"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0" fontId="280" fillId="54" borderId="64"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327" fillId="27" borderId="57"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32" fillId="54" borderId="64" applyNumberFormat="0" applyAlignment="0" applyProtection="0"/>
    <xf numFmtId="167" fontId="280" fillId="54" borderId="64" applyNumberFormat="0" applyAlignment="0" applyProtection="0"/>
    <xf numFmtId="167" fontId="280" fillId="54" borderId="64" applyNumberFormat="0" applyAlignment="0" applyProtection="0"/>
    <xf numFmtId="167" fontId="32" fillId="54" borderId="34" applyNumberFormat="0" applyAlignment="0" applyProtection="0"/>
    <xf numFmtId="0" fontId="127" fillId="54" borderId="34" applyNumberFormat="0" applyAlignment="0" applyProtection="0"/>
    <xf numFmtId="0" fontId="127" fillId="54" borderId="34"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0"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0"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0" fontId="127" fillId="54" borderId="34"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337" fillId="27" borderId="63"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32" fillId="54" borderId="34" applyNumberFormat="0" applyAlignment="0" applyProtection="0"/>
    <xf numFmtId="167" fontId="127" fillId="54" borderId="34" applyNumberFormat="0" applyAlignment="0" applyProtection="0"/>
    <xf numFmtId="167" fontId="127" fillId="54" borderId="34" applyNumberFormat="0" applyAlignment="0" applyProtection="0"/>
    <xf numFmtId="167" fontId="32" fillId="54" borderId="34" applyNumberFormat="0" applyAlignment="0" applyProtection="0"/>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7" fontId="340" fillId="0" borderId="0" applyNumberFormat="0" applyFill="0" applyBorder="0" applyAlignment="0" applyProtection="0">
      <alignment vertical="top"/>
      <protection locked="0"/>
    </xf>
    <xf numFmtId="0" fontId="100" fillId="0" borderId="0"/>
    <xf numFmtId="167" fontId="95" fillId="0" borderId="0" applyNumberFormat="0" applyFill="0" applyBorder="0" applyAlignment="0" applyProtection="0">
      <alignment vertical="top"/>
      <protection locked="0"/>
    </xf>
    <xf numFmtId="0" fontId="339" fillId="0" borderId="0" applyNumberFormat="0" applyFill="0" applyBorder="0" applyAlignment="0" applyProtection="0"/>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7" fontId="340" fillId="0" borderId="0" applyNumberFormat="0" applyFill="0" applyBorder="0" applyAlignment="0" applyProtection="0">
      <alignment vertical="top"/>
      <protection locked="0"/>
    </xf>
    <xf numFmtId="0" fontId="338" fillId="0" borderId="0" applyNumberFormat="0" applyFill="0" applyBorder="0" applyAlignment="0" applyProtection="0"/>
    <xf numFmtId="167" fontId="34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159" fillId="7" borderId="36"/>
    <xf numFmtId="167" fontId="48" fillId="0" borderId="35"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4" fontId="84"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2"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39" fontId="37" fillId="0" borderId="0" applyFont="0" applyFill="0" applyBorder="0" applyAlignment="0" applyProtection="0"/>
    <xf numFmtId="356" fontId="37" fillId="0" borderId="0" applyFont="0" applyFill="0" applyBorder="0" applyAlignment="0" applyProtection="0"/>
    <xf numFmtId="222" fontId="84" fillId="0" borderId="0" applyFont="0" applyFill="0" applyBorder="0" applyAlignment="0" applyProtection="0"/>
    <xf numFmtId="356" fontId="37" fillId="0" borderId="0" applyFont="0" applyFill="0" applyBorder="0" applyAlignment="0" applyProtection="0"/>
    <xf numFmtId="194" fontId="83"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356" fontId="37" fillId="0" borderId="0" applyFont="0" applyFill="0" applyBorder="0" applyAlignment="0" applyProtection="0"/>
    <xf numFmtId="182" fontId="32" fillId="0" borderId="0" applyFont="0" applyFill="0" applyBorder="0" applyAlignment="0" applyProtection="0"/>
    <xf numFmtId="165" fontId="37" fillId="0" borderId="0" applyFont="0" applyFill="0" applyBorder="0" applyAlignment="0" applyProtection="0"/>
    <xf numFmtId="229" fontId="37" fillId="0" borderId="0" applyFont="0" applyFill="0" applyBorder="0" applyAlignment="0" applyProtection="0"/>
    <xf numFmtId="240" fontId="82" fillId="0" borderId="0" applyFont="0" applyFill="0" applyBorder="0" applyAlignment="0" applyProtection="0"/>
    <xf numFmtId="229" fontId="37" fillId="0" borderId="0" applyFont="0" applyFill="0" applyBorder="0" applyAlignment="0" applyProtection="0"/>
    <xf numFmtId="229" fontId="37" fillId="0" borderId="0" applyFont="0" applyFill="0" applyBorder="0" applyAlignment="0" applyProtection="0"/>
    <xf numFmtId="357" fontId="37" fillId="0" borderId="0" applyFont="0" applyFill="0" applyBorder="0" applyAlignment="0" applyProtection="0"/>
    <xf numFmtId="194"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342" fillId="0" borderId="72" applyNumberFormat="0" applyFill="0" applyAlignment="0" applyProtection="0"/>
    <xf numFmtId="167" fontId="209" fillId="0" borderId="52" applyNumberFormat="0" applyFill="0" applyAlignment="0" applyProtection="0"/>
    <xf numFmtId="167" fontId="209" fillId="0" borderId="52" applyNumberFormat="0" applyFill="0" applyAlignment="0" applyProtection="0"/>
    <xf numFmtId="167"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343" fillId="0" borderId="73" applyNumberFormat="0" applyFill="0" applyAlignment="0" applyProtection="0"/>
    <xf numFmtId="167" fontId="214" fillId="0" borderId="53" applyNumberFormat="0" applyFill="0" applyAlignment="0" applyProtection="0"/>
    <xf numFmtId="167" fontId="214" fillId="0" borderId="53" applyNumberFormat="0" applyFill="0" applyAlignment="0" applyProtection="0"/>
    <xf numFmtId="167"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344" fillId="0" borderId="74" applyNumberFormat="0" applyFill="0" applyAlignment="0" applyProtection="0"/>
    <xf numFmtId="167" fontId="219" fillId="0" borderId="54" applyNumberFormat="0" applyFill="0" applyAlignment="0" applyProtection="0"/>
    <xf numFmtId="167" fontId="219" fillId="0" borderId="54" applyNumberFormat="0" applyFill="0" applyAlignment="0" applyProtection="0"/>
    <xf numFmtId="167"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344" fillId="0" borderId="0" applyNumberFormat="0" applyFill="0" applyBorder="0" applyAlignment="0" applyProtection="0"/>
    <xf numFmtId="167" fontId="219" fillId="0" borderId="0" applyNumberFormat="0" applyFill="0" applyBorder="0" applyAlignment="0" applyProtection="0"/>
    <xf numFmtId="167" fontId="219" fillId="0" borderId="0" applyNumberFormat="0" applyFill="0" applyBorder="0" applyAlignment="0" applyProtection="0"/>
    <xf numFmtId="167"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0" fontId="151" fillId="52" borderId="32"/>
    <xf numFmtId="200" fontId="151" fillId="52" borderId="32"/>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167"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0" fontId="327" fillId="0" borderId="70"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6"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 fillId="0" borderId="70" applyNumberFormat="0" applyFill="0" applyAlignment="0" applyProtection="0"/>
    <xf numFmtId="0"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167" fontId="327" fillId="0" borderId="70" applyNumberFormat="0" applyFill="0" applyAlignment="0" applyProtection="0"/>
    <xf numFmtId="0" fontId="225" fillId="0" borderId="28" applyNumberFormat="0" applyFill="0" applyAlignment="0" applyProtection="0"/>
    <xf numFmtId="0" fontId="225" fillId="0" borderId="28" applyNumberFormat="0" applyFill="0" applyAlignment="0" applyProtection="0"/>
    <xf numFmtId="167" fontId="37" fillId="0" borderId="0"/>
    <xf numFmtId="167" fontId="32" fillId="57" borderId="37" applyNumberFormat="0" applyAlignment="0" applyProtection="0"/>
    <xf numFmtId="0" fontId="133" fillId="57" borderId="37" applyNumberFormat="0" applyAlignment="0" applyProtection="0"/>
    <xf numFmtId="0" fontId="133" fillId="57" borderId="37" applyNumberFormat="0" applyAlignment="0" applyProtection="0"/>
    <xf numFmtId="167" fontId="133" fillId="38" borderId="77" applyNumberFormat="0" applyAlignment="0" applyProtection="0"/>
    <xf numFmtId="167" fontId="133" fillId="38" borderId="77" applyNumberFormat="0" applyAlignment="0" applyProtection="0"/>
    <xf numFmtId="167" fontId="133" fillId="38" borderId="77" applyNumberFormat="0" applyAlignment="0" applyProtection="0"/>
    <xf numFmtId="167" fontId="133" fillId="38" borderId="77" applyNumberFormat="0" applyAlignment="0" applyProtection="0"/>
    <xf numFmtId="167" fontId="133" fillId="57" borderId="37" applyNumberFormat="0" applyAlignment="0" applyProtection="0"/>
    <xf numFmtId="167" fontId="133" fillId="38" borderId="77" applyNumberFormat="0" applyAlignment="0" applyProtection="0"/>
    <xf numFmtId="0" fontId="3" fillId="3" borderId="5" applyNumberFormat="0" applyAlignment="0" applyProtection="0"/>
    <xf numFmtId="167" fontId="133" fillId="38" borderId="77" applyNumberFormat="0" applyAlignment="0" applyProtection="0"/>
    <xf numFmtId="167" fontId="133" fillId="57" borderId="37" applyNumberFormat="0" applyAlignment="0" applyProtection="0"/>
    <xf numFmtId="167" fontId="133" fillId="57" borderId="37" applyNumberFormat="0" applyAlignment="0" applyProtection="0"/>
    <xf numFmtId="167" fontId="133" fillId="57" borderId="37" applyNumberFormat="0" applyAlignment="0" applyProtection="0"/>
    <xf numFmtId="167" fontId="32" fillId="57" borderId="37" applyNumberFormat="0" applyAlignment="0" applyProtection="0"/>
    <xf numFmtId="167" fontId="32" fillId="57" borderId="37" applyNumberFormat="0" applyAlignment="0" applyProtection="0"/>
    <xf numFmtId="167" fontId="32" fillId="57" borderId="37" applyNumberFormat="0" applyAlignment="0" applyProtection="0"/>
    <xf numFmtId="167" fontId="32" fillId="57" borderId="37" applyNumberFormat="0" applyAlignment="0" applyProtection="0"/>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74" fillId="0" borderId="0">
      <alignment horizontal="center" vertical="top" wrapText="1"/>
    </xf>
    <xf numFmtId="0" fontId="224" fillId="0" borderId="0">
      <alignment horizontal="centerContinuous" vertical="center" wrapText="1"/>
    </xf>
    <xf numFmtId="164" fontId="347" fillId="8" borderId="12">
      <alignment wrapText="1"/>
    </xf>
    <xf numFmtId="164" fontId="347" fillId="8" borderId="12">
      <alignment wrapText="1"/>
    </xf>
    <xf numFmtId="164" fontId="347" fillId="8" borderId="12">
      <alignment wrapText="1"/>
    </xf>
    <xf numFmtId="164" fontId="347" fillId="8" borderId="12">
      <alignment wrapText="1"/>
    </xf>
    <xf numFmtId="0" fontId="324"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348" fillId="0" borderId="0" applyNumberFormat="0" applyFill="0" applyBorder="0" applyAlignment="0" applyProtection="0"/>
    <xf numFmtId="167" fontId="324" fillId="0" borderId="0" applyNumberFormat="0" applyFill="0" applyBorder="0" applyAlignment="0" applyProtection="0"/>
    <xf numFmtId="167" fontId="324" fillId="0" borderId="0" applyNumberFormat="0" applyFill="0" applyBorder="0" applyAlignment="0" applyProtection="0"/>
    <xf numFmtId="167" fontId="32" fillId="0" borderId="0" applyNumberFormat="0" applyFill="0" applyBorder="0" applyAlignment="0" applyProtection="0"/>
    <xf numFmtId="0" fontId="324" fillId="0" borderId="0" applyNumberFormat="0" applyFill="0" applyBorder="0" applyAlignment="0" applyProtection="0"/>
    <xf numFmtId="358" fontId="349" fillId="0" borderId="0"/>
    <xf numFmtId="167" fontId="198" fillId="11" borderId="0" applyFill="0"/>
    <xf numFmtId="0" fontId="263" fillId="9" borderId="0" applyNumberFormat="0" applyBorder="0" applyAlignment="0" applyProtection="0"/>
    <xf numFmtId="167" fontId="263" fillId="9" borderId="0" applyNumberFormat="0" applyBorder="0" applyAlignment="0" applyProtection="0"/>
    <xf numFmtId="167" fontId="263" fillId="9" borderId="0" applyNumberFormat="0" applyBorder="0" applyAlignment="0" applyProtection="0"/>
    <xf numFmtId="167" fontId="350" fillId="34" borderId="0" applyNumberFormat="0" applyBorder="0" applyAlignment="0" applyProtection="0"/>
    <xf numFmtId="167" fontId="263" fillId="9" borderId="0" applyNumberFormat="0" applyBorder="0" applyAlignment="0" applyProtection="0"/>
    <xf numFmtId="167" fontId="263" fillId="9" borderId="0" applyNumberFormat="0" applyBorder="0" applyAlignment="0" applyProtection="0"/>
    <xf numFmtId="167"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7" fontId="1" fillId="0" borderId="0"/>
    <xf numFmtId="0" fontId="37" fillId="0" borderId="0"/>
    <xf numFmtId="167" fontId="84" fillId="0" borderId="0"/>
    <xf numFmtId="167" fontId="84" fillId="0" borderId="0"/>
    <xf numFmtId="167" fontId="82" fillId="0" borderId="0"/>
    <xf numFmtId="167" fontId="82" fillId="0" borderId="0"/>
    <xf numFmtId="167" fontId="82" fillId="0" borderId="0"/>
    <xf numFmtId="0" fontId="1" fillId="0" borderId="0"/>
    <xf numFmtId="167" fontId="82" fillId="0" borderId="0"/>
    <xf numFmtId="0" fontId="1" fillId="0" borderId="0"/>
    <xf numFmtId="167" fontId="82" fillId="0" borderId="0"/>
    <xf numFmtId="167" fontId="82" fillId="0" borderId="0"/>
    <xf numFmtId="167" fontId="82" fillId="0" borderId="0"/>
    <xf numFmtId="167" fontId="82" fillId="0" borderId="0"/>
    <xf numFmtId="167" fontId="82" fillId="0" borderId="0"/>
    <xf numFmtId="0" fontId="351" fillId="0" borderId="0"/>
    <xf numFmtId="167" fontId="32" fillId="0" borderId="0"/>
    <xf numFmtId="0" fontId="32" fillId="0" borderId="0"/>
    <xf numFmtId="167" fontId="32" fillId="0" borderId="0"/>
    <xf numFmtId="167" fontId="32" fillId="0" borderId="0"/>
    <xf numFmtId="167" fontId="32" fillId="0" borderId="0"/>
    <xf numFmtId="167" fontId="1" fillId="0" borderId="0"/>
    <xf numFmtId="178" fontId="1" fillId="0" borderId="0"/>
    <xf numFmtId="0" fontId="32" fillId="0" borderId="0"/>
    <xf numFmtId="167" fontId="40" fillId="0" borderId="0"/>
    <xf numFmtId="0" fontId="84" fillId="0" borderId="0"/>
    <xf numFmtId="178" fontId="1" fillId="0" borderId="0"/>
    <xf numFmtId="0" fontId="32" fillId="0" borderId="0"/>
    <xf numFmtId="167" fontId="37" fillId="0" borderId="0"/>
    <xf numFmtId="167" fontId="37" fillId="0" borderId="0"/>
    <xf numFmtId="167" fontId="37" fillId="0" borderId="0"/>
    <xf numFmtId="167" fontId="37" fillId="0" borderId="0"/>
    <xf numFmtId="167" fontId="37" fillId="0" borderId="0"/>
    <xf numFmtId="0" fontId="32" fillId="0" borderId="0"/>
    <xf numFmtId="167" fontId="32" fillId="0" borderId="0"/>
    <xf numFmtId="0" fontId="1" fillId="0" borderId="0"/>
    <xf numFmtId="0" fontId="32" fillId="0" borderId="0"/>
    <xf numFmtId="167" fontId="32" fillId="0" borderId="0"/>
    <xf numFmtId="167" fontId="32" fillId="0" borderId="0"/>
    <xf numFmtId="167" fontId="37" fillId="0" borderId="0"/>
    <xf numFmtId="167" fontId="37" fillId="0" borderId="0"/>
    <xf numFmtId="167" fontId="37" fillId="0" borderId="0"/>
    <xf numFmtId="167" fontId="37" fillId="0" borderId="0"/>
    <xf numFmtId="167" fontId="37" fillId="0" borderId="0"/>
    <xf numFmtId="167" fontId="37" fillId="0" borderId="0"/>
    <xf numFmtId="167" fontId="37" fillId="0" borderId="0"/>
    <xf numFmtId="167"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2" fillId="0" borderId="0"/>
    <xf numFmtId="0" fontId="32" fillId="0" borderId="0"/>
    <xf numFmtId="167" fontId="32" fillId="0" borderId="0"/>
    <xf numFmtId="0" fontId="1" fillId="0" borderId="0"/>
    <xf numFmtId="167" fontId="32" fillId="0" borderId="0"/>
    <xf numFmtId="0" fontId="84" fillId="0" borderId="0"/>
    <xf numFmtId="167" fontId="82" fillId="0" borderId="0"/>
    <xf numFmtId="0" fontId="32" fillId="0" borderId="0"/>
    <xf numFmtId="167" fontId="32" fillId="0" borderId="0"/>
    <xf numFmtId="0" fontId="352" fillId="0" borderId="0" applyBorder="0"/>
    <xf numFmtId="167" fontId="82" fillId="0" borderId="0"/>
    <xf numFmtId="0" fontId="32" fillId="0" borderId="0"/>
    <xf numFmtId="0" fontId="37" fillId="0" borderId="0"/>
    <xf numFmtId="167" fontId="82" fillId="0" borderId="0"/>
    <xf numFmtId="0" fontId="32" fillId="0" borderId="0"/>
    <xf numFmtId="167" fontId="32" fillId="0" borderId="0"/>
    <xf numFmtId="167" fontId="82" fillId="0" borderId="0"/>
    <xf numFmtId="0" fontId="32" fillId="0" borderId="0"/>
    <xf numFmtId="167" fontId="1" fillId="0" borderId="0"/>
    <xf numFmtId="167" fontId="32" fillId="0" borderId="0"/>
    <xf numFmtId="0" fontId="1" fillId="0" borderId="0"/>
    <xf numFmtId="167" fontId="3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359" fontId="64" fillId="0" borderId="0"/>
    <xf numFmtId="359" fontId="64" fillId="0" borderId="0"/>
    <xf numFmtId="167" fontId="82" fillId="0" borderId="0"/>
    <xf numFmtId="167" fontId="82" fillId="0" borderId="0"/>
    <xf numFmtId="167" fontId="82" fillId="0" borderId="0"/>
    <xf numFmtId="167" fontId="82" fillId="0" borderId="0"/>
    <xf numFmtId="49" fontId="276" fillId="0" borderId="0" applyBorder="0">
      <alignment vertical="top"/>
    </xf>
    <xf numFmtId="0" fontId="84" fillId="0" borderId="0"/>
    <xf numFmtId="0" fontId="37" fillId="0" borderId="0"/>
    <xf numFmtId="167" fontId="37" fillId="0" borderId="0"/>
    <xf numFmtId="0" fontId="32" fillId="0" borderId="0"/>
    <xf numFmtId="167" fontId="32" fillId="0" borderId="0"/>
    <xf numFmtId="167" fontId="37" fillId="0" borderId="0"/>
    <xf numFmtId="167" fontId="82" fillId="0" borderId="0"/>
    <xf numFmtId="167" fontId="37" fillId="0" borderId="0"/>
    <xf numFmtId="167" fontId="37" fillId="0" borderId="0"/>
    <xf numFmtId="167" fontId="1" fillId="0" borderId="0"/>
    <xf numFmtId="167" fontId="82" fillId="0" borderId="0"/>
    <xf numFmtId="0" fontId="82" fillId="0" borderId="0"/>
    <xf numFmtId="167" fontId="3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352" fillId="0" borderId="0" applyBorder="0"/>
    <xf numFmtId="0" fontId="352" fillId="0" borderId="0" applyBorder="0"/>
    <xf numFmtId="167" fontId="82" fillId="0" borderId="0"/>
    <xf numFmtId="167" fontId="82" fillId="0" borderId="0"/>
    <xf numFmtId="167" fontId="82" fillId="0" borderId="0"/>
    <xf numFmtId="167" fontId="82" fillId="0" borderId="0"/>
    <xf numFmtId="0" fontId="37" fillId="0" borderId="0"/>
    <xf numFmtId="167" fontId="37" fillId="0" borderId="0"/>
    <xf numFmtId="359" fontId="64"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1" fillId="0" borderId="0"/>
    <xf numFmtId="167" fontId="82" fillId="0" borderId="0"/>
    <xf numFmtId="167"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167" fontId="82" fillId="0" borderId="0"/>
    <xf numFmtId="0" fontId="37" fillId="0" borderId="0"/>
    <xf numFmtId="167" fontId="82" fillId="0" borderId="0"/>
    <xf numFmtId="167" fontId="82" fillId="0" borderId="0"/>
    <xf numFmtId="0" fontId="37" fillId="0" borderId="0"/>
    <xf numFmtId="167" fontId="37" fillId="0" borderId="0"/>
    <xf numFmtId="0" fontId="32" fillId="0" borderId="0"/>
    <xf numFmtId="167" fontId="82" fillId="0" borderId="0"/>
    <xf numFmtId="167" fontId="82" fillId="0" borderId="0"/>
    <xf numFmtId="167" fontId="32" fillId="0" borderId="0"/>
    <xf numFmtId="167" fontId="32" fillId="0" borderId="0"/>
    <xf numFmtId="167" fontId="37" fillId="0" borderId="0"/>
    <xf numFmtId="167" fontId="32" fillId="0" borderId="0"/>
    <xf numFmtId="167" fontId="82" fillId="0" borderId="0"/>
    <xf numFmtId="167" fontId="139" fillId="0" borderId="0"/>
    <xf numFmtId="167" fontId="1" fillId="0" borderId="0"/>
    <xf numFmtId="167" fontId="1" fillId="0" borderId="0"/>
    <xf numFmtId="167" fontId="62" fillId="0" borderId="0"/>
    <xf numFmtId="167" fontId="1" fillId="0" borderId="0"/>
    <xf numFmtId="167" fontId="1" fillId="0" borderId="0"/>
    <xf numFmtId="167" fontId="1" fillId="0" borderId="0"/>
    <xf numFmtId="167" fontId="1" fillId="0" borderId="0"/>
    <xf numFmtId="167" fontId="271" fillId="0" borderId="0"/>
    <xf numFmtId="167" fontId="1" fillId="0" borderId="0"/>
    <xf numFmtId="167" fontId="1" fillId="0" borderId="0"/>
    <xf numFmtId="167" fontId="54" fillId="0" borderId="0"/>
    <xf numFmtId="167" fontId="1" fillId="0" borderId="0"/>
    <xf numFmtId="0" fontId="354" fillId="0" borderId="0"/>
    <xf numFmtId="167" fontId="82" fillId="0" borderId="0"/>
    <xf numFmtId="0" fontId="32" fillId="0" borderId="0"/>
    <xf numFmtId="167" fontId="32" fillId="0" borderId="0"/>
    <xf numFmtId="0" fontId="37" fillId="0" borderId="0"/>
    <xf numFmtId="0" fontId="354" fillId="0" borderId="0"/>
    <xf numFmtId="167" fontId="37" fillId="0" borderId="0"/>
    <xf numFmtId="167" fontId="37" fillId="0" borderId="0"/>
    <xf numFmtId="167" fontId="37" fillId="0" borderId="0"/>
    <xf numFmtId="167" fontId="271" fillId="0" borderId="0"/>
    <xf numFmtId="167" fontId="37" fillId="0" borderId="0"/>
    <xf numFmtId="167" fontId="1" fillId="0" borderId="0"/>
    <xf numFmtId="167" fontId="84" fillId="0" borderId="0"/>
    <xf numFmtId="0" fontId="32" fillId="0" borderId="0"/>
    <xf numFmtId="167" fontId="1" fillId="0" borderId="0"/>
    <xf numFmtId="0" fontId="1" fillId="0" borderId="0"/>
    <xf numFmtId="0" fontId="1" fillId="0" borderId="0"/>
    <xf numFmtId="0" fontId="1" fillId="0" borderId="0"/>
    <xf numFmtId="0" fontId="355" fillId="0" borderId="0"/>
    <xf numFmtId="167" fontId="82" fillId="0" borderId="0"/>
    <xf numFmtId="0" fontId="37" fillId="0" borderId="0"/>
    <xf numFmtId="167"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7" fontId="356"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6" fillId="0" borderId="0" applyNumberFormat="0" applyFill="0" applyBorder="0" applyAlignment="0" applyProtection="0">
      <alignment vertical="top"/>
      <protection locked="0"/>
    </xf>
    <xf numFmtId="167"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19" borderId="0" applyNumberFormat="0" applyBorder="0" applyAlignment="0" applyProtection="0"/>
    <xf numFmtId="167" fontId="105" fillId="83" borderId="0" applyNumberFormat="0" applyBorder="0" applyAlignment="0" applyProtection="0"/>
    <xf numFmtId="167" fontId="105" fillId="83" borderId="0" applyNumberFormat="0" applyBorder="0" applyAlignment="0" applyProtection="0"/>
    <xf numFmtId="167" fontId="105" fillId="19" borderId="0" applyNumberFormat="0" applyBorder="0" applyAlignment="0" applyProtection="0"/>
    <xf numFmtId="167" fontId="105" fillId="19" borderId="0" applyNumberFormat="0" applyBorder="0" applyAlignment="0" applyProtection="0"/>
    <xf numFmtId="167" fontId="105"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67" fontId="32" fillId="19" borderId="0" applyNumberFormat="0" applyBorder="0" applyAlignment="0" applyProtection="0"/>
    <xf numFmtId="189" fontId="358" fillId="10" borderId="78" applyNumberFormat="0" applyBorder="0" applyAlignment="0">
      <alignment vertical="center"/>
      <protection locked="0"/>
    </xf>
    <xf numFmtId="0" fontId="172" fillId="0" borderId="0" applyNumberFormat="0" applyFill="0" applyBorder="0" applyAlignment="0" applyProtection="0"/>
    <xf numFmtId="167" fontId="172" fillId="0" borderId="0" applyNumberFormat="0" applyFill="0" applyBorder="0" applyAlignment="0" applyProtection="0"/>
    <xf numFmtId="167" fontId="172" fillId="0" borderId="0" applyNumberFormat="0" applyFill="0" applyBorder="0" applyAlignment="0" applyProtection="0"/>
    <xf numFmtId="167" fontId="359" fillId="0" borderId="0" applyNumberFormat="0" applyFill="0" applyBorder="0" applyAlignment="0" applyProtection="0"/>
    <xf numFmtId="167" fontId="172" fillId="0" borderId="0" applyNumberFormat="0" applyFill="0" applyBorder="0" applyAlignment="0" applyProtection="0"/>
    <xf numFmtId="167" fontId="172" fillId="0" borderId="0" applyNumberFormat="0" applyFill="0" applyBorder="0" applyAlignment="0" applyProtection="0"/>
    <xf numFmtId="167" fontId="32" fillId="0" borderId="0" applyNumberFormat="0" applyFill="0" applyBorder="0" applyAlignment="0" applyProtection="0"/>
    <xf numFmtId="0" fontId="172" fillId="0" borderId="0" applyNumberFormat="0" applyFill="0" applyBorder="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167" fontId="32" fillId="34" borderId="34"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0" fontId="37"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167"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7" fontId="258" fillId="0" borderId="59" applyNumberFormat="0" applyFill="0" applyAlignment="0" applyProtection="0"/>
    <xf numFmtId="167" fontId="258" fillId="0" borderId="59" applyNumberFormat="0" applyFill="0" applyAlignment="0" applyProtection="0"/>
    <xf numFmtId="167" fontId="330" fillId="0" borderId="79" applyNumberFormat="0" applyFill="0" applyAlignment="0" applyProtection="0"/>
    <xf numFmtId="167" fontId="258" fillId="0" borderId="59" applyNumberFormat="0" applyFill="0" applyAlignment="0" applyProtection="0"/>
    <xf numFmtId="167" fontId="258" fillId="0" borderId="59" applyNumberFormat="0" applyFill="0" applyAlignment="0" applyProtection="0"/>
    <xf numFmtId="167" fontId="32" fillId="0" borderId="59" applyNumberFormat="0" applyFill="0" applyAlignment="0" applyProtection="0"/>
    <xf numFmtId="0" fontId="258" fillId="0" borderId="59" applyNumberFormat="0" applyFill="0" applyAlignment="0" applyProtection="0"/>
    <xf numFmtId="167" fontId="32" fillId="0" borderId="0"/>
    <xf numFmtId="167" fontId="361" fillId="0" borderId="0"/>
    <xf numFmtId="167" fontId="32" fillId="0" borderId="0"/>
    <xf numFmtId="0" fontId="361" fillId="0" borderId="0"/>
    <xf numFmtId="0" fontId="46" fillId="0" borderId="0"/>
    <xf numFmtId="174" fontId="57" fillId="0" borderId="0">
      <alignment vertical="top"/>
    </xf>
    <xf numFmtId="38" fontId="57" fillId="0" borderId="0">
      <alignment vertical="top"/>
    </xf>
    <xf numFmtId="167" fontId="37" fillId="0" borderId="0"/>
    <xf numFmtId="0" fontId="46" fillId="0" borderId="0"/>
    <xf numFmtId="167" fontId="46" fillId="0" borderId="0"/>
    <xf numFmtId="0" fontId="38" fillId="0" borderId="0"/>
    <xf numFmtId="167" fontId="37" fillId="0" borderId="0"/>
    <xf numFmtId="167" fontId="37" fillId="0" borderId="0"/>
    <xf numFmtId="167" fontId="52" fillId="0" borderId="0"/>
    <xf numFmtId="167" fontId="32" fillId="0" borderId="0"/>
    <xf numFmtId="0" fontId="5" fillId="84" borderId="12" applyBorder="0" applyAlignment="0">
      <alignment vertical="center"/>
    </xf>
    <xf numFmtId="167" fontId="32" fillId="0" borderId="0"/>
    <xf numFmtId="167" fontId="52" fillId="0" borderId="0"/>
    <xf numFmtId="167" fontId="72" fillId="0" borderId="0" applyNumberFormat="0" applyFont="0" applyFill="0" applyBorder="0" applyAlignment="0" applyProtection="0">
      <alignment vertical="top"/>
    </xf>
    <xf numFmtId="167" fontId="72" fillId="0" borderId="0" applyNumberFormat="0" applyFont="0" applyFill="0" applyBorder="0" applyAlignment="0" applyProtection="0">
      <alignment vertical="top"/>
    </xf>
    <xf numFmtId="167" fontId="32" fillId="0" borderId="0"/>
    <xf numFmtId="167" fontId="32" fillId="0" borderId="0"/>
    <xf numFmtId="167" fontId="32" fillId="0" borderId="0">
      <alignment vertical="justify"/>
    </xf>
    <xf numFmtId="49" fontId="362" fillId="0" borderId="0"/>
    <xf numFmtId="49" fontId="363" fillId="0" borderId="0">
      <alignment vertical="top"/>
    </xf>
    <xf numFmtId="189" fontId="225" fillId="0" borderId="0" applyFill="0" applyBorder="0" applyAlignment="0" applyProtection="0"/>
    <xf numFmtId="189" fontId="225" fillId="0" borderId="0" applyFill="0" applyBorder="0" applyAlignment="0" applyProtection="0"/>
    <xf numFmtId="167"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0" fontId="4"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30"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167"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0" fontId="364" fillId="0" borderId="0"/>
    <xf numFmtId="360" fontId="364" fillId="0" borderId="0"/>
    <xf numFmtId="360" fontId="364" fillId="0" borderId="0"/>
    <xf numFmtId="38" fontId="32" fillId="0" borderId="0" applyFont="0" applyFill="0" applyBorder="0" applyAlignment="0" applyProtection="0"/>
    <xf numFmtId="3" fontId="365" fillId="0" borderId="35" applyFont="0" applyBorder="0">
      <alignment horizontal="right"/>
      <protection locked="0"/>
    </xf>
    <xf numFmtId="182"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4" fontId="37" fillId="0" borderId="0" applyFont="0" applyFill="0" applyBorder="0" applyAlignment="0" applyProtection="0"/>
    <xf numFmtId="227" fontId="32" fillId="0" borderId="0" applyFont="0" applyFill="0" applyBorder="0" applyAlignment="0" applyProtection="0"/>
    <xf numFmtId="227"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167"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7"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165" fontId="366" fillId="0" borderId="0" applyFont="0" applyFill="0" applyBorder="0" applyAlignment="0" applyProtection="0"/>
    <xf numFmtId="189" fontId="366"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7" fillId="0" borderId="0" applyFont="0" applyFill="0" applyBorder="0" applyAlignment="0" applyProtection="0"/>
    <xf numFmtId="234" fontId="1" fillId="0" borderId="0" applyFont="0" applyFill="0" applyBorder="0" applyAlignment="0" applyProtection="0"/>
    <xf numFmtId="234" fontId="37" fillId="0" borderId="0" applyFont="0" applyFill="0" applyBorder="0" applyAlignment="0" applyProtection="0"/>
    <xf numFmtId="234" fontId="83" fillId="0" borderId="0" applyFont="0" applyFill="0" applyBorder="0" applyAlignment="0" applyProtection="0"/>
    <xf numFmtId="237" fontId="37"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37"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361" fontId="37"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2" fillId="0" borderId="0" applyFont="0" applyFill="0" applyBorder="0" applyAlignment="0" applyProtection="0"/>
    <xf numFmtId="361" fontId="37" fillId="0" borderId="0" applyFont="0" applyFill="0" applyBorder="0" applyAlignment="0" applyProtection="0"/>
    <xf numFmtId="237" fontId="37" fillId="0" borderId="0" applyFont="0" applyFill="0" applyBorder="0" applyAlignment="0" applyProtection="0"/>
    <xf numFmtId="234" fontId="32"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2" fillId="0" borderId="0" applyFont="0" applyFill="0" applyBorder="0" applyAlignment="0" applyProtection="0"/>
    <xf numFmtId="361" fontId="37" fillId="0" borderId="0" applyFont="0" applyFill="0" applyBorder="0" applyAlignment="0" applyProtection="0"/>
    <xf numFmtId="234" fontId="32" fillId="0" borderId="0" applyFont="0" applyFill="0" applyBorder="0" applyAlignment="0" applyProtection="0"/>
    <xf numFmtId="361"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362" fontId="54" fillId="0" borderId="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7" fillId="0" borderId="0" applyFont="0" applyFill="0" applyBorder="0" applyAlignment="0" applyProtection="0"/>
    <xf numFmtId="234" fontId="32" fillId="0" borderId="0" applyFont="0" applyFill="0" applyBorder="0" applyAlignment="0" applyProtection="0"/>
    <xf numFmtId="357"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363" fontId="32" fillId="0" borderId="0" applyFont="0" applyFill="0" applyBorder="0" applyAlignment="0" applyProtection="0"/>
    <xf numFmtId="229" fontId="32" fillId="0" borderId="0" applyFont="0" applyFill="0" applyBorder="0" applyAlignment="0" applyProtection="0"/>
    <xf numFmtId="229" fontId="32" fillId="0" borderId="0" applyFont="0" applyFill="0" applyBorder="0" applyAlignment="0" applyProtection="0"/>
    <xf numFmtId="234" fontId="82" fillId="0" borderId="0" applyFont="0" applyFill="0" applyBorder="0" applyAlignment="0" applyProtection="0"/>
    <xf numFmtId="36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09" fontId="37" fillId="0" borderId="0" applyFont="0" applyFill="0" applyBorder="0" applyAlignment="0" applyProtection="0"/>
    <xf numFmtId="209" fontId="37" fillId="0" borderId="0" applyFont="0" applyFill="0" applyBorder="0" applyAlignment="0" applyProtection="0"/>
    <xf numFmtId="209" fontId="37"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82" fillId="0" borderId="0" applyFont="0" applyFill="0" applyBorder="0" applyAlignment="0" applyProtection="0"/>
    <xf numFmtId="234" fontId="37" fillId="0" borderId="0" applyFont="0" applyFill="0" applyBorder="0" applyAlignment="0" applyProtection="0"/>
    <xf numFmtId="234" fontId="8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7" fillId="0" borderId="0" applyFont="0" applyFill="0" applyBorder="0" applyAlignment="0" applyProtection="0"/>
    <xf numFmtId="234" fontId="271" fillId="0" borderId="0" applyFont="0" applyFill="0" applyBorder="0" applyAlignment="0" applyProtection="0"/>
    <xf numFmtId="180" fontId="37"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2" fillId="0" borderId="0" applyFont="0" applyFill="0" applyBorder="0" applyAlignment="0" applyProtection="0"/>
    <xf numFmtId="234" fontId="32" fillId="0" borderId="0" applyFont="0" applyFill="0" applyBorder="0" applyAlignment="0" applyProtection="0"/>
    <xf numFmtId="234" fontId="82" fillId="0" borderId="0" applyFont="0" applyFill="0" applyBorder="0" applyAlignment="0" applyProtection="0"/>
    <xf numFmtId="365" fontId="37" fillId="0" borderId="0" applyFont="0" applyFill="0" applyBorder="0" applyAlignment="0" applyProtection="0"/>
    <xf numFmtId="181"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165" fontId="37" fillId="0" borderId="0" applyFont="0" applyFill="0" applyBorder="0" applyAlignment="0" applyProtection="0"/>
    <xf numFmtId="234" fontId="82" fillId="0" borderId="0" applyFont="0" applyFill="0" applyBorder="0" applyAlignment="0" applyProtection="0"/>
    <xf numFmtId="234" fontId="40" fillId="0" borderId="0" applyFont="0" applyFill="0" applyBorder="0" applyAlignment="0" applyProtection="0"/>
    <xf numFmtId="234" fontId="84" fillId="0" borderId="0" applyFont="0" applyFill="0" applyBorder="0" applyAlignment="0" applyProtection="0"/>
    <xf numFmtId="237" fontId="1" fillId="0" borderId="0" applyFont="0" applyFill="0" applyBorder="0" applyAlignment="0" applyProtection="0"/>
    <xf numFmtId="234" fontId="83" fillId="0" borderId="0" applyFont="0" applyFill="0" applyBorder="0" applyAlignment="0" applyProtection="0"/>
    <xf numFmtId="234"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7" fontId="199" fillId="20" borderId="0" applyNumberFormat="0" applyBorder="0" applyAlignment="0" applyProtection="0"/>
    <xf numFmtId="167" fontId="199" fillId="20" borderId="0" applyNumberFormat="0" applyBorder="0" applyAlignment="0" applyProtection="0"/>
    <xf numFmtId="167" fontId="367" fillId="26" borderId="0" applyNumberFormat="0" applyBorder="0" applyAlignment="0" applyProtection="0"/>
    <xf numFmtId="167" fontId="199" fillId="20" borderId="0" applyNumberFormat="0" applyBorder="0" applyAlignment="0" applyProtection="0"/>
    <xf numFmtId="167" fontId="199" fillId="20" borderId="0" applyNumberFormat="0" applyBorder="0" applyAlignment="0" applyProtection="0"/>
    <xf numFmtId="167"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6" fontId="61" fillId="0" borderId="0">
      <protection locked="0"/>
    </xf>
    <xf numFmtId="182"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7" fontId="37" fillId="39" borderId="0" applyNumberFormat="0" applyBorder="0" applyAlignment="0" applyProtection="0">
      <alignment vertical="center"/>
    </xf>
    <xf numFmtId="0" fontId="37" fillId="39" borderId="0" applyNumberFormat="0" applyBorder="0" applyAlignment="0" applyProtection="0">
      <alignment vertical="center"/>
    </xf>
    <xf numFmtId="167" fontId="37" fillId="42" borderId="0" applyNumberFormat="0" applyBorder="0" applyAlignment="0" applyProtection="0">
      <alignment vertical="center"/>
    </xf>
    <xf numFmtId="0" fontId="37" fillId="42" borderId="0" applyNumberFormat="0" applyBorder="0" applyAlignment="0" applyProtection="0">
      <alignment vertical="center"/>
    </xf>
    <xf numFmtId="167" fontId="37" fillId="46" borderId="0" applyNumberFormat="0" applyBorder="0" applyAlignment="0" applyProtection="0">
      <alignment vertical="center"/>
    </xf>
    <xf numFmtId="0" fontId="37" fillId="46" borderId="0" applyNumberFormat="0" applyBorder="0" applyAlignment="0" applyProtection="0">
      <alignment vertical="center"/>
    </xf>
    <xf numFmtId="167" fontId="37" fillId="36" borderId="0" applyNumberFormat="0" applyBorder="0" applyAlignment="0" applyProtection="0">
      <alignment vertical="center"/>
    </xf>
    <xf numFmtId="0" fontId="37" fillId="36" borderId="0" applyNumberFormat="0" applyBorder="0" applyAlignment="0" applyProtection="0">
      <alignment vertical="center"/>
    </xf>
    <xf numFmtId="167" fontId="37" fillId="37" borderId="0" applyNumberFormat="0" applyBorder="0" applyAlignment="0" applyProtection="0">
      <alignment vertical="center"/>
    </xf>
    <xf numFmtId="0" fontId="37" fillId="37" borderId="0" applyNumberFormat="0" applyBorder="0" applyAlignment="0" applyProtection="0">
      <alignment vertical="center"/>
    </xf>
    <xf numFmtId="167" fontId="37" fillId="49" borderId="0" applyNumberFormat="0" applyBorder="0" applyAlignment="0" applyProtection="0">
      <alignment vertical="center"/>
    </xf>
    <xf numFmtId="0" fontId="37" fillId="49" borderId="0" applyNumberFormat="0" applyBorder="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57" borderId="37" applyNumberFormat="0" applyAlignment="0" applyProtection="0">
      <alignment vertical="center"/>
    </xf>
    <xf numFmtId="0" fontId="37" fillId="57" borderId="37" applyNumberFormat="0" applyAlignment="0" applyProtection="0">
      <alignment vertical="center"/>
    </xf>
    <xf numFmtId="178" fontId="40" fillId="0" borderId="0" applyFont="0" applyFill="0" applyBorder="0" applyAlignment="0" applyProtection="0"/>
    <xf numFmtId="178" fontId="40" fillId="0" borderId="0" applyFont="0" applyFill="0" applyBorder="0" applyAlignment="0" applyProtection="0"/>
    <xf numFmtId="167" fontId="37" fillId="9" borderId="0" applyNumberFormat="0" applyBorder="0" applyAlignment="0" applyProtection="0">
      <alignment vertical="center"/>
    </xf>
    <xf numFmtId="0" fontId="37" fillId="9" borderId="0" applyNumberFormat="0" applyBorder="0" applyAlignment="0" applyProtection="0">
      <alignment vertical="center"/>
    </xf>
    <xf numFmtId="178" fontId="40" fillId="0" borderId="0" applyFont="0" applyFill="0" applyBorder="0" applyAlignment="0" applyProtection="0"/>
    <xf numFmtId="178" fontId="40" fillId="0" borderId="0" applyFont="0" applyFill="0" applyBorder="0" applyAlignment="0" applyProtection="0"/>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0"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34" borderId="63" applyNumberFormat="0" applyFont="0" applyAlignment="0" applyProtection="0">
      <alignment vertical="center"/>
    </xf>
    <xf numFmtId="167" fontId="37" fillId="0" borderId="59" applyNumberFormat="0" applyFill="0" applyAlignment="0" applyProtection="0">
      <alignment vertical="center"/>
    </xf>
    <xf numFmtId="0" fontId="37" fillId="0" borderId="59" applyNumberFormat="0" applyFill="0" applyAlignment="0" applyProtection="0">
      <alignment vertical="center"/>
    </xf>
    <xf numFmtId="167" fontId="37" fillId="23" borderId="34" applyNumberFormat="0" applyAlignment="0" applyProtection="0">
      <alignment vertical="center"/>
    </xf>
    <xf numFmtId="0"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23" borderId="3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0"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167" fontId="37" fillId="54" borderId="64" applyNumberFormat="0" applyAlignment="0" applyProtection="0">
      <alignment vertical="center"/>
    </xf>
    <xf numFmtId="367" fontId="114" fillId="0" borderId="0" applyFont="0" applyFill="0" applyBorder="0" applyAlignment="0" applyProtection="0"/>
    <xf numFmtId="210" fontId="114" fillId="0" borderId="0" applyFont="0" applyFill="0" applyBorder="0" applyAlignment="0" applyProtection="0"/>
    <xf numFmtId="167"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7" fontId="32" fillId="0" borderId="0"/>
    <xf numFmtId="167" fontId="37" fillId="20" borderId="0" applyNumberFormat="0" applyBorder="0" applyAlignment="0" applyProtection="0">
      <alignment vertical="center"/>
    </xf>
    <xf numFmtId="0" fontId="37" fillId="20" borderId="0" applyNumberFormat="0" applyBorder="0" applyAlignment="0" applyProtection="0">
      <alignment vertical="center"/>
    </xf>
    <xf numFmtId="167" fontId="37" fillId="0" borderId="52" applyNumberFormat="0" applyFill="0" applyAlignment="0" applyProtection="0">
      <alignment vertical="center"/>
    </xf>
    <xf numFmtId="0" fontId="37" fillId="0" borderId="52" applyNumberFormat="0" applyFill="0" applyAlignment="0" applyProtection="0">
      <alignment vertical="center"/>
    </xf>
    <xf numFmtId="167" fontId="37" fillId="0" borderId="53" applyNumberFormat="0" applyFill="0" applyAlignment="0" applyProtection="0">
      <alignment vertical="center"/>
    </xf>
    <xf numFmtId="0" fontId="37" fillId="0" borderId="53" applyNumberFormat="0" applyFill="0" applyAlignment="0" applyProtection="0">
      <alignment vertical="center"/>
    </xf>
    <xf numFmtId="167" fontId="37" fillId="0" borderId="54" applyNumberFormat="0" applyFill="0" applyAlignment="0" applyProtection="0">
      <alignment vertical="center"/>
    </xf>
    <xf numFmtId="0" fontId="37" fillId="0" borderId="54" applyNumberFormat="0" applyFill="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54" borderId="34" applyNumberFormat="0" applyAlignment="0" applyProtection="0">
      <alignment vertical="center"/>
    </xf>
    <xf numFmtId="0"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54" borderId="34" applyNumberFormat="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0"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xf numFmtId="167" fontId="37" fillId="0" borderId="70" applyNumberFormat="0" applyFill="0" applyAlignment="0" applyProtection="0">
      <alignment vertical="center"/>
    </xf>
  </cellStyleXfs>
  <cellXfs count="148">
    <xf numFmtId="0" fontId="0" fillId="0" borderId="0" xfId="0"/>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11" xfId="2" applyFont="1" applyFill="1" applyBorder="1"/>
    <xf numFmtId="0" fontId="7" fillId="6" borderId="14" xfId="2" applyFont="1" applyFill="1" applyBorder="1"/>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39" xfId="2" applyFont="1" applyFill="1" applyBorder="1"/>
    <xf numFmtId="0" fontId="7" fillId="6" borderId="39" xfId="2" applyFont="1" applyFill="1" applyBorder="1" applyAlignment="1">
      <alignment vertical="center"/>
    </xf>
    <xf numFmtId="0" fontId="7" fillId="6" borderId="0" xfId="2" applyFont="1" applyFill="1" applyAlignment="1">
      <alignment vertical="center"/>
    </xf>
    <xf numFmtId="0" fontId="7" fillId="6" borderId="15" xfId="2" applyFont="1" applyFill="1" applyBorder="1" applyAlignment="1">
      <alignment horizontal="left" vertical="center" wrapText="1"/>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10" fontId="19" fillId="6" borderId="13" xfId="2" applyNumberFormat="1" applyFont="1" applyFill="1" applyBorder="1" applyAlignment="1" applyProtection="1">
      <alignment vertical="center"/>
    </xf>
    <xf numFmtId="10" fontId="19" fillId="6" borderId="16" xfId="2" applyNumberFormat="1" applyFont="1" applyFill="1" applyBorder="1" applyAlignment="1" applyProtection="1">
      <alignment vertical="center"/>
    </xf>
    <xf numFmtId="0" fontId="7" fillId="6" borderId="80" xfId="2" applyFont="1" applyFill="1" applyBorder="1"/>
    <xf numFmtId="10" fontId="19"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8" fillId="6" borderId="0" xfId="2" applyFont="1" applyFill="1" applyBorder="1" applyAlignment="1">
      <alignment horizontal="center" vertical="center" wrapText="1"/>
    </xf>
    <xf numFmtId="0" fontId="9" fillId="6" borderId="7" xfId="2" applyFont="1" applyFill="1" applyBorder="1" applyAlignment="1">
      <alignment horizontal="left" wrapText="1"/>
    </xf>
    <xf numFmtId="0" fontId="9" fillId="6" borderId="19" xfId="2" applyFont="1" applyFill="1" applyBorder="1" applyAlignment="1">
      <alignment horizontal="left" vertical="center" wrapText="1"/>
    </xf>
    <xf numFmtId="0" fontId="9" fillId="6" borderId="7" xfId="2" applyFont="1" applyFill="1" applyBorder="1" applyAlignment="1">
      <alignment horizont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externalLink" Target="externalLinks/externalLink1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externalLink" Target="externalLinks/externalLink18.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externalLink" Target="externalLinks/externalLink1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externalLink" Target="externalLinks/externalLink16.xml"/><Relationship Id="rId35" Type="http://schemas.openxmlformats.org/officeDocument/2006/relationships/sharedStrings" Target="sharedStrings.xml"/><Relationship Id="rId8" Type="http://schemas.openxmlformats.org/officeDocument/2006/relationships/worksheet" Target="worksheets/sheet8.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1745" name="Button 1" hidden="1">
              <a:extLst>
                <a:ext uri="{63B3BB69-23CF-44E3-9099-C40C66FF867C}">
                  <a14:compatExt spid="_x0000_s317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2769" name="Button 1" hidden="1">
              <a:extLst>
                <a:ext uri="{63B3BB69-23CF-44E3-9099-C40C66FF867C}">
                  <a14:compatExt spid="_x0000_s327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3793" name="Button 1" hidden="1">
              <a:extLst>
                <a:ext uri="{63B3BB69-23CF-44E3-9099-C40C66FF867C}">
                  <a14:compatExt spid="_x0000_s337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4817" name="Button 1" hidden="1">
              <a:extLst>
                <a:ext uri="{63B3BB69-23CF-44E3-9099-C40C66FF867C}">
                  <a14:compatExt spid="_x0000_s348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5841" name="Button 1" hidden="1">
              <a:extLst>
                <a:ext uri="{63B3BB69-23CF-44E3-9099-C40C66FF867C}">
                  <a14:compatExt spid="_x0000_s358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6865" name="Button 1" hidden="1">
              <a:extLst>
                <a:ext uri="{63B3BB69-23CF-44E3-9099-C40C66FF867C}">
                  <a14:compatExt spid="_x0000_s368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7889" name="Button 1" hidden="1">
              <a:extLst>
                <a:ext uri="{63B3BB69-23CF-44E3-9099-C40C66FF867C}">
                  <a14:compatExt spid="_x0000_s378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8913" name="Button 1" hidden="1">
              <a:extLst>
                <a:ext uri="{63B3BB69-23CF-44E3-9099-C40C66FF867C}">
                  <a14:compatExt spid="_x0000_s389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9937" name="Button 1" hidden="1">
              <a:extLst>
                <a:ext uri="{63B3BB69-23CF-44E3-9099-C40C66FF867C}">
                  <a14:compatExt spid="_x0000_s399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40961" name="Button 1" hidden="1">
              <a:extLst>
                <a:ext uri="{63B3BB69-23CF-44E3-9099-C40C66FF867C}">
                  <a14:compatExt spid="_x0000_s4096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1985" name="Button 1" hidden="1">
              <a:extLst>
                <a:ext uri="{63B3BB69-23CF-44E3-9099-C40C66FF867C}">
                  <a14:compatExt spid="_x0000_s4198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3009" name="Button 1" hidden="1">
              <a:extLst>
                <a:ext uri="{63B3BB69-23CF-44E3-9099-C40C66FF867C}">
                  <a14:compatExt spid="_x0000_s4300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4033" name="Button 1" hidden="1">
              <a:extLst>
                <a:ext uri="{63B3BB69-23CF-44E3-9099-C40C66FF867C}">
                  <a14:compatExt spid="_x0000_s4403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5057" name="Button 1" hidden="1">
              <a:extLst>
                <a:ext uri="{63B3BB69-23CF-44E3-9099-C40C66FF867C}">
                  <a14:compatExt spid="_x0000_s4505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41;&#1083;&#1102;&#1076;&#1095;&#1072;&#1085;&#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47;&#1077;&#1084;&#1083;&#1103;&#1085;&#1086;&#1079;&#1072;&#1080;&#108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0;&#1088;&#1072;&#1089;&#1085;&#1086;&#1089;&#1077;&#1083;&#1100;&#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2;&#1072;&#1090;&#1074;&#1077;&#1077;&#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3;&#1086;&#1074;&#1086;&#1087;&#1088;&#1077;&#1086;&#1073;&#1088;&#1072;&#1078;&#1077;&#1085;&#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4;&#1079;&#1077;&#1088;&#1086;-&#1050;&#1072;&#1088;&#1072;&#1095;&#1080;&#1085;&#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4;&#1090;&#1088;&#1077;&#1095;&#1077;&#1085;&#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5;&#1086;&#1075;&#1086;&#1088;&#1077;&#1083;&#1100;&#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5;&#1086;&#1082;&#1088;&#1086;&#1074;&#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6;.%20&#1087;.&#1063;&#1072;&#1085;&#1099;%20(&#1075;&#1072;&#107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7;&#1090;&#1072;&#1088;&#1086;&#1082;&#1072;&#1088;&#1072;&#1095;&#1080;&#1085;&#1089;&#1082;&#1080;&#1081;.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8;&#1072;&#1075;&#1072;&#1085;&#1089;&#1082;&#1080;&#1081;.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58;&#1077;&#1073;&#1080;&#1089;&#1089;&#1082;&#1080;&#1081;.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3/&#1085;&#1072;%20&#1089;&#1072;&#1081;&#1090;/&#1063;&#1072;&#1085;&#1086;&#1074;&#1089;&#1082;&#1080;&#1081;%20&#1052;&#1056;/&#1065;&#1077;&#1075;&#1083;&#1086;&#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Блюдчанское, Чановский муниципальный район</v>
          </cell>
        </row>
        <row r="15">
          <cell r="D15" t="str">
            <v/>
          </cell>
        </row>
        <row r="16">
          <cell r="D16" t="str">
            <v>Код ОКТМО</v>
          </cell>
          <cell r="E16" t="str">
            <v>50656402101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972.3772796310019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2614.56</v>
          </cell>
        </row>
      </sheetData>
      <sheetData sheetId="9"/>
      <sheetData sheetId="10"/>
      <sheetData sheetId="11"/>
      <sheetData sheetId="12"/>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411.95199584818516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67.637339999999995</v>
          </cell>
        </row>
        <row r="27">
          <cell r="F27">
            <v>998.55949805489831</v>
          </cell>
        </row>
        <row r="28">
          <cell r="F28">
            <v>766.94277884400788</v>
          </cell>
        </row>
        <row r="29">
          <cell r="F29">
            <v>231.61671921089041</v>
          </cell>
        </row>
        <row r="30">
          <cell r="F30">
            <v>2145.881921625793</v>
          </cell>
        </row>
        <row r="33">
          <cell r="F33">
            <v>1434.0567248124139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17.5</v>
          </cell>
        </row>
        <row r="19">
          <cell r="E19">
            <v>30.71</v>
          </cell>
        </row>
      </sheetData>
      <sheetData sheetId="29"/>
      <sheetData sheetId="30">
        <row r="12">
          <cell r="F12">
            <v>79.837008377092431</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Земляная Заимка, Чановский муниципальный район</v>
          </cell>
        </row>
        <row r="15">
          <cell r="D15" t="str">
            <v/>
          </cell>
        </row>
        <row r="16">
          <cell r="D16" t="str">
            <v>Код ОКТМО</v>
          </cell>
          <cell r="E16" t="str">
            <v>50656404101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942.6239739125333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2534.5583333333334</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411.33381486968079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88.644269999999992</v>
          </cell>
        </row>
        <row r="27">
          <cell r="F27">
            <v>998.55949805489831</v>
          </cell>
        </row>
        <row r="28">
          <cell r="F28">
            <v>766.94277884400788</v>
          </cell>
        </row>
        <row r="29">
          <cell r="F29">
            <v>231.61671921089041</v>
          </cell>
        </row>
        <row r="30">
          <cell r="F30">
            <v>2103.9751951672374</v>
          </cell>
        </row>
        <row r="33">
          <cell r="F33">
            <v>1390.6981309387224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23.49</v>
          </cell>
        </row>
        <row r="19">
          <cell r="E19">
            <v>30.71</v>
          </cell>
        </row>
      </sheetData>
      <sheetData sheetId="29" refreshError="1"/>
      <sheetData sheetId="30">
        <row r="12">
          <cell r="F12">
            <v>79.229578643152962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Красноселье, Чановский муниципальный район</v>
          </cell>
        </row>
        <row r="15">
          <cell r="D15" t="str">
            <v/>
          </cell>
        </row>
        <row r="16">
          <cell r="D16" t="str">
            <v>Код ОКТМО</v>
          </cell>
          <cell r="E16" t="str">
            <v>50656407101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415.77102506636311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88.644269999999992</v>
          </cell>
        </row>
        <row r="27">
          <cell r="F27">
            <v>998.55949805489831</v>
          </cell>
        </row>
        <row r="28">
          <cell r="F28">
            <v>766.94277884400788</v>
          </cell>
        </row>
        <row r="29">
          <cell r="F29">
            <v>231.61671921089041</v>
          </cell>
        </row>
        <row r="30">
          <cell r="F30">
            <v>2196.3496582511957</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23.49</v>
          </cell>
        </row>
        <row r="19">
          <cell r="E19">
            <v>30.71</v>
          </cell>
        </row>
      </sheetData>
      <sheetData sheetId="29" refreshError="1"/>
      <sheetData sheetId="30">
        <row r="12">
          <cell r="F12">
            <v>80.586097188995822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Песчаное Озеро, Чановский муниципальный район</v>
          </cell>
        </row>
        <row r="15">
          <cell r="D15" t="str">
            <v/>
          </cell>
        </row>
        <row r="16">
          <cell r="D16" t="str">
            <v>Код ОКТМО</v>
          </cell>
          <cell r="E16" t="str">
            <v>50656410101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416.35537823966428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97.025999999999996</v>
          </cell>
        </row>
        <row r="27">
          <cell r="F27">
            <v>998.55949805489831</v>
          </cell>
        </row>
        <row r="28">
          <cell r="F28">
            <v>766.94277884400788</v>
          </cell>
        </row>
        <row r="29">
          <cell r="F29">
            <v>231.61671921089041</v>
          </cell>
        </row>
        <row r="30">
          <cell r="F30">
            <v>2196.9289509260161</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25.88</v>
          </cell>
        </row>
        <row r="19">
          <cell r="E19">
            <v>30.71</v>
          </cell>
        </row>
      </sheetData>
      <sheetData sheetId="29" refreshError="1"/>
      <sheetData sheetId="30">
        <row r="12">
          <cell r="F12">
            <v>80.59778425246185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Новопреображенка, Чановский муниципальный район</v>
          </cell>
        </row>
        <row r="15">
          <cell r="D15" t="str">
            <v/>
          </cell>
        </row>
        <row r="16">
          <cell r="D16" t="str">
            <v>Код ОКТМО</v>
          </cell>
          <cell r="E16" t="str">
            <v>50656412101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415.88349471478085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90.25748999999999</v>
          </cell>
        </row>
        <row r="27">
          <cell r="F27">
            <v>998.55949805489831</v>
          </cell>
        </row>
        <row r="28">
          <cell r="F28">
            <v>766.94277884400788</v>
          </cell>
        </row>
        <row r="29">
          <cell r="F29">
            <v>231.61671921089041</v>
          </cell>
        </row>
        <row r="30">
          <cell r="F30">
            <v>2196.4611539124585</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23.95</v>
          </cell>
        </row>
        <row r="19">
          <cell r="E19">
            <v>30.71</v>
          </cell>
        </row>
      </sheetData>
      <sheetData sheetId="29" refreshError="1"/>
      <sheetData sheetId="30">
        <row r="12">
          <cell r="F12">
            <v>80.588346581964174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Озеро-Карачи, Чановский муниципальный район</v>
          </cell>
        </row>
        <row r="15">
          <cell r="D15" t="str">
            <v/>
          </cell>
        </row>
        <row r="16">
          <cell r="D16" t="str">
            <v>Код ОКТМО</v>
          </cell>
          <cell r="E16" t="str">
            <v>50656413101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963.60271668959149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2590.9666666666667</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417.13487214423975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150.78858000000002</v>
          </cell>
        </row>
        <row r="27">
          <cell r="F27">
            <v>998.55949805489831</v>
          </cell>
        </row>
        <row r="28">
          <cell r="F28">
            <v>766.94277884400788</v>
          </cell>
        </row>
        <row r="29">
          <cell r="F29">
            <v>231.61671921089041</v>
          </cell>
        </row>
        <row r="30">
          <cell r="F30">
            <v>2138.841908896251</v>
          </cell>
        </row>
        <row r="33">
          <cell r="F33">
            <v>1421.2698192296975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41.06</v>
          </cell>
        </row>
        <row r="19">
          <cell r="E19">
            <v>33.29</v>
          </cell>
        </row>
      </sheetData>
      <sheetData sheetId="29" refreshError="1"/>
      <sheetData sheetId="30">
        <row r="12">
          <cell r="F12">
            <v>79.765174644185308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Отреченское, Чановский муниципальный район</v>
          </cell>
        </row>
        <row r="15">
          <cell r="D15" t="str">
            <v/>
          </cell>
        </row>
        <row r="16">
          <cell r="D16" t="str">
            <v>Код ОКТМО</v>
          </cell>
          <cell r="E16" t="str">
            <v>50656416101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1033.7012842965503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2779.4500000000003</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418.15667902159856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95.062350000000009</v>
          </cell>
        </row>
        <row r="27">
          <cell r="F27">
            <v>998.55949805489831</v>
          </cell>
        </row>
        <row r="28">
          <cell r="F28">
            <v>766.94277884400788</v>
          </cell>
        </row>
        <row r="29">
          <cell r="F29">
            <v>231.61671921089041</v>
          </cell>
        </row>
        <row r="30">
          <cell r="F30">
            <v>2237.1429865421273</v>
          </cell>
        </row>
        <row r="33">
          <cell r="F33">
            <v>1523.4223448265768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25.17</v>
          </cell>
        </row>
        <row r="19">
          <cell r="E19">
            <v>33.29</v>
          </cell>
        </row>
      </sheetData>
      <sheetData sheetId="29" refreshError="1"/>
      <sheetData sheetId="30">
        <row r="12">
          <cell r="F12">
            <v>81.187582133871658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Погорелка, Чановский муниципальный район</v>
          </cell>
        </row>
        <row r="15">
          <cell r="D15" t="str">
            <v/>
          </cell>
        </row>
        <row r="16">
          <cell r="D16" t="str">
            <v>Код ОКТМО</v>
          </cell>
          <cell r="E16" t="str">
            <v>50656419101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415.95686330921029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91.309860000000015</v>
          </cell>
        </row>
        <row r="27">
          <cell r="F27">
            <v>998.55949805489831</v>
          </cell>
        </row>
        <row r="28">
          <cell r="F28">
            <v>766.94277884400788</v>
          </cell>
        </row>
        <row r="29">
          <cell r="F29">
            <v>231.61671921089041</v>
          </cell>
        </row>
        <row r="30">
          <cell r="F30">
            <v>2196.5338871348599</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24.1</v>
          </cell>
        </row>
        <row r="19">
          <cell r="E19">
            <v>33.29</v>
          </cell>
        </row>
      </sheetData>
      <sheetData sheetId="29" refreshError="1"/>
      <sheetData sheetId="30">
        <row r="12">
          <cell r="F12">
            <v>80.589813953852769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Покровка, Чановский муниципальный район</v>
          </cell>
        </row>
        <row r="15">
          <cell r="D15" t="str">
            <v/>
          </cell>
        </row>
        <row r="16">
          <cell r="D16" t="str">
            <v>Код ОКТМО</v>
          </cell>
          <cell r="E16" t="str">
            <v>50656422101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414.73681212311266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73.809930000000008</v>
          </cell>
        </row>
        <row r="27">
          <cell r="F27">
            <v>998.55949805489831</v>
          </cell>
        </row>
        <row r="28">
          <cell r="F28">
            <v>766.94277884400788</v>
          </cell>
        </row>
        <row r="29">
          <cell r="F29">
            <v>231.61671921089041</v>
          </cell>
        </row>
        <row r="30">
          <cell r="F30">
            <v>2195.3244015920341</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19.11</v>
          </cell>
        </row>
        <row r="19">
          <cell r="E19">
            <v>33.29</v>
          </cell>
        </row>
      </sheetData>
      <sheetData sheetId="29" refreshError="1"/>
      <sheetData sheetId="30">
        <row r="12">
          <cell r="F12">
            <v>80.565412930130819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Чаны, Чановский муниципальный район</v>
          </cell>
        </row>
        <row r="15">
          <cell r="D15" t="str">
            <v/>
          </cell>
        </row>
        <row r="16">
          <cell r="D16" t="str">
            <v>Код ОКТМО</v>
          </cell>
          <cell r="E16" t="str">
            <v>50656151051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912.75572352910331</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0.1392500000000001</v>
          </cell>
        </row>
        <row r="21">
          <cell r="E21">
            <v>0</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4475.5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952.13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132.9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30.63</v>
          </cell>
        </row>
        <row r="32">
          <cell r="E32">
            <v>5591.16</v>
          </cell>
        </row>
      </sheetData>
      <sheetData sheetId="9" refreshError="1"/>
      <sheetData sheetId="10" refreshError="1"/>
      <sheetData sheetId="11"/>
      <sheetData sheetId="12" refreshError="1"/>
      <sheetData sheetId="13">
        <row r="12">
          <cell r="F12">
            <v>1416.128104144392</v>
          </cell>
        </row>
        <row r="13">
          <cell r="F13">
            <v>97038.307983185223</v>
          </cell>
        </row>
        <row r="14">
          <cell r="F14">
            <v>64899</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36585.255753162281</v>
          </cell>
        </row>
        <row r="23">
          <cell r="F23">
            <v>21</v>
          </cell>
        </row>
        <row r="26">
          <cell r="F26">
            <v>2892</v>
          </cell>
        </row>
        <row r="28">
          <cell r="F28">
            <v>108.47957928975273</v>
          </cell>
        </row>
        <row r="29">
          <cell r="F29">
            <v>0.15695805999999998</v>
          </cell>
        </row>
        <row r="30">
          <cell r="F30">
            <v>500</v>
          </cell>
        </row>
        <row r="31">
          <cell r="F31">
            <v>0.128978033685065</v>
          </cell>
        </row>
        <row r="32">
          <cell r="F32">
            <v>0.11668498168498169</v>
          </cell>
        </row>
        <row r="33">
          <cell r="F33">
            <v>0.13880000000000001</v>
          </cell>
        </row>
        <row r="34">
          <cell r="F34">
            <v>0.12640000000000001</v>
          </cell>
        </row>
        <row r="35">
          <cell r="F35">
            <v>10</v>
          </cell>
        </row>
        <row r="37">
          <cell r="F37">
            <v>1.3822747209000001</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0.121</v>
          </cell>
          <cell r="H11">
            <v>0.02</v>
          </cell>
        </row>
      </sheetData>
      <sheetData sheetId="20"/>
      <sheetData sheetId="21" refreshError="1"/>
      <sheetData sheetId="22">
        <row r="12">
          <cell r="F12">
            <v>338.62572796427605</v>
          </cell>
        </row>
        <row r="14">
          <cell r="F14">
            <v>4855.8806962540311</v>
          </cell>
        </row>
        <row r="15">
          <cell r="F15">
            <v>0.2</v>
          </cell>
        </row>
        <row r="18">
          <cell r="F18">
            <v>15</v>
          </cell>
        </row>
        <row r="19">
          <cell r="F19">
            <v>2435.0508023655884</v>
          </cell>
        </row>
        <row r="20">
          <cell r="F20">
            <v>2.1999999999999999E-2</v>
          </cell>
        </row>
        <row r="21">
          <cell r="F21">
            <v>10</v>
          </cell>
        </row>
        <row r="22">
          <cell r="F22">
            <v>0.3254387378692582</v>
          </cell>
        </row>
        <row r="23">
          <cell r="F23">
            <v>3.0000000000000001E-3</v>
          </cell>
        </row>
        <row r="24">
          <cell r="F24">
            <v>108.47957928975273</v>
          </cell>
        </row>
      </sheetData>
      <sheetData sheetId="23"/>
      <sheetData sheetId="24">
        <row r="12">
          <cell r="F12">
            <v>202.92849786878244</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63.737389999999998</v>
          </cell>
        </row>
        <row r="27">
          <cell r="F27">
            <v>699.55149341307742</v>
          </cell>
        </row>
        <row r="28">
          <cell r="F28">
            <v>537.28993349698726</v>
          </cell>
        </row>
        <row r="29">
          <cell r="F29">
            <v>162.26155991609014</v>
          </cell>
        </row>
        <row r="30">
          <cell r="F30">
            <v>474.84237477318379</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31.83</v>
          </cell>
        </row>
        <row r="19">
          <cell r="E19">
            <v>30.71</v>
          </cell>
        </row>
      </sheetData>
      <sheetData sheetId="28" refreshError="1"/>
      <sheetData sheetId="29">
        <row r="12">
          <cell r="F12">
            <v>57.408761070131071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Старые Карачи, Чановский муниципальный район</v>
          </cell>
        </row>
        <row r="15">
          <cell r="D15" t="str">
            <v/>
          </cell>
        </row>
        <row r="16">
          <cell r="D16" t="str">
            <v>Код ОКТМО</v>
          </cell>
          <cell r="E16" t="str">
            <v>50656428101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1021.9923627111275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2747.9666666666667</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416.60355680354616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84.541350000000008</v>
          </cell>
        </row>
        <row r="27">
          <cell r="F27">
            <v>998.55949805489831</v>
          </cell>
        </row>
        <row r="28">
          <cell r="F28">
            <v>766.94277884400788</v>
          </cell>
        </row>
        <row r="29">
          <cell r="F29">
            <v>231.61671921089041</v>
          </cell>
        </row>
        <row r="30">
          <cell r="F30">
            <v>2219.3527831081929</v>
          </cell>
        </row>
        <row r="33">
          <cell r="F33">
            <v>1506.359287009572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22.17</v>
          </cell>
        </row>
        <row r="19">
          <cell r="E19">
            <v>33.29</v>
          </cell>
        </row>
      </sheetData>
      <sheetData sheetId="29" refreshError="1"/>
      <sheetData sheetId="30">
        <row r="12">
          <cell r="F12">
            <v>80.922341257802159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Таган, Чановский муниципальный район</v>
          </cell>
        </row>
        <row r="15">
          <cell r="D15" t="str">
            <v/>
          </cell>
        </row>
        <row r="16">
          <cell r="D16" t="str">
            <v>Код ОКТМО</v>
          </cell>
          <cell r="E16" t="str">
            <v>50656431101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414.92752152695169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76.545389999999998</v>
          </cell>
        </row>
        <row r="27">
          <cell r="F27">
            <v>998.55949805489831</v>
          </cell>
        </row>
        <row r="28">
          <cell r="F28">
            <v>766.94277884400788</v>
          </cell>
        </row>
        <row r="29">
          <cell r="F29">
            <v>231.61671921089041</v>
          </cell>
        </row>
        <row r="30">
          <cell r="F30">
            <v>2195.5134594524357</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19.89</v>
          </cell>
        </row>
        <row r="19">
          <cell r="E19">
            <v>33.29</v>
          </cell>
        </row>
      </sheetData>
      <sheetData sheetId="29" refreshError="1"/>
      <sheetData sheetId="30">
        <row r="12">
          <cell r="F12">
            <v>80.569227118207607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Тебисское, Чановский муниципальный район</v>
          </cell>
        </row>
        <row r="15">
          <cell r="D15" t="str">
            <v/>
          </cell>
        </row>
        <row r="16">
          <cell r="D16" t="str">
            <v>Код ОКТМО</v>
          </cell>
          <cell r="E16" t="str">
            <v>50656425101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415.8077187754389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89.17058999999999</v>
          </cell>
        </row>
        <row r="27">
          <cell r="F27">
            <v>998.55949805489831</v>
          </cell>
        </row>
        <row r="28">
          <cell r="F28">
            <v>766.94277884400788</v>
          </cell>
        </row>
        <row r="29">
          <cell r="F29">
            <v>231.61671921089041</v>
          </cell>
        </row>
        <row r="30">
          <cell r="F30">
            <v>2196.3860341927511</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23.49</v>
          </cell>
        </row>
        <row r="19">
          <cell r="E19">
            <v>33.29</v>
          </cell>
        </row>
      </sheetData>
      <sheetData sheetId="29" refreshError="1"/>
      <sheetData sheetId="30">
        <row r="12">
          <cell r="F12">
            <v>80.586831063177343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Щеглово, Чановский муниципальный район</v>
          </cell>
        </row>
        <row r="15">
          <cell r="D15" t="str">
            <v/>
          </cell>
        </row>
        <row r="16">
          <cell r="D16" t="str">
            <v>Код ОКТМО</v>
          </cell>
          <cell r="E16" t="str">
            <v>50656434101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1006.0126910079939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2705</v>
          </cell>
        </row>
      </sheetData>
      <sheetData sheetId="9" refreshError="1"/>
      <sheetData sheetId="10" refreshError="1"/>
      <sheetData sheetId="11"/>
      <sheetData sheetId="12" refreshError="1"/>
      <sheetData sheetId="13">
        <row r="12">
          <cell r="F12">
            <v>2104.1852054273977</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911.22846603392293</v>
          </cell>
        </row>
        <row r="27">
          <cell r="F27">
            <v>0.15695805999999998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refreshError="1"/>
      <sheetData sheetId="23">
        <row r="12">
          <cell r="F12">
            <v>503.33593794803642</v>
          </cell>
        </row>
        <row r="14">
          <cell r="F14">
            <v>6988.6287956820188</v>
          </cell>
        </row>
        <row r="15">
          <cell r="F15">
            <v>0.2</v>
          </cell>
        </row>
        <row r="18">
          <cell r="F18">
            <v>15</v>
          </cell>
        </row>
        <row r="19">
          <cell r="F19">
            <v>3487.1555421534131</v>
          </cell>
        </row>
        <row r="20">
          <cell r="F20">
            <v>2.1999999999999999E-2</v>
          </cell>
        </row>
        <row r="21">
          <cell r="F21">
            <v>10</v>
          </cell>
        </row>
        <row r="22">
          <cell r="F22">
            <v>2.7336853981017688</v>
          </cell>
        </row>
        <row r="23">
          <cell r="F23">
            <v>3.0000000000000001E-3</v>
          </cell>
        </row>
        <row r="24">
          <cell r="F24">
            <v>911.22846603392293</v>
          </cell>
        </row>
      </sheetData>
      <sheetData sheetId="24"/>
      <sheetData sheetId="25">
        <row r="12">
          <cell r="F12">
            <v>415.34317022762616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82.507290000000012</v>
          </cell>
        </row>
        <row r="27">
          <cell r="F27">
            <v>998.55949805489831</v>
          </cell>
        </row>
        <row r="28">
          <cell r="F28">
            <v>766.94277884400788</v>
          </cell>
        </row>
        <row r="29">
          <cell r="F29">
            <v>231.61671921089041</v>
          </cell>
        </row>
        <row r="30">
          <cell r="F30">
            <v>2195.9255086353623</v>
          </cell>
        </row>
        <row r="33">
          <cell r="F33">
            <v>1483.072594022681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21.59</v>
          </cell>
        </row>
        <row r="19">
          <cell r="E19">
            <v>33.29</v>
          </cell>
        </row>
      </sheetData>
      <sheetData sheetId="29" refreshError="1"/>
      <sheetData sheetId="30">
        <row r="12">
          <cell r="F12">
            <v>80.577540092221085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11.xml"/><Relationship Id="rId2" Type="http://schemas.openxmlformats.org/officeDocument/2006/relationships/vmlDrawing" Target="../drawings/vmlDrawing11.vml"/><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12.vml"/><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ctrlProp" Target="../ctrlProps/ctrlProp13.xml"/><Relationship Id="rId2" Type="http://schemas.openxmlformats.org/officeDocument/2006/relationships/vmlDrawing" Target="../drawings/vmlDrawing13.vml"/><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3" Type="http://schemas.openxmlformats.org/officeDocument/2006/relationships/ctrlProp" Target="../ctrlProps/ctrlProp14.xml"/><Relationship Id="rId2" Type="http://schemas.openxmlformats.org/officeDocument/2006/relationships/vmlDrawing" Target="../drawings/vmlDrawing14.vml"/><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G19" sqref="G19"/>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[5]И1!D13</f>
        <v>Субъект Российской Федерации</v>
      </c>
      <c r="C4" s="8" t="str">
        <f>[5]И1!E13</f>
        <v>Новосибирская область</v>
      </c>
    </row>
    <row r="5" spans="1:3" ht="38.25">
      <c r="A5" s="6"/>
      <c r="B5" s="7" t="str">
        <f>[5]И1!D14</f>
        <v>Тип муниципального образования (выберите из списка)</v>
      </c>
      <c r="C5" s="8" t="str">
        <f>[5]И1!E14</f>
        <v>село Блюдчанское, Чановский муниципальный район</v>
      </c>
    </row>
    <row r="6" spans="1:3">
      <c r="A6" s="6"/>
      <c r="B6" s="7" t="str">
        <f>IF([5]И1!E15="","",[5]И1!D15)</f>
        <v/>
      </c>
      <c r="C6" s="8" t="str">
        <f>IF([5]И1!E15="","",[5]И1!E15)</f>
        <v/>
      </c>
    </row>
    <row r="7" spans="1:3">
      <c r="A7" s="6"/>
      <c r="B7" s="7" t="str">
        <f>[5]И1!D16</f>
        <v>Код ОКТМО</v>
      </c>
      <c r="C7" s="9" t="str">
        <f>[5]И1!E16</f>
        <v>50656402101</v>
      </c>
    </row>
    <row r="8" spans="1:3">
      <c r="A8" s="6"/>
      <c r="B8" s="10" t="str">
        <f>[5]И1!D17</f>
        <v>Система теплоснабжения</v>
      </c>
      <c r="C8" s="11">
        <f>[5]И1!E17</f>
        <v>0</v>
      </c>
    </row>
    <row r="9" spans="1:3">
      <c r="A9" s="6"/>
      <c r="B9" s="7" t="str">
        <f>[5]И1!D8</f>
        <v>Период регулирования (i)-й</v>
      </c>
      <c r="C9" s="12">
        <f>[5]И1!E8</f>
        <v>2023</v>
      </c>
    </row>
    <row r="10" spans="1:3">
      <c r="A10" s="6"/>
      <c r="B10" s="7" t="str">
        <f>[5]И1!D9</f>
        <v>Период регулирования (i-1)-й</v>
      </c>
      <c r="C10" s="12">
        <f>[5]И1!E9</f>
        <v>2022</v>
      </c>
    </row>
    <row r="11" spans="1:3">
      <c r="A11" s="6"/>
      <c r="B11" s="7" t="str">
        <f>[5]И1!D10</f>
        <v>Период регулирования (i-2)-й</v>
      </c>
      <c r="C11" s="12">
        <f>[5]И1!E10</f>
        <v>2021</v>
      </c>
    </row>
    <row r="12" spans="1:3">
      <c r="A12" s="6"/>
      <c r="B12" s="7" t="str">
        <f>[5]И1!D11</f>
        <v>Базовый год (б)</v>
      </c>
      <c r="C12" s="12">
        <f>[5]И1!E11</f>
        <v>2019</v>
      </c>
    </row>
    <row r="13" spans="1:3" ht="38.25">
      <c r="A13" s="6"/>
      <c r="B13" s="7" t="str">
        <f>[5]И1!D18</f>
        <v>Вид топлива, использование которого преобладает в системе теплоснабжения</v>
      </c>
      <c r="C13" s="13" t="str">
        <f>[5]С1.1!E13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4071.6874272317136</v>
      </c>
    </row>
    <row r="18" spans="1:3" ht="42.75">
      <c r="A18" s="16" t="s">
        <v>7</v>
      </c>
      <c r="B18" s="19" t="s">
        <v>8</v>
      </c>
      <c r="C18" s="20">
        <f>[5]С1!F12</f>
        <v>972.3772796310019</v>
      </c>
    </row>
    <row r="19" spans="1:3" ht="42.75">
      <c r="A19" s="16" t="s">
        <v>9</v>
      </c>
      <c r="B19" s="19" t="s">
        <v>10</v>
      </c>
      <c r="C19" s="20">
        <f>[5]С2!F12</f>
        <v>2104.1852054273977</v>
      </c>
    </row>
    <row r="20" spans="1:3" ht="30">
      <c r="A20" s="16" t="s">
        <v>11</v>
      </c>
      <c r="B20" s="19" t="s">
        <v>12</v>
      </c>
      <c r="C20" s="20">
        <f>[5]С3!F12</f>
        <v>503.33593794803642</v>
      </c>
    </row>
    <row r="21" spans="1:3" ht="42.75">
      <c r="A21" s="16" t="s">
        <v>13</v>
      </c>
      <c r="B21" s="19" t="s">
        <v>226</v>
      </c>
      <c r="C21" s="20">
        <f>[5]С4!F12</f>
        <v>411.95199584818516</v>
      </c>
    </row>
    <row r="22" spans="1:3" ht="30">
      <c r="A22" s="16" t="s">
        <v>14</v>
      </c>
      <c r="B22" s="19" t="s">
        <v>227</v>
      </c>
      <c r="C22" s="20">
        <f>[5]С5!F12</f>
        <v>79.837008377092431</v>
      </c>
    </row>
    <row r="23" spans="1:3" ht="43.5" thickBot="1">
      <c r="A23" s="21" t="s">
        <v>15</v>
      </c>
      <c r="B23" s="111" t="s">
        <v>228</v>
      </c>
      <c r="C23" s="22" t="str">
        <f>[5]С6!F12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[5]С1.1!E16</f>
        <v>5100</v>
      </c>
    </row>
    <row r="29" spans="1:3" ht="42.75">
      <c r="A29" s="16" t="s">
        <v>9</v>
      </c>
      <c r="B29" s="27" t="s">
        <v>230</v>
      </c>
      <c r="C29" s="28">
        <f>[5]С1.1!E27</f>
        <v>2614.56</v>
      </c>
    </row>
    <row r="30" spans="1:3" ht="17.25">
      <c r="A30" s="16" t="s">
        <v>11</v>
      </c>
      <c r="B30" s="27" t="s">
        <v>17</v>
      </c>
      <c r="C30" s="29">
        <f>[5]С1.1!E19</f>
        <v>0.59499999999999997</v>
      </c>
    </row>
    <row r="31" spans="1:3" ht="17.25">
      <c r="A31" s="16" t="s">
        <v>13</v>
      </c>
      <c r="B31" s="27" t="s">
        <v>18</v>
      </c>
      <c r="C31" s="29">
        <f>[5]С1.1!E20</f>
        <v>-0.113</v>
      </c>
    </row>
    <row r="32" spans="1:3" ht="30">
      <c r="A32" s="16" t="s">
        <v>14</v>
      </c>
      <c r="B32" s="30" t="s">
        <v>231</v>
      </c>
      <c r="C32" s="118">
        <f>[5]С1!F13</f>
        <v>176.4</v>
      </c>
    </row>
    <row r="33" spans="1:3">
      <c r="A33" s="16" t="s">
        <v>15</v>
      </c>
      <c r="B33" s="30" t="s">
        <v>19</v>
      </c>
      <c r="C33" s="31">
        <f>[5]С1!F16</f>
        <v>7000</v>
      </c>
    </row>
    <row r="34" spans="1:3" ht="14.25">
      <c r="A34" s="16" t="s">
        <v>20</v>
      </c>
      <c r="B34" s="32" t="s">
        <v>232</v>
      </c>
      <c r="C34" s="33">
        <f>[5]С1!F17</f>
        <v>0.72857142857142854</v>
      </c>
    </row>
    <row r="35" spans="1:3" ht="15.75">
      <c r="A35" s="119" t="s">
        <v>21</v>
      </c>
      <c r="B35" s="34" t="s">
        <v>22</v>
      </c>
      <c r="C35" s="33">
        <f>[5]С1!F20</f>
        <v>21.588411179999994</v>
      </c>
    </row>
    <row r="36" spans="1:3" ht="15.75">
      <c r="A36" s="119" t="s">
        <v>23</v>
      </c>
      <c r="B36" s="35" t="s">
        <v>24</v>
      </c>
      <c r="C36" s="33">
        <f>[5]С1!F21</f>
        <v>20.818139999999996</v>
      </c>
    </row>
    <row r="37" spans="1:3" ht="14.25">
      <c r="A37" s="119" t="s">
        <v>25</v>
      </c>
      <c r="B37" s="36" t="s">
        <v>26</v>
      </c>
      <c r="C37" s="33">
        <f>[5]С1!F22</f>
        <v>1.0369999999999999</v>
      </c>
    </row>
    <row r="38" spans="1:3" ht="53.25" thickBot="1">
      <c r="A38" s="21" t="s">
        <v>27</v>
      </c>
      <c r="B38" s="37" t="s">
        <v>28</v>
      </c>
      <c r="C38" s="38">
        <f>[5]С1!F23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[5]С2.1!E12</f>
        <v>V</v>
      </c>
    </row>
    <row r="42" spans="1:3" ht="25.5">
      <c r="A42" s="16" t="s">
        <v>33</v>
      </c>
      <c r="B42" s="27" t="s">
        <v>34</v>
      </c>
      <c r="C42" s="41" t="str">
        <f>[5]С2.1!E13</f>
        <v>6 и менее баллов</v>
      </c>
    </row>
    <row r="43" spans="1:3" ht="25.5">
      <c r="A43" s="16" t="s">
        <v>35</v>
      </c>
      <c r="B43" s="27" t="s">
        <v>233</v>
      </c>
      <c r="C43" s="41" t="str">
        <f>[5]С2.1!E14</f>
        <v>от 200 до 500</v>
      </c>
    </row>
    <row r="44" spans="1:3" ht="25.5">
      <c r="A44" s="16" t="s">
        <v>36</v>
      </c>
      <c r="B44" s="27" t="s">
        <v>234</v>
      </c>
      <c r="C44" s="42" t="str">
        <f>[5]С2.1!E15</f>
        <v>нет</v>
      </c>
    </row>
    <row r="45" spans="1:3" ht="30">
      <c r="A45" s="16" t="s">
        <v>37</v>
      </c>
      <c r="B45" s="27" t="s">
        <v>38</v>
      </c>
      <c r="C45" s="28">
        <f>[5]С2!F18</f>
        <v>32402.627334033532</v>
      </c>
    </row>
    <row r="46" spans="1:3" ht="30">
      <c r="A46" s="16" t="s">
        <v>39</v>
      </c>
      <c r="B46" s="43" t="s">
        <v>40</v>
      </c>
      <c r="C46" s="28">
        <f>IF([5]С2!F19&gt;0,[5]С2!F19,[5]С2!F20)</f>
        <v>23441.524932855718</v>
      </c>
    </row>
    <row r="47" spans="1:3" ht="25.5">
      <c r="A47" s="16" t="s">
        <v>41</v>
      </c>
      <c r="B47" s="44" t="s">
        <v>42</v>
      </c>
      <c r="C47" s="28">
        <f>[5]С2.1!E19</f>
        <v>-38</v>
      </c>
    </row>
    <row r="48" spans="1:3" ht="25.5">
      <c r="A48" s="16" t="s">
        <v>43</v>
      </c>
      <c r="B48" s="44" t="s">
        <v>44</v>
      </c>
      <c r="C48" s="28" t="str">
        <f>[5]С2.1!E22</f>
        <v>нет</v>
      </c>
    </row>
    <row r="49" spans="1:3" ht="38.25">
      <c r="A49" s="16" t="s">
        <v>45</v>
      </c>
      <c r="B49" s="45" t="s">
        <v>46</v>
      </c>
      <c r="C49" s="28">
        <f>[5]С2.2!E10</f>
        <v>1287</v>
      </c>
    </row>
    <row r="50" spans="1:3" ht="25.5">
      <c r="A50" s="16" t="s">
        <v>47</v>
      </c>
      <c r="B50" s="46" t="s">
        <v>48</v>
      </c>
      <c r="C50" s="28">
        <f>[5]С2.2!E12</f>
        <v>5.97</v>
      </c>
    </row>
    <row r="51" spans="1:3" ht="52.5">
      <c r="A51" s="16" t="s">
        <v>49</v>
      </c>
      <c r="B51" s="47" t="s">
        <v>50</v>
      </c>
      <c r="C51" s="28">
        <f>[5]С2.2!E13</f>
        <v>1</v>
      </c>
    </row>
    <row r="52" spans="1:3" ht="27.75">
      <c r="A52" s="16" t="s">
        <v>51</v>
      </c>
      <c r="B52" s="46" t="s">
        <v>52</v>
      </c>
      <c r="C52" s="28">
        <f>[5]С2.2!E14</f>
        <v>12104</v>
      </c>
    </row>
    <row r="53" spans="1:3" ht="25.5">
      <c r="A53" s="16" t="s">
        <v>53</v>
      </c>
      <c r="B53" s="47" t="s">
        <v>54</v>
      </c>
      <c r="C53" s="29">
        <f>[5]С2.2!E15</f>
        <v>4.8000000000000001E-2</v>
      </c>
    </row>
    <row r="54" spans="1:3">
      <c r="A54" s="16" t="s">
        <v>55</v>
      </c>
      <c r="B54" s="47" t="s">
        <v>56</v>
      </c>
      <c r="C54" s="28">
        <f>[5]С2.2!E16</f>
        <v>1</v>
      </c>
    </row>
    <row r="55" spans="1:3" ht="15.75">
      <c r="A55" s="16" t="s">
        <v>57</v>
      </c>
      <c r="B55" s="48" t="s">
        <v>58</v>
      </c>
      <c r="C55" s="28">
        <f>[5]С2!F21</f>
        <v>1</v>
      </c>
    </row>
    <row r="56" spans="1:3" ht="30">
      <c r="A56" s="49" t="s">
        <v>59</v>
      </c>
      <c r="B56" s="27" t="s">
        <v>235</v>
      </c>
      <c r="C56" s="28">
        <f>[5]С2!F13</f>
        <v>169640.22915965237</v>
      </c>
    </row>
    <row r="57" spans="1:3" ht="30">
      <c r="A57" s="49" t="s">
        <v>60</v>
      </c>
      <c r="B57" s="48" t="s">
        <v>236</v>
      </c>
      <c r="C57" s="28">
        <f>[5]С2!F14</f>
        <v>113455</v>
      </c>
    </row>
    <row r="58" spans="1:3" ht="15.75">
      <c r="A58" s="49" t="s">
        <v>61</v>
      </c>
      <c r="B58" s="50" t="s">
        <v>62</v>
      </c>
      <c r="C58" s="33">
        <f>[5]С2!F15</f>
        <v>1.071</v>
      </c>
    </row>
    <row r="59" spans="1:3" ht="15.75">
      <c r="A59" s="49" t="s">
        <v>63</v>
      </c>
      <c r="B59" s="50" t="s">
        <v>64</v>
      </c>
      <c r="C59" s="33">
        <f>[5]С2!F16</f>
        <v>1</v>
      </c>
    </row>
    <row r="60" spans="1:3" ht="17.25">
      <c r="A60" s="49" t="s">
        <v>65</v>
      </c>
      <c r="B60" s="48" t="s">
        <v>66</v>
      </c>
      <c r="C60" s="28">
        <f>[5]С2!F17</f>
        <v>1.01</v>
      </c>
    </row>
    <row r="61" spans="1:3" s="53" customFormat="1" ht="14.25">
      <c r="A61" s="49" t="s">
        <v>67</v>
      </c>
      <c r="B61" s="51" t="s">
        <v>68</v>
      </c>
      <c r="C61" s="52">
        <f>[5]С2!F33</f>
        <v>10</v>
      </c>
    </row>
    <row r="62" spans="1:3" ht="30">
      <c r="A62" s="49" t="s">
        <v>69</v>
      </c>
      <c r="B62" s="54" t="s">
        <v>70</v>
      </c>
      <c r="C62" s="28">
        <f>[5]С2!F26</f>
        <v>911.22846603392293</v>
      </c>
    </row>
    <row r="63" spans="1:3" ht="17.25">
      <c r="A63" s="49" t="s">
        <v>71</v>
      </c>
      <c r="B63" s="43" t="s">
        <v>237</v>
      </c>
      <c r="C63" s="28">
        <f>[5]С2!F27</f>
        <v>0.15695805999999998</v>
      </c>
    </row>
    <row r="64" spans="1:3" ht="17.25">
      <c r="A64" s="49" t="s">
        <v>72</v>
      </c>
      <c r="B64" s="48" t="s">
        <v>238</v>
      </c>
      <c r="C64" s="52">
        <f>[5]С2!F28</f>
        <v>4200</v>
      </c>
    </row>
    <row r="65" spans="1:3" ht="42.75">
      <c r="A65" s="49" t="s">
        <v>73</v>
      </c>
      <c r="B65" s="27" t="s">
        <v>239</v>
      </c>
      <c r="C65" s="28">
        <f>[5]С2!F22</f>
        <v>35717.748653137714</v>
      </c>
    </row>
    <row r="66" spans="1:3" ht="30">
      <c r="A66" s="49" t="s">
        <v>74</v>
      </c>
      <c r="B66" s="50" t="s">
        <v>240</v>
      </c>
      <c r="C66" s="28">
        <f>[5]С2!F23</f>
        <v>1990</v>
      </c>
    </row>
    <row r="67" spans="1:3" ht="30">
      <c r="A67" s="49" t="s">
        <v>75</v>
      </c>
      <c r="B67" s="43" t="s">
        <v>76</v>
      </c>
      <c r="C67" s="28">
        <f>[5]С2.1!E27</f>
        <v>14307.876789999998</v>
      </c>
    </row>
    <row r="68" spans="1:3" ht="38.25">
      <c r="A68" s="49" t="s">
        <v>77</v>
      </c>
      <c r="B68" s="55" t="s">
        <v>78</v>
      </c>
      <c r="C68" s="42">
        <f>[5]С2.3!E21</f>
        <v>0</v>
      </c>
    </row>
    <row r="69" spans="1:3" ht="25.5">
      <c r="A69" s="49" t="s">
        <v>79</v>
      </c>
      <c r="B69" s="56" t="s">
        <v>80</v>
      </c>
      <c r="C69" s="57">
        <f>[5]С2.3!E11</f>
        <v>9.89</v>
      </c>
    </row>
    <row r="70" spans="1:3" ht="25.5">
      <c r="A70" s="49" t="s">
        <v>81</v>
      </c>
      <c r="B70" s="56" t="s">
        <v>82</v>
      </c>
      <c r="C70" s="52">
        <f>[5]С2.3!E13</f>
        <v>300</v>
      </c>
    </row>
    <row r="71" spans="1:3" ht="25.5">
      <c r="A71" s="49" t="s">
        <v>83</v>
      </c>
      <c r="B71" s="55" t="s">
        <v>84</v>
      </c>
      <c r="C71" s="58">
        <f>IF([5]С2.3!E22&gt;0,[5]С2.3!E22,[5]С2.3!E14)</f>
        <v>61211</v>
      </c>
    </row>
    <row r="72" spans="1:3" ht="38.25">
      <c r="A72" s="49" t="s">
        <v>85</v>
      </c>
      <c r="B72" s="55" t="s">
        <v>86</v>
      </c>
      <c r="C72" s="58">
        <f>IF([5]С2.3!E23&gt;0,[5]С2.3!E23,[5]С2.3!E15)</f>
        <v>45675</v>
      </c>
    </row>
    <row r="73" spans="1:3" ht="30">
      <c r="A73" s="49" t="s">
        <v>87</v>
      </c>
      <c r="B73" s="43" t="s">
        <v>88</v>
      </c>
      <c r="C73" s="28">
        <f>[5]С2.1!E28</f>
        <v>9541.9567200000001</v>
      </c>
    </row>
    <row r="74" spans="1:3" ht="38.25">
      <c r="A74" s="49" t="s">
        <v>89</v>
      </c>
      <c r="B74" s="55" t="s">
        <v>90</v>
      </c>
      <c r="C74" s="42">
        <f>[5]С2.3!E25</f>
        <v>0</v>
      </c>
    </row>
    <row r="75" spans="1:3" ht="25.5">
      <c r="A75" s="49" t="s">
        <v>91</v>
      </c>
      <c r="B75" s="56" t="s">
        <v>92</v>
      </c>
      <c r="C75" s="57">
        <f>[5]С2.3!E12</f>
        <v>0.56000000000000005</v>
      </c>
    </row>
    <row r="76" spans="1:3" ht="25.5">
      <c r="A76" s="49" t="s">
        <v>93</v>
      </c>
      <c r="B76" s="56" t="s">
        <v>82</v>
      </c>
      <c r="C76" s="52">
        <f>[5]С2.3!E13</f>
        <v>300</v>
      </c>
    </row>
    <row r="77" spans="1:3" ht="25.5">
      <c r="A77" s="49" t="s">
        <v>94</v>
      </c>
      <c r="B77" s="59" t="s">
        <v>95</v>
      </c>
      <c r="C77" s="58">
        <f>IF([5]С2.3!E26&gt;0,[5]С2.3!E26,[5]С2.3!E16)</f>
        <v>65637</v>
      </c>
    </row>
    <row r="78" spans="1:3" ht="38.25">
      <c r="A78" s="49" t="s">
        <v>96</v>
      </c>
      <c r="B78" s="59" t="s">
        <v>97</v>
      </c>
      <c r="C78" s="58">
        <f>IF([5]С2.3!E27&gt;0,[5]С2.3!E27,[5]С2.3!E17)</f>
        <v>31684</v>
      </c>
    </row>
    <row r="79" spans="1:3" ht="17.25">
      <c r="A79" s="49" t="s">
        <v>98</v>
      </c>
      <c r="B79" s="27" t="s">
        <v>99</v>
      </c>
      <c r="C79" s="29">
        <f>[5]С2!F29</f>
        <v>0.128978033685065</v>
      </c>
    </row>
    <row r="80" spans="1:3" ht="30">
      <c r="A80" s="49" t="s">
        <v>100</v>
      </c>
      <c r="B80" s="43" t="s">
        <v>101</v>
      </c>
      <c r="C80" s="60">
        <f>[5]С2!F30</f>
        <v>0.11668498168498169</v>
      </c>
    </row>
    <row r="81" spans="1:3" ht="17.25">
      <c r="A81" s="49" t="s">
        <v>102</v>
      </c>
      <c r="B81" s="61" t="s">
        <v>103</v>
      </c>
      <c r="C81" s="29">
        <f>[5]С2!F31</f>
        <v>0.13880000000000001</v>
      </c>
    </row>
    <row r="82" spans="1:3" s="53" customFormat="1" ht="18" thickBot="1">
      <c r="A82" s="62" t="s">
        <v>104</v>
      </c>
      <c r="B82" s="63" t="s">
        <v>105</v>
      </c>
      <c r="C82" s="64">
        <f>[5]С2!F32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[5]С3!F14</f>
        <v>6988.6287956820188</v>
      </c>
    </row>
    <row r="86" spans="1:3" s="53" customFormat="1" ht="42.75">
      <c r="A86" s="67" t="s">
        <v>110</v>
      </c>
      <c r="B86" s="43" t="s">
        <v>111</v>
      </c>
      <c r="C86" s="68">
        <f>[5]С3!F15</f>
        <v>0.2</v>
      </c>
    </row>
    <row r="87" spans="1:3" s="53" customFormat="1" ht="14.25">
      <c r="A87" s="67" t="s">
        <v>112</v>
      </c>
      <c r="B87" s="69" t="s">
        <v>113</v>
      </c>
      <c r="C87" s="52">
        <f>[5]С3!F18</f>
        <v>15</v>
      </c>
    </row>
    <row r="88" spans="1:3" s="53" customFormat="1" ht="17.25">
      <c r="A88" s="67" t="s">
        <v>114</v>
      </c>
      <c r="B88" s="27" t="s">
        <v>115</v>
      </c>
      <c r="C88" s="28">
        <f>[5]С3!F19</f>
        <v>3487.1555421534131</v>
      </c>
    </row>
    <row r="89" spans="1:3" s="53" customFormat="1" ht="55.5">
      <c r="A89" s="67" t="s">
        <v>116</v>
      </c>
      <c r="B89" s="43" t="s">
        <v>117</v>
      </c>
      <c r="C89" s="70">
        <f>[5]С3!F20</f>
        <v>2.1999999999999999E-2</v>
      </c>
    </row>
    <row r="90" spans="1:3" s="53" customFormat="1" ht="14.25">
      <c r="A90" s="67" t="s">
        <v>118</v>
      </c>
      <c r="B90" s="48" t="s">
        <v>68</v>
      </c>
      <c r="C90" s="52">
        <f>[5]С3!F21</f>
        <v>10</v>
      </c>
    </row>
    <row r="91" spans="1:3" s="53" customFormat="1" ht="17.25">
      <c r="A91" s="67" t="s">
        <v>119</v>
      </c>
      <c r="B91" s="27" t="s">
        <v>120</v>
      </c>
      <c r="C91" s="28">
        <f>[5]С3!F22</f>
        <v>2.7336853981017688</v>
      </c>
    </row>
    <row r="92" spans="1:3" s="53" customFormat="1" ht="55.5">
      <c r="A92" s="67" t="s">
        <v>121</v>
      </c>
      <c r="B92" s="43" t="s">
        <v>122</v>
      </c>
      <c r="C92" s="70">
        <f>[5]С3!F23</f>
        <v>3.0000000000000001E-3</v>
      </c>
    </row>
    <row r="93" spans="1:3" s="53" customFormat="1" ht="27.75" thickBot="1">
      <c r="A93" s="71" t="s">
        <v>123</v>
      </c>
      <c r="B93" s="72" t="s">
        <v>241</v>
      </c>
      <c r="C93" s="73">
        <f>[5]С3!F24</f>
        <v>911.22846603392293</v>
      </c>
    </row>
    <row r="94" spans="1:3" ht="13.5" thickBot="1">
      <c r="A94" s="39"/>
      <c r="B94" s="65"/>
      <c r="C94" s="13"/>
    </row>
    <row r="95" spans="1:3" ht="30" customHeight="1">
      <c r="A95" s="74" t="s">
        <v>124</v>
      </c>
      <c r="B95" s="141" t="s">
        <v>125</v>
      </c>
      <c r="C95" s="141"/>
    </row>
    <row r="96" spans="1:3" ht="30">
      <c r="A96" s="49" t="s">
        <v>126</v>
      </c>
      <c r="B96" s="27" t="s">
        <v>242</v>
      </c>
      <c r="C96" s="28">
        <f>[5]С4!F16</f>
        <v>1652.5</v>
      </c>
    </row>
    <row r="97" spans="1:3" ht="30">
      <c r="A97" s="49" t="s">
        <v>127</v>
      </c>
      <c r="B97" s="48" t="s">
        <v>243</v>
      </c>
      <c r="C97" s="28">
        <f>[5]С4!F17</f>
        <v>73547</v>
      </c>
    </row>
    <row r="98" spans="1:3" ht="17.25">
      <c r="A98" s="49" t="s">
        <v>128</v>
      </c>
      <c r="B98" s="48" t="s">
        <v>129</v>
      </c>
      <c r="C98" s="33">
        <f>[5]С4!F18</f>
        <v>0.02</v>
      </c>
    </row>
    <row r="99" spans="1:3" ht="30">
      <c r="A99" s="49" t="s">
        <v>130</v>
      </c>
      <c r="B99" s="48" t="s">
        <v>131</v>
      </c>
      <c r="C99" s="28">
        <f>[5]С4!F19</f>
        <v>12104</v>
      </c>
    </row>
    <row r="100" spans="1:3" ht="31.5">
      <c r="A100" s="49" t="s">
        <v>132</v>
      </c>
      <c r="B100" s="48" t="s">
        <v>133</v>
      </c>
      <c r="C100" s="33">
        <f>[5]С4!F20</f>
        <v>1.4999999999999999E-2</v>
      </c>
    </row>
    <row r="101" spans="1:3" ht="30">
      <c r="A101" s="49" t="s">
        <v>134</v>
      </c>
      <c r="B101" s="27" t="s">
        <v>244</v>
      </c>
      <c r="C101" s="28">
        <f>[5]С4!F21</f>
        <v>1933.1949342509995</v>
      </c>
    </row>
    <row r="102" spans="1:3" ht="24" customHeight="1">
      <c r="A102" s="49" t="s">
        <v>135</v>
      </c>
      <c r="B102" s="43" t="s">
        <v>136</v>
      </c>
      <c r="C102" s="75">
        <f>IF([5]С4.2!F8="да",[5]С4.2!D21,[5]С4.2!D15)</f>
        <v>0</v>
      </c>
    </row>
    <row r="103" spans="1:3" ht="68.25">
      <c r="A103" s="49" t="s">
        <v>137</v>
      </c>
      <c r="B103" s="43" t="s">
        <v>138</v>
      </c>
      <c r="C103" s="28">
        <f>[5]С4!F22</f>
        <v>3.6112641666666665</v>
      </c>
    </row>
    <row r="104" spans="1:3" ht="30">
      <c r="A104" s="49" t="s">
        <v>139</v>
      </c>
      <c r="B104" s="48" t="s">
        <v>245</v>
      </c>
      <c r="C104" s="28">
        <f>[5]С4!F23</f>
        <v>180</v>
      </c>
    </row>
    <row r="105" spans="1:3" ht="14.25">
      <c r="A105" s="49" t="s">
        <v>140</v>
      </c>
      <c r="B105" s="43" t="s">
        <v>141</v>
      </c>
      <c r="C105" s="28">
        <f>[5]С4!F24</f>
        <v>8497.1999999999989</v>
      </c>
    </row>
    <row r="106" spans="1:3" ht="14.25">
      <c r="A106" s="49" t="s">
        <v>142</v>
      </c>
      <c r="B106" s="48" t="s">
        <v>143</v>
      </c>
      <c r="C106" s="33">
        <f>[5]С4!F25</f>
        <v>0.35</v>
      </c>
    </row>
    <row r="107" spans="1:3" ht="17.25">
      <c r="A107" s="49" t="s">
        <v>144</v>
      </c>
      <c r="B107" s="27" t="s">
        <v>145</v>
      </c>
      <c r="C107" s="28">
        <f>[5]С4!F26</f>
        <v>67.637339999999995</v>
      </c>
    </row>
    <row r="108" spans="1:3" ht="25.5">
      <c r="A108" s="49" t="s">
        <v>146</v>
      </c>
      <c r="B108" s="43" t="s">
        <v>78</v>
      </c>
      <c r="C108" s="75">
        <f>[5]С4.3!E16</f>
        <v>0</v>
      </c>
    </row>
    <row r="109" spans="1:3" ht="25.5">
      <c r="A109" s="49" t="s">
        <v>147</v>
      </c>
      <c r="B109" s="43" t="s">
        <v>148</v>
      </c>
      <c r="C109" s="28">
        <f>[5]С4.3!E17</f>
        <v>17.5</v>
      </c>
    </row>
    <row r="110" spans="1:3" ht="38.25">
      <c r="A110" s="49" t="s">
        <v>149</v>
      </c>
      <c r="B110" s="43" t="s">
        <v>90</v>
      </c>
      <c r="C110" s="75">
        <f>[5]С4.3!E18</f>
        <v>0</v>
      </c>
    </row>
    <row r="111" spans="1:3">
      <c r="A111" s="49" t="s">
        <v>150</v>
      </c>
      <c r="B111" s="43" t="s">
        <v>151</v>
      </c>
      <c r="C111" s="28">
        <f>[5]С4.3!E19</f>
        <v>30.71</v>
      </c>
    </row>
    <row r="112" spans="1:3">
      <c r="A112" s="49" t="s">
        <v>152</v>
      </c>
      <c r="B112" s="48" t="s">
        <v>153</v>
      </c>
      <c r="C112" s="28">
        <f>[5]С4.3!E11</f>
        <v>1871</v>
      </c>
    </row>
    <row r="113" spans="1:3">
      <c r="A113" s="49" t="s">
        <v>154</v>
      </c>
      <c r="B113" s="48" t="s">
        <v>155</v>
      </c>
      <c r="C113" s="42">
        <f>[5]С4.3!E12</f>
        <v>1636</v>
      </c>
    </row>
    <row r="114" spans="1:3">
      <c r="A114" s="49" t="s">
        <v>156</v>
      </c>
      <c r="B114" s="48" t="s">
        <v>157</v>
      </c>
      <c r="C114" s="42">
        <f>[5]С4.3!E13</f>
        <v>204</v>
      </c>
    </row>
    <row r="115" spans="1:3" ht="30">
      <c r="A115" s="49" t="s">
        <v>158</v>
      </c>
      <c r="B115" s="27" t="s">
        <v>246</v>
      </c>
      <c r="C115" s="28">
        <f>[5]С4!F27</f>
        <v>998.55949805489831</v>
      </c>
    </row>
    <row r="116" spans="1:3" ht="25.5">
      <c r="A116" s="49" t="s">
        <v>159</v>
      </c>
      <c r="B116" s="43" t="s">
        <v>247</v>
      </c>
      <c r="C116" s="28">
        <f>[5]С4!F28</f>
        <v>766.94277884400788</v>
      </c>
    </row>
    <row r="117" spans="1:3" ht="42.75">
      <c r="A117" s="49" t="s">
        <v>160</v>
      </c>
      <c r="B117" s="43" t="s">
        <v>161</v>
      </c>
      <c r="C117" s="28">
        <f>[5]С4!F29</f>
        <v>231.61671921089041</v>
      </c>
    </row>
    <row r="118" spans="1:3" ht="30">
      <c r="A118" s="49" t="s">
        <v>162</v>
      </c>
      <c r="B118" s="32" t="s">
        <v>163</v>
      </c>
      <c r="C118" s="28">
        <f>[5]С4!F30</f>
        <v>2145.881921625793</v>
      </c>
    </row>
    <row r="119" spans="1:3" ht="42.75">
      <c r="A119" s="49" t="s">
        <v>248</v>
      </c>
      <c r="B119" s="76" t="s">
        <v>249</v>
      </c>
      <c r="C119" s="28">
        <f>[5]С4!F33</f>
        <v>1434.0567248124139</v>
      </c>
    </row>
    <row r="120" spans="1:3" ht="30">
      <c r="A120" s="49" t="s">
        <v>250</v>
      </c>
      <c r="B120" s="122" t="s">
        <v>251</v>
      </c>
      <c r="C120" s="28">
        <f>[5]С4!F35</f>
        <v>17.040680999999999</v>
      </c>
    </row>
    <row r="121" spans="1:3" ht="14.25">
      <c r="A121" s="49" t="s">
        <v>252</v>
      </c>
      <c r="B121" s="46" t="s">
        <v>253</v>
      </c>
      <c r="C121" s="28">
        <f>[5]С4!F36</f>
        <v>14319.9</v>
      </c>
    </row>
    <row r="122" spans="1:3" ht="28.5" thickBot="1">
      <c r="A122" s="62" t="s">
        <v>254</v>
      </c>
      <c r="B122" s="123" t="s">
        <v>255</v>
      </c>
      <c r="C122" s="73">
        <f>[5]С4!F37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[5]С5!F17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[5]С2!F37</f>
        <v>20.818139999999996</v>
      </c>
    </row>
    <row r="136" spans="1:4" ht="14.25">
      <c r="A136" s="49" t="s">
        <v>183</v>
      </c>
      <c r="B136" s="129" t="s">
        <v>184</v>
      </c>
      <c r="C136" s="28">
        <f>[5]С2!F38</f>
        <v>7</v>
      </c>
    </row>
    <row r="137" spans="1:4" ht="17.25">
      <c r="A137" s="49" t="s">
        <v>185</v>
      </c>
      <c r="B137" s="129" t="s">
        <v>186</v>
      </c>
      <c r="C137" s="28">
        <f>[5]С2!F40</f>
        <v>0.97</v>
      </c>
    </row>
    <row r="138" spans="1:4" ht="15" thickBot="1">
      <c r="A138" s="62" t="s">
        <v>187</v>
      </c>
      <c r="B138" s="130" t="s">
        <v>188</v>
      </c>
      <c r="C138" s="38">
        <f>[5]С2!F42</f>
        <v>0.35</v>
      </c>
    </row>
    <row r="139" spans="1:4" s="77" customFormat="1" ht="13.5" thickBot="1">
      <c r="A139" s="39"/>
      <c r="B139" s="65"/>
      <c r="C139" s="13"/>
    </row>
    <row r="140" spans="1:4" ht="30">
      <c r="A140" s="74" t="s">
        <v>189</v>
      </c>
      <c r="B140" s="84" t="s">
        <v>258</v>
      </c>
      <c r="C140" s="131">
        <f>[5]С2!F35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[5]С2.5!$E$11</f>
        <v>-2.9000000000000026E-2</v>
      </c>
      <c r="D143" s="77"/>
    </row>
    <row r="144" spans="1:4">
      <c r="A144" s="85"/>
      <c r="B144" s="86">
        <f>B143+1</f>
        <v>2021</v>
      </c>
      <c r="C144" s="136">
        <f>[5]С2.5!$F$11</f>
        <v>0.245</v>
      </c>
      <c r="D144" s="77"/>
    </row>
    <row r="145" spans="1:4">
      <c r="A145" s="85"/>
      <c r="B145" s="86">
        <f t="shared" ref="B145:B208" si="0">B144+1</f>
        <v>2022</v>
      </c>
      <c r="C145" s="136">
        <f>[5]С2.5!$G$11</f>
        <v>0.121</v>
      </c>
      <c r="D145" s="77"/>
    </row>
    <row r="146" spans="1:4" ht="13.5" thickBot="1">
      <c r="A146" s="85"/>
      <c r="B146" s="87">
        <f t="shared" si="0"/>
        <v>2023</v>
      </c>
      <c r="C146" s="137">
        <f>[5]С2.5!$H$11</f>
        <v>0.02</v>
      </c>
      <c r="D146" s="77"/>
    </row>
    <row r="147" spans="1:4" hidden="1">
      <c r="A147" s="85"/>
      <c r="B147" s="138">
        <f t="shared" si="0"/>
        <v>2024</v>
      </c>
      <c r="C147" s="139">
        <f>[5]С2.5!$I$11</f>
        <v>-2.93E-2</v>
      </c>
      <c r="D147" s="77"/>
    </row>
    <row r="148" spans="1:4" hidden="1">
      <c r="A148" s="85"/>
      <c r="B148" s="86">
        <f t="shared" si="0"/>
        <v>2025</v>
      </c>
      <c r="C148" s="136">
        <f>[5]С2.5!$J$11</f>
        <v>0.21215960863291</v>
      </c>
      <c r="D148" s="77"/>
    </row>
    <row r="149" spans="1:4" hidden="1">
      <c r="A149" s="85"/>
      <c r="B149" s="86">
        <f t="shared" si="0"/>
        <v>2026</v>
      </c>
      <c r="C149" s="136">
        <f>[5]С2.5!$K$11</f>
        <v>3.5813361771260002E-2</v>
      </c>
      <c r="D149" s="77"/>
    </row>
    <row r="150" spans="1:4" hidden="1">
      <c r="A150" s="85"/>
      <c r="B150" s="86">
        <f t="shared" si="0"/>
        <v>2027</v>
      </c>
      <c r="C150" s="136">
        <f>[5]С2.5!$L$11</f>
        <v>3.2682303599220003E-2</v>
      </c>
      <c r="D150" s="77"/>
    </row>
    <row r="151" spans="1:4" hidden="1">
      <c r="A151" s="85"/>
      <c r="B151" s="86">
        <f t="shared" si="0"/>
        <v>2028</v>
      </c>
      <c r="C151" s="136">
        <f>[5]С2.5!$M$11</f>
        <v>0</v>
      </c>
      <c r="D151" s="77"/>
    </row>
    <row r="152" spans="1:4" hidden="1">
      <c r="A152" s="85"/>
      <c r="B152" s="86">
        <f t="shared" si="0"/>
        <v>2029</v>
      </c>
      <c r="C152" s="136">
        <f>[5]С2.5!$N$11</f>
        <v>0</v>
      </c>
      <c r="D152" s="77"/>
    </row>
    <row r="153" spans="1:4" hidden="1">
      <c r="A153" s="85"/>
      <c r="B153" s="86">
        <f t="shared" si="0"/>
        <v>2030</v>
      </c>
      <c r="C153" s="136">
        <f>[5]С2.5!$O$11</f>
        <v>0</v>
      </c>
      <c r="D153" s="77"/>
    </row>
    <row r="154" spans="1:4" hidden="1">
      <c r="A154" s="85"/>
      <c r="B154" s="86">
        <f t="shared" si="0"/>
        <v>2031</v>
      </c>
      <c r="C154" s="136">
        <f>[5]С2.5!$P$11</f>
        <v>0</v>
      </c>
      <c r="D154" s="77"/>
    </row>
    <row r="155" spans="1:4" hidden="1">
      <c r="A155" s="77"/>
      <c r="B155" s="86">
        <f t="shared" si="0"/>
        <v>2032</v>
      </c>
      <c r="C155" s="136">
        <f>[5]С2.5!$Q$11</f>
        <v>0</v>
      </c>
      <c r="D155" s="77"/>
    </row>
    <row r="156" spans="1:4" hidden="1">
      <c r="A156" s="77"/>
      <c r="B156" s="86">
        <f t="shared" si="0"/>
        <v>2033</v>
      </c>
      <c r="C156" s="136">
        <f>[5]С2.5!$R$11</f>
        <v>0</v>
      </c>
      <c r="D156" s="77"/>
    </row>
    <row r="157" spans="1:4" hidden="1">
      <c r="B157" s="86">
        <f t="shared" si="0"/>
        <v>2034</v>
      </c>
      <c r="C157" s="136">
        <f>[5]С2.5!$S$11</f>
        <v>0</v>
      </c>
    </row>
    <row r="158" spans="1:4" hidden="1">
      <c r="B158" s="86">
        <f t="shared" si="0"/>
        <v>2035</v>
      </c>
      <c r="C158" s="136">
        <f>[5]С2.5!$T$11</f>
        <v>0</v>
      </c>
    </row>
    <row r="159" spans="1:4" hidden="1">
      <c r="B159" s="86">
        <f t="shared" si="0"/>
        <v>2036</v>
      </c>
      <c r="C159" s="136">
        <f>[5]С2.5!$U$11</f>
        <v>0</v>
      </c>
    </row>
    <row r="160" spans="1:4" hidden="1">
      <c r="B160" s="86">
        <f t="shared" si="0"/>
        <v>2037</v>
      </c>
      <c r="C160" s="136">
        <f>[5]С2.5!$V$11</f>
        <v>0</v>
      </c>
    </row>
    <row r="161" spans="2:3" hidden="1">
      <c r="B161" s="86">
        <f t="shared" si="0"/>
        <v>2038</v>
      </c>
      <c r="C161" s="136">
        <f>[5]С2.5!$W$11</f>
        <v>0</v>
      </c>
    </row>
    <row r="162" spans="2:3" hidden="1">
      <c r="B162" s="86">
        <f t="shared" si="0"/>
        <v>2039</v>
      </c>
      <c r="C162" s="136">
        <f>[5]С2.5!$X$11</f>
        <v>0</v>
      </c>
    </row>
    <row r="163" spans="2:3" hidden="1">
      <c r="B163" s="86">
        <f t="shared" si="0"/>
        <v>2040</v>
      </c>
      <c r="C163" s="136">
        <f>[5]С2.5!$Y$11</f>
        <v>0</v>
      </c>
    </row>
    <row r="164" spans="2:3" hidden="1">
      <c r="B164" s="86">
        <f t="shared" si="0"/>
        <v>2041</v>
      </c>
      <c r="C164" s="136">
        <f>[5]С2.5!$Z$11</f>
        <v>0</v>
      </c>
    </row>
    <row r="165" spans="2:3" hidden="1">
      <c r="B165" s="86">
        <f t="shared" si="0"/>
        <v>2042</v>
      </c>
      <c r="C165" s="136">
        <f>[5]С2.5!$AA$11</f>
        <v>0</v>
      </c>
    </row>
    <row r="166" spans="2:3" hidden="1">
      <c r="B166" s="86">
        <f t="shared" si="0"/>
        <v>2043</v>
      </c>
      <c r="C166" s="136">
        <f>[5]С2.5!$AB$11</f>
        <v>0</v>
      </c>
    </row>
    <row r="167" spans="2:3" hidden="1">
      <c r="B167" s="86">
        <f t="shared" si="0"/>
        <v>2044</v>
      </c>
      <c r="C167" s="136">
        <f>[5]С2.5!$AC$11</f>
        <v>0</v>
      </c>
    </row>
    <row r="168" spans="2:3" hidden="1">
      <c r="B168" s="86">
        <f t="shared" si="0"/>
        <v>2045</v>
      </c>
      <c r="C168" s="136">
        <f>[5]С2.5!$AD$11</f>
        <v>0</v>
      </c>
    </row>
    <row r="169" spans="2:3" hidden="1">
      <c r="B169" s="86">
        <f t="shared" si="0"/>
        <v>2046</v>
      </c>
      <c r="C169" s="136">
        <f>[5]С2.5!$AE$11</f>
        <v>0</v>
      </c>
    </row>
    <row r="170" spans="2:3" hidden="1">
      <c r="B170" s="86">
        <f t="shared" si="0"/>
        <v>2047</v>
      </c>
      <c r="C170" s="136">
        <f>[5]С2.5!$AF$11</f>
        <v>0</v>
      </c>
    </row>
    <row r="171" spans="2:3" hidden="1">
      <c r="B171" s="86">
        <f t="shared" si="0"/>
        <v>2048</v>
      </c>
      <c r="C171" s="136">
        <f>[5]С2.5!$AG$11</f>
        <v>0</v>
      </c>
    </row>
    <row r="172" spans="2:3" hidden="1">
      <c r="B172" s="86">
        <f t="shared" si="0"/>
        <v>2049</v>
      </c>
      <c r="C172" s="136">
        <f>[5]С2.5!$AH$11</f>
        <v>0</v>
      </c>
    </row>
    <row r="173" spans="2:3" hidden="1">
      <c r="B173" s="86">
        <f t="shared" si="0"/>
        <v>2050</v>
      </c>
      <c r="C173" s="136">
        <f>[5]С2.5!$AI$11</f>
        <v>0</v>
      </c>
    </row>
    <row r="174" spans="2:3" hidden="1">
      <c r="B174" s="86">
        <f t="shared" si="0"/>
        <v>2051</v>
      </c>
      <c r="C174" s="136">
        <f>[5]С2.5!$AJ$11</f>
        <v>0</v>
      </c>
    </row>
    <row r="175" spans="2:3" hidden="1">
      <c r="B175" s="86">
        <f t="shared" si="0"/>
        <v>2052</v>
      </c>
      <c r="C175" s="136">
        <f>[5]С2.5!$AK$11</f>
        <v>0</v>
      </c>
    </row>
    <row r="176" spans="2:3" hidden="1">
      <c r="B176" s="86">
        <f t="shared" si="0"/>
        <v>2053</v>
      </c>
      <c r="C176" s="136">
        <f>[5]С2.5!$AL$11</f>
        <v>0</v>
      </c>
    </row>
    <row r="177" spans="2:3" hidden="1">
      <c r="B177" s="86">
        <f t="shared" si="0"/>
        <v>2054</v>
      </c>
      <c r="C177" s="136">
        <f>[5]С2.5!$AM$11</f>
        <v>0</v>
      </c>
    </row>
    <row r="178" spans="2:3" hidden="1">
      <c r="B178" s="86">
        <f t="shared" si="0"/>
        <v>2055</v>
      </c>
      <c r="C178" s="136">
        <f>[5]С2.5!$AN$11</f>
        <v>0</v>
      </c>
    </row>
    <row r="179" spans="2:3" hidden="1">
      <c r="B179" s="86">
        <f t="shared" si="0"/>
        <v>2056</v>
      </c>
      <c r="C179" s="136">
        <f>[5]С2.5!$AO$11</f>
        <v>0</v>
      </c>
    </row>
    <row r="180" spans="2:3" hidden="1">
      <c r="B180" s="86">
        <f t="shared" si="0"/>
        <v>2057</v>
      </c>
      <c r="C180" s="136">
        <f>[5]С2.5!$AP$11</f>
        <v>0</v>
      </c>
    </row>
    <row r="181" spans="2:3" hidden="1">
      <c r="B181" s="86">
        <f t="shared" si="0"/>
        <v>2058</v>
      </c>
      <c r="C181" s="136">
        <f>[5]С2.5!$AQ$11</f>
        <v>0</v>
      </c>
    </row>
    <row r="182" spans="2:3" hidden="1">
      <c r="B182" s="86">
        <f t="shared" si="0"/>
        <v>2059</v>
      </c>
      <c r="C182" s="136">
        <f>[5]С2.5!$AR$11</f>
        <v>0</v>
      </c>
    </row>
    <row r="183" spans="2:3" hidden="1">
      <c r="B183" s="86">
        <f t="shared" si="0"/>
        <v>2060</v>
      </c>
      <c r="C183" s="136">
        <f>[5]С2.5!$AS$11</f>
        <v>0</v>
      </c>
    </row>
    <row r="184" spans="2:3" hidden="1">
      <c r="B184" s="86">
        <f t="shared" si="0"/>
        <v>2061</v>
      </c>
      <c r="C184" s="136">
        <f>[5]С2.5!$AT$11</f>
        <v>0</v>
      </c>
    </row>
    <row r="185" spans="2:3" hidden="1">
      <c r="B185" s="86">
        <f t="shared" si="0"/>
        <v>2062</v>
      </c>
      <c r="C185" s="136">
        <f>[5]С2.5!$AU$11</f>
        <v>0</v>
      </c>
    </row>
    <row r="186" spans="2:3" hidden="1">
      <c r="B186" s="86">
        <f t="shared" si="0"/>
        <v>2063</v>
      </c>
      <c r="C186" s="136">
        <f>[5]С2.5!$AV$11</f>
        <v>0</v>
      </c>
    </row>
    <row r="187" spans="2:3" hidden="1">
      <c r="B187" s="86">
        <f t="shared" si="0"/>
        <v>2064</v>
      </c>
      <c r="C187" s="136">
        <f>[5]С2.5!$AW$11</f>
        <v>0</v>
      </c>
    </row>
    <row r="188" spans="2:3" hidden="1">
      <c r="B188" s="86">
        <f t="shared" si="0"/>
        <v>2065</v>
      </c>
      <c r="C188" s="136">
        <f>[5]С2.5!$AX$11</f>
        <v>0</v>
      </c>
    </row>
    <row r="189" spans="2:3" hidden="1">
      <c r="B189" s="86">
        <f t="shared" si="0"/>
        <v>2066</v>
      </c>
      <c r="C189" s="136">
        <f>[5]С2.5!$AY$11</f>
        <v>0</v>
      </c>
    </row>
    <row r="190" spans="2:3" hidden="1">
      <c r="B190" s="86">
        <f t="shared" si="0"/>
        <v>2067</v>
      </c>
      <c r="C190" s="136">
        <f>[5]С2.5!$AZ$11</f>
        <v>0</v>
      </c>
    </row>
    <row r="191" spans="2:3" hidden="1">
      <c r="B191" s="86">
        <f t="shared" si="0"/>
        <v>2068</v>
      </c>
      <c r="C191" s="136">
        <f>[5]С2.5!$BA$11</f>
        <v>0</v>
      </c>
    </row>
    <row r="192" spans="2:3" hidden="1">
      <c r="B192" s="86">
        <f t="shared" si="0"/>
        <v>2069</v>
      </c>
      <c r="C192" s="136">
        <f>[5]С2.5!$BB$11</f>
        <v>0</v>
      </c>
    </row>
    <row r="193" spans="2:3" hidden="1">
      <c r="B193" s="86">
        <f t="shared" si="0"/>
        <v>2070</v>
      </c>
      <c r="C193" s="136">
        <f>[5]С2.5!$BC$11</f>
        <v>0</v>
      </c>
    </row>
    <row r="194" spans="2:3" hidden="1">
      <c r="B194" s="86">
        <f t="shared" si="0"/>
        <v>2071</v>
      </c>
      <c r="C194" s="136">
        <f>[5]С2.5!$BD$11</f>
        <v>0</v>
      </c>
    </row>
    <row r="195" spans="2:3" hidden="1">
      <c r="B195" s="86">
        <f t="shared" si="0"/>
        <v>2072</v>
      </c>
      <c r="C195" s="136">
        <f>[5]С2.5!$BE$11</f>
        <v>0</v>
      </c>
    </row>
    <row r="196" spans="2:3" hidden="1">
      <c r="B196" s="86">
        <f t="shared" si="0"/>
        <v>2073</v>
      </c>
      <c r="C196" s="136">
        <f>[5]С2.5!$BF$11</f>
        <v>0</v>
      </c>
    </row>
    <row r="197" spans="2:3" hidden="1">
      <c r="B197" s="86">
        <f t="shared" si="0"/>
        <v>2074</v>
      </c>
      <c r="C197" s="136">
        <f>[5]С2.5!$BG$11</f>
        <v>0</v>
      </c>
    </row>
    <row r="198" spans="2:3" hidden="1">
      <c r="B198" s="86">
        <f t="shared" si="0"/>
        <v>2075</v>
      </c>
      <c r="C198" s="136">
        <f>[5]С2.5!$BH$11</f>
        <v>0</v>
      </c>
    </row>
    <row r="199" spans="2:3" hidden="1">
      <c r="B199" s="86">
        <f t="shared" si="0"/>
        <v>2076</v>
      </c>
      <c r="C199" s="136">
        <f>[5]С2.5!$BI$11</f>
        <v>0</v>
      </c>
    </row>
    <row r="200" spans="2:3" hidden="1">
      <c r="B200" s="86">
        <f t="shared" si="0"/>
        <v>2077</v>
      </c>
      <c r="C200" s="136">
        <f>[5]С2.5!$BJ$11</f>
        <v>0</v>
      </c>
    </row>
    <row r="201" spans="2:3" hidden="1">
      <c r="B201" s="86">
        <f t="shared" si="0"/>
        <v>2078</v>
      </c>
      <c r="C201" s="136">
        <f>[5]С2.5!$BK$11</f>
        <v>0</v>
      </c>
    </row>
    <row r="202" spans="2:3" hidden="1">
      <c r="B202" s="86">
        <f t="shared" si="0"/>
        <v>2079</v>
      </c>
      <c r="C202" s="136">
        <f>[5]С2.5!$BL$11</f>
        <v>0</v>
      </c>
    </row>
    <row r="203" spans="2:3" hidden="1">
      <c r="B203" s="86">
        <f t="shared" si="0"/>
        <v>2080</v>
      </c>
      <c r="C203" s="136">
        <f>[5]С2.5!$BM$11</f>
        <v>0</v>
      </c>
    </row>
    <row r="204" spans="2:3" hidden="1">
      <c r="B204" s="86">
        <f t="shared" si="0"/>
        <v>2081</v>
      </c>
      <c r="C204" s="136">
        <f>[5]С2.5!$BN$11</f>
        <v>0</v>
      </c>
    </row>
    <row r="205" spans="2:3" hidden="1">
      <c r="B205" s="86">
        <f t="shared" si="0"/>
        <v>2082</v>
      </c>
      <c r="C205" s="136">
        <f>[5]С2.5!$BO$11</f>
        <v>0</v>
      </c>
    </row>
    <row r="206" spans="2:3" hidden="1">
      <c r="B206" s="86">
        <f t="shared" si="0"/>
        <v>2083</v>
      </c>
      <c r="C206" s="136">
        <f>[5]С2.5!$BP$11</f>
        <v>0</v>
      </c>
    </row>
    <row r="207" spans="2:3" hidden="1">
      <c r="B207" s="86">
        <f t="shared" si="0"/>
        <v>2084</v>
      </c>
      <c r="C207" s="136">
        <f>[5]С2.5!$BQ$11</f>
        <v>0</v>
      </c>
    </row>
    <row r="208" spans="2:3" hidden="1">
      <c r="B208" s="86">
        <f t="shared" si="0"/>
        <v>2085</v>
      </c>
      <c r="C208" s="136">
        <f>[5]С2.5!$BR$11</f>
        <v>0</v>
      </c>
    </row>
    <row r="209" spans="2:3" hidden="1">
      <c r="B209" s="86">
        <f t="shared" ref="B209:B223" si="1">B208+1</f>
        <v>2086</v>
      </c>
      <c r="C209" s="136">
        <f>[5]С2.5!$BS$11</f>
        <v>0</v>
      </c>
    </row>
    <row r="210" spans="2:3" hidden="1">
      <c r="B210" s="86">
        <f t="shared" si="1"/>
        <v>2087</v>
      </c>
      <c r="C210" s="136">
        <f>[5]С2.5!$BT$11</f>
        <v>0</v>
      </c>
    </row>
    <row r="211" spans="2:3" hidden="1">
      <c r="B211" s="86">
        <f t="shared" si="1"/>
        <v>2088</v>
      </c>
      <c r="C211" s="136">
        <f>[5]С2.5!$BU$11</f>
        <v>0</v>
      </c>
    </row>
    <row r="212" spans="2:3" hidden="1">
      <c r="B212" s="86">
        <f t="shared" si="1"/>
        <v>2089</v>
      </c>
      <c r="C212" s="136">
        <f>[5]С2.5!$BV$11</f>
        <v>0</v>
      </c>
    </row>
    <row r="213" spans="2:3" hidden="1">
      <c r="B213" s="86">
        <f t="shared" si="1"/>
        <v>2090</v>
      </c>
      <c r="C213" s="136">
        <f>[5]С2.5!$BW$11</f>
        <v>0</v>
      </c>
    </row>
    <row r="214" spans="2:3" hidden="1">
      <c r="B214" s="86">
        <f t="shared" si="1"/>
        <v>2091</v>
      </c>
      <c r="C214" s="136">
        <f>[5]С2.5!$BX$11</f>
        <v>0</v>
      </c>
    </row>
    <row r="215" spans="2:3" hidden="1">
      <c r="B215" s="86">
        <f t="shared" si="1"/>
        <v>2092</v>
      </c>
      <c r="C215" s="136">
        <f>[5]С2.5!$BY$11</f>
        <v>0</v>
      </c>
    </row>
    <row r="216" spans="2:3" hidden="1">
      <c r="B216" s="86">
        <f t="shared" si="1"/>
        <v>2093</v>
      </c>
      <c r="C216" s="136">
        <f>[5]С2.5!$BZ$11</f>
        <v>0</v>
      </c>
    </row>
    <row r="217" spans="2:3" hidden="1">
      <c r="B217" s="86">
        <f t="shared" si="1"/>
        <v>2094</v>
      </c>
      <c r="C217" s="136">
        <f>[5]С2.5!$CA$11</f>
        <v>0</v>
      </c>
    </row>
    <row r="218" spans="2:3" hidden="1">
      <c r="B218" s="86">
        <f t="shared" si="1"/>
        <v>2095</v>
      </c>
      <c r="C218" s="136">
        <f>[5]С2.5!$CB$11</f>
        <v>0</v>
      </c>
    </row>
    <row r="219" spans="2:3" hidden="1">
      <c r="B219" s="86">
        <f t="shared" si="1"/>
        <v>2096</v>
      </c>
      <c r="C219" s="136">
        <f>[5]С2.5!$CC$11</f>
        <v>0</v>
      </c>
    </row>
    <row r="220" spans="2:3" hidden="1">
      <c r="B220" s="86">
        <f t="shared" si="1"/>
        <v>2097</v>
      </c>
      <c r="C220" s="136">
        <f>[5]С2.5!$CD$11</f>
        <v>0</v>
      </c>
    </row>
    <row r="221" spans="2:3" hidden="1">
      <c r="B221" s="86">
        <f t="shared" si="1"/>
        <v>2098</v>
      </c>
      <c r="C221" s="136">
        <f>[5]С2.5!$CE$11</f>
        <v>0</v>
      </c>
    </row>
    <row r="222" spans="2:3" hidden="1">
      <c r="B222" s="86">
        <f t="shared" si="1"/>
        <v>2099</v>
      </c>
      <c r="C222" s="136">
        <f>[5]С2.5!$CF$11</f>
        <v>0</v>
      </c>
    </row>
    <row r="223" spans="2:3" ht="13.5" hidden="1" thickBot="1">
      <c r="B223" s="87">
        <f t="shared" si="1"/>
        <v>2100</v>
      </c>
      <c r="C223" s="137">
        <f>[5]С2.5!$CG$11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1745" r:id="rId3"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0" sqref="E20"/>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[6]И1!D13</f>
        <v>Субъект Российской Федерации</v>
      </c>
      <c r="C4" s="8" t="str">
        <f>[6]И1!E13</f>
        <v>Новосибирская область</v>
      </c>
    </row>
    <row r="5" spans="1:3" ht="38.25">
      <c r="A5" s="6"/>
      <c r="B5" s="7" t="str">
        <f>[6]И1!D14</f>
        <v>Тип муниципального образования (выберите из списка)</v>
      </c>
      <c r="C5" s="8" t="str">
        <f>[6]И1!E14</f>
        <v>село Земляная Заимка, Чановский муниципальный район</v>
      </c>
    </row>
    <row r="6" spans="1:3">
      <c r="A6" s="6"/>
      <c r="B6" s="7" t="str">
        <f>IF([6]И1!E15="","",[6]И1!D15)</f>
        <v/>
      </c>
      <c r="C6" s="8" t="str">
        <f>IF([6]И1!E15="","",[6]И1!E15)</f>
        <v/>
      </c>
    </row>
    <row r="7" spans="1:3">
      <c r="A7" s="6"/>
      <c r="B7" s="7" t="str">
        <f>[6]И1!D16</f>
        <v>Код ОКТМО</v>
      </c>
      <c r="C7" s="9" t="str">
        <f>[6]И1!E16</f>
        <v>50656404101</v>
      </c>
    </row>
    <row r="8" spans="1:3">
      <c r="A8" s="6"/>
      <c r="B8" s="10" t="str">
        <f>[6]И1!D17</f>
        <v>Система теплоснабжения</v>
      </c>
      <c r="C8" s="11">
        <f>[6]И1!E17</f>
        <v>0</v>
      </c>
    </row>
    <row r="9" spans="1:3">
      <c r="A9" s="6"/>
      <c r="B9" s="7" t="str">
        <f>[6]И1!D8</f>
        <v>Период регулирования (i)-й</v>
      </c>
      <c r="C9" s="12">
        <f>[6]И1!E8</f>
        <v>2023</v>
      </c>
    </row>
    <row r="10" spans="1:3">
      <c r="A10" s="6"/>
      <c r="B10" s="7" t="str">
        <f>[6]И1!D9</f>
        <v>Период регулирования (i-1)-й</v>
      </c>
      <c r="C10" s="12">
        <f>[6]И1!E9</f>
        <v>2022</v>
      </c>
    </row>
    <row r="11" spans="1:3">
      <c r="A11" s="6"/>
      <c r="B11" s="7" t="str">
        <f>[6]И1!D10</f>
        <v>Период регулирования (i-2)-й</v>
      </c>
      <c r="C11" s="12">
        <f>[6]И1!E10</f>
        <v>2021</v>
      </c>
    </row>
    <row r="12" spans="1:3">
      <c r="A12" s="6"/>
      <c r="B12" s="7" t="str">
        <f>[6]И1!D11</f>
        <v>Базовый год (б)</v>
      </c>
      <c r="C12" s="12">
        <f>[6]И1!E11</f>
        <v>2019</v>
      </c>
    </row>
    <row r="13" spans="1:3" ht="38.25">
      <c r="A13" s="6"/>
      <c r="B13" s="7" t="str">
        <f>[6]И1!D18</f>
        <v>Вид топлива, использование которого преобладает в системе теплоснабжения</v>
      </c>
      <c r="C13" s="13" t="str">
        <f>[6]С1.1!E13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4040.7085108008005</v>
      </c>
    </row>
    <row r="18" spans="1:3" ht="42.75">
      <c r="A18" s="16" t="s">
        <v>7</v>
      </c>
      <c r="B18" s="19" t="s">
        <v>8</v>
      </c>
      <c r="C18" s="20">
        <f>[6]С1!F12</f>
        <v>942.6239739125333</v>
      </c>
    </row>
    <row r="19" spans="1:3" ht="42.75">
      <c r="A19" s="16" t="s">
        <v>9</v>
      </c>
      <c r="B19" s="19" t="s">
        <v>10</v>
      </c>
      <c r="C19" s="20">
        <f>[6]С2!F12</f>
        <v>2104.1852054273977</v>
      </c>
    </row>
    <row r="20" spans="1:3" ht="30">
      <c r="A20" s="16" t="s">
        <v>11</v>
      </c>
      <c r="B20" s="19" t="s">
        <v>12</v>
      </c>
      <c r="C20" s="20">
        <f>[6]С3!F12</f>
        <v>503.33593794803642</v>
      </c>
    </row>
    <row r="21" spans="1:3" ht="42.75">
      <c r="A21" s="16" t="s">
        <v>13</v>
      </c>
      <c r="B21" s="19" t="s">
        <v>226</v>
      </c>
      <c r="C21" s="20">
        <f>[6]С4!F12</f>
        <v>411.33381486968079</v>
      </c>
    </row>
    <row r="22" spans="1:3" ht="30">
      <c r="A22" s="16" t="s">
        <v>14</v>
      </c>
      <c r="B22" s="19" t="s">
        <v>227</v>
      </c>
      <c r="C22" s="20">
        <f>[6]С5!F12</f>
        <v>79.229578643152962</v>
      </c>
    </row>
    <row r="23" spans="1:3" ht="43.5" thickBot="1">
      <c r="A23" s="21" t="s">
        <v>15</v>
      </c>
      <c r="B23" s="111" t="s">
        <v>228</v>
      </c>
      <c r="C23" s="22" t="str">
        <f>[6]С6!F12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[6]С1.1!E16</f>
        <v>5100</v>
      </c>
    </row>
    <row r="29" spans="1:3" ht="42.75">
      <c r="A29" s="16" t="s">
        <v>9</v>
      </c>
      <c r="B29" s="27" t="s">
        <v>230</v>
      </c>
      <c r="C29" s="28">
        <f>[6]С1.1!E27</f>
        <v>2534.5583333333334</v>
      </c>
    </row>
    <row r="30" spans="1:3" ht="17.25">
      <c r="A30" s="16" t="s">
        <v>11</v>
      </c>
      <c r="B30" s="27" t="s">
        <v>17</v>
      </c>
      <c r="C30" s="29">
        <f>[6]С1.1!E19</f>
        <v>0.59499999999999997</v>
      </c>
    </row>
    <row r="31" spans="1:3" ht="17.25">
      <c r="A31" s="16" t="s">
        <v>13</v>
      </c>
      <c r="B31" s="27" t="s">
        <v>18</v>
      </c>
      <c r="C31" s="29">
        <f>[6]С1.1!E20</f>
        <v>-0.113</v>
      </c>
    </row>
    <row r="32" spans="1:3" ht="30">
      <c r="A32" s="16" t="s">
        <v>14</v>
      </c>
      <c r="B32" s="30" t="s">
        <v>231</v>
      </c>
      <c r="C32" s="118">
        <f>[6]С1!F13</f>
        <v>176.4</v>
      </c>
    </row>
    <row r="33" spans="1:3">
      <c r="A33" s="16" t="s">
        <v>15</v>
      </c>
      <c r="B33" s="30" t="s">
        <v>19</v>
      </c>
      <c r="C33" s="31">
        <f>[6]С1!F16</f>
        <v>7000</v>
      </c>
    </row>
    <row r="34" spans="1:3" ht="14.25">
      <c r="A34" s="16" t="s">
        <v>20</v>
      </c>
      <c r="B34" s="32" t="s">
        <v>232</v>
      </c>
      <c r="C34" s="33">
        <f>[6]С1!F17</f>
        <v>0.72857142857142854</v>
      </c>
    </row>
    <row r="35" spans="1:3" ht="15.75">
      <c r="A35" s="119" t="s">
        <v>21</v>
      </c>
      <c r="B35" s="34" t="s">
        <v>22</v>
      </c>
      <c r="C35" s="33">
        <f>[6]С1!F20</f>
        <v>21.588411179999994</v>
      </c>
    </row>
    <row r="36" spans="1:3" ht="15.75">
      <c r="A36" s="119" t="s">
        <v>23</v>
      </c>
      <c r="B36" s="35" t="s">
        <v>24</v>
      </c>
      <c r="C36" s="33">
        <f>[6]С1!F21</f>
        <v>20.818139999999996</v>
      </c>
    </row>
    <row r="37" spans="1:3" ht="14.25">
      <c r="A37" s="119" t="s">
        <v>25</v>
      </c>
      <c r="B37" s="36" t="s">
        <v>26</v>
      </c>
      <c r="C37" s="33">
        <f>[6]С1!F22</f>
        <v>1.0369999999999999</v>
      </c>
    </row>
    <row r="38" spans="1:3" ht="53.25" thickBot="1">
      <c r="A38" s="21" t="s">
        <v>27</v>
      </c>
      <c r="B38" s="37" t="s">
        <v>28</v>
      </c>
      <c r="C38" s="38">
        <f>[6]С1!F23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[6]С2.1!E12</f>
        <v>V</v>
      </c>
    </row>
    <row r="42" spans="1:3" ht="25.5">
      <c r="A42" s="16" t="s">
        <v>33</v>
      </c>
      <c r="B42" s="27" t="s">
        <v>34</v>
      </c>
      <c r="C42" s="41" t="str">
        <f>[6]С2.1!E13</f>
        <v>6 и менее баллов</v>
      </c>
    </row>
    <row r="43" spans="1:3" ht="25.5">
      <c r="A43" s="16" t="s">
        <v>35</v>
      </c>
      <c r="B43" s="27" t="s">
        <v>233</v>
      </c>
      <c r="C43" s="41" t="str">
        <f>[6]С2.1!E14</f>
        <v>от 200 до 500</v>
      </c>
    </row>
    <row r="44" spans="1:3" ht="25.5">
      <c r="A44" s="16" t="s">
        <v>36</v>
      </c>
      <c r="B44" s="27" t="s">
        <v>234</v>
      </c>
      <c r="C44" s="42" t="str">
        <f>[6]С2.1!E15</f>
        <v>нет</v>
      </c>
    </row>
    <row r="45" spans="1:3" ht="30">
      <c r="A45" s="16" t="s">
        <v>37</v>
      </c>
      <c r="B45" s="27" t="s">
        <v>38</v>
      </c>
      <c r="C45" s="28">
        <f>[6]С2!F18</f>
        <v>32402.627334033532</v>
      </c>
    </row>
    <row r="46" spans="1:3" ht="30">
      <c r="A46" s="16" t="s">
        <v>39</v>
      </c>
      <c r="B46" s="43" t="s">
        <v>40</v>
      </c>
      <c r="C46" s="28">
        <f>IF([6]С2!F19&gt;0,[6]С2!F19,[6]С2!F20)</f>
        <v>23441.524932855718</v>
      </c>
    </row>
    <row r="47" spans="1:3" ht="25.5">
      <c r="A47" s="16" t="s">
        <v>41</v>
      </c>
      <c r="B47" s="44" t="s">
        <v>42</v>
      </c>
      <c r="C47" s="28">
        <f>[6]С2.1!E19</f>
        <v>-38</v>
      </c>
    </row>
    <row r="48" spans="1:3" ht="25.5">
      <c r="A48" s="16" t="s">
        <v>43</v>
      </c>
      <c r="B48" s="44" t="s">
        <v>44</v>
      </c>
      <c r="C48" s="28" t="str">
        <f>[6]С2.1!E22</f>
        <v>нет</v>
      </c>
    </row>
    <row r="49" spans="1:3" ht="38.25">
      <c r="A49" s="16" t="s">
        <v>45</v>
      </c>
      <c r="B49" s="45" t="s">
        <v>46</v>
      </c>
      <c r="C49" s="28">
        <f>[6]С2.2!E10</f>
        <v>1287</v>
      </c>
    </row>
    <row r="50" spans="1:3" ht="25.5">
      <c r="A50" s="16" t="s">
        <v>47</v>
      </c>
      <c r="B50" s="46" t="s">
        <v>48</v>
      </c>
      <c r="C50" s="28">
        <f>[6]С2.2!E12</f>
        <v>5.97</v>
      </c>
    </row>
    <row r="51" spans="1:3" ht="52.5">
      <c r="A51" s="16" t="s">
        <v>49</v>
      </c>
      <c r="B51" s="47" t="s">
        <v>50</v>
      </c>
      <c r="C51" s="28">
        <f>[6]С2.2!E13</f>
        <v>1</v>
      </c>
    </row>
    <row r="52" spans="1:3" ht="27.75">
      <c r="A52" s="16" t="s">
        <v>51</v>
      </c>
      <c r="B52" s="46" t="s">
        <v>52</v>
      </c>
      <c r="C52" s="28">
        <f>[6]С2.2!E14</f>
        <v>12104</v>
      </c>
    </row>
    <row r="53" spans="1:3" ht="25.5">
      <c r="A53" s="16" t="s">
        <v>53</v>
      </c>
      <c r="B53" s="47" t="s">
        <v>54</v>
      </c>
      <c r="C53" s="29">
        <f>[6]С2.2!E15</f>
        <v>4.8000000000000001E-2</v>
      </c>
    </row>
    <row r="54" spans="1:3">
      <c r="A54" s="16" t="s">
        <v>55</v>
      </c>
      <c r="B54" s="47" t="s">
        <v>56</v>
      </c>
      <c r="C54" s="28">
        <f>[6]С2.2!E16</f>
        <v>1</v>
      </c>
    </row>
    <row r="55" spans="1:3" ht="15.75">
      <c r="A55" s="16" t="s">
        <v>57</v>
      </c>
      <c r="B55" s="48" t="s">
        <v>58</v>
      </c>
      <c r="C55" s="28">
        <f>[6]С2!F21</f>
        <v>1</v>
      </c>
    </row>
    <row r="56" spans="1:3" ht="30">
      <c r="A56" s="49" t="s">
        <v>59</v>
      </c>
      <c r="B56" s="27" t="s">
        <v>235</v>
      </c>
      <c r="C56" s="28">
        <f>[6]С2!F13</f>
        <v>169640.22915965237</v>
      </c>
    </row>
    <row r="57" spans="1:3" ht="30">
      <c r="A57" s="49" t="s">
        <v>60</v>
      </c>
      <c r="B57" s="48" t="s">
        <v>236</v>
      </c>
      <c r="C57" s="28">
        <f>[6]С2!F14</f>
        <v>113455</v>
      </c>
    </row>
    <row r="58" spans="1:3" ht="15.75">
      <c r="A58" s="49" t="s">
        <v>61</v>
      </c>
      <c r="B58" s="50" t="s">
        <v>62</v>
      </c>
      <c r="C58" s="33">
        <f>[6]С2!F15</f>
        <v>1.071</v>
      </c>
    </row>
    <row r="59" spans="1:3" ht="15.75">
      <c r="A59" s="49" t="s">
        <v>63</v>
      </c>
      <c r="B59" s="50" t="s">
        <v>64</v>
      </c>
      <c r="C59" s="33">
        <f>[6]С2!F16</f>
        <v>1</v>
      </c>
    </row>
    <row r="60" spans="1:3" ht="17.25">
      <c r="A60" s="49" t="s">
        <v>65</v>
      </c>
      <c r="B60" s="48" t="s">
        <v>66</v>
      </c>
      <c r="C60" s="28">
        <f>[6]С2!F17</f>
        <v>1.01</v>
      </c>
    </row>
    <row r="61" spans="1:3" s="53" customFormat="1" ht="14.25">
      <c r="A61" s="49" t="s">
        <v>67</v>
      </c>
      <c r="B61" s="51" t="s">
        <v>68</v>
      </c>
      <c r="C61" s="52">
        <f>[6]С2!F33</f>
        <v>10</v>
      </c>
    </row>
    <row r="62" spans="1:3" ht="30">
      <c r="A62" s="49" t="s">
        <v>69</v>
      </c>
      <c r="B62" s="54" t="s">
        <v>70</v>
      </c>
      <c r="C62" s="28">
        <f>[6]С2!F26</f>
        <v>911.22846603392293</v>
      </c>
    </row>
    <row r="63" spans="1:3" ht="17.25">
      <c r="A63" s="49" t="s">
        <v>71</v>
      </c>
      <c r="B63" s="43" t="s">
        <v>237</v>
      </c>
      <c r="C63" s="28">
        <f>[6]С2!F27</f>
        <v>0.15695805999999998</v>
      </c>
    </row>
    <row r="64" spans="1:3" ht="17.25">
      <c r="A64" s="49" t="s">
        <v>72</v>
      </c>
      <c r="B64" s="48" t="s">
        <v>238</v>
      </c>
      <c r="C64" s="52">
        <f>[6]С2!F28</f>
        <v>4200</v>
      </c>
    </row>
    <row r="65" spans="1:3" ht="42.75">
      <c r="A65" s="49" t="s">
        <v>73</v>
      </c>
      <c r="B65" s="27" t="s">
        <v>239</v>
      </c>
      <c r="C65" s="28">
        <f>[6]С2!F22</f>
        <v>35717.748653137714</v>
      </c>
    </row>
    <row r="66" spans="1:3" ht="30">
      <c r="A66" s="49" t="s">
        <v>74</v>
      </c>
      <c r="B66" s="50" t="s">
        <v>240</v>
      </c>
      <c r="C66" s="28">
        <f>[6]С2!F23</f>
        <v>1990</v>
      </c>
    </row>
    <row r="67" spans="1:3" ht="30">
      <c r="A67" s="49" t="s">
        <v>75</v>
      </c>
      <c r="B67" s="43" t="s">
        <v>76</v>
      </c>
      <c r="C67" s="28">
        <f>[6]С2.1!E27</f>
        <v>14307.876789999998</v>
      </c>
    </row>
    <row r="68" spans="1:3" ht="38.25">
      <c r="A68" s="49" t="s">
        <v>77</v>
      </c>
      <c r="B68" s="55" t="s">
        <v>78</v>
      </c>
      <c r="C68" s="42">
        <f>[6]С2.3!E21</f>
        <v>0</v>
      </c>
    </row>
    <row r="69" spans="1:3" ht="25.5">
      <c r="A69" s="49" t="s">
        <v>79</v>
      </c>
      <c r="B69" s="56" t="s">
        <v>80</v>
      </c>
      <c r="C69" s="57">
        <f>[6]С2.3!E11</f>
        <v>9.89</v>
      </c>
    </row>
    <row r="70" spans="1:3" ht="25.5">
      <c r="A70" s="49" t="s">
        <v>81</v>
      </c>
      <c r="B70" s="56" t="s">
        <v>82</v>
      </c>
      <c r="C70" s="52">
        <f>[6]С2.3!E13</f>
        <v>300</v>
      </c>
    </row>
    <row r="71" spans="1:3" ht="25.5">
      <c r="A71" s="49" t="s">
        <v>83</v>
      </c>
      <c r="B71" s="55" t="s">
        <v>84</v>
      </c>
      <c r="C71" s="58">
        <f>IF([6]С2.3!E22&gt;0,[6]С2.3!E22,[6]С2.3!E14)</f>
        <v>61211</v>
      </c>
    </row>
    <row r="72" spans="1:3" ht="38.25">
      <c r="A72" s="49" t="s">
        <v>85</v>
      </c>
      <c r="B72" s="55" t="s">
        <v>86</v>
      </c>
      <c r="C72" s="58">
        <f>IF([6]С2.3!E23&gt;0,[6]С2.3!E23,[6]С2.3!E15)</f>
        <v>45675</v>
      </c>
    </row>
    <row r="73" spans="1:3" ht="30">
      <c r="A73" s="49" t="s">
        <v>87</v>
      </c>
      <c r="B73" s="43" t="s">
        <v>88</v>
      </c>
      <c r="C73" s="28">
        <f>[6]С2.1!E28</f>
        <v>9541.9567200000001</v>
      </c>
    </row>
    <row r="74" spans="1:3" ht="38.25">
      <c r="A74" s="49" t="s">
        <v>89</v>
      </c>
      <c r="B74" s="55" t="s">
        <v>90</v>
      </c>
      <c r="C74" s="42">
        <f>[6]С2.3!E25</f>
        <v>0</v>
      </c>
    </row>
    <row r="75" spans="1:3" ht="25.5">
      <c r="A75" s="49" t="s">
        <v>91</v>
      </c>
      <c r="B75" s="56" t="s">
        <v>92</v>
      </c>
      <c r="C75" s="57">
        <f>[6]С2.3!E12</f>
        <v>0.56000000000000005</v>
      </c>
    </row>
    <row r="76" spans="1:3" ht="25.5">
      <c r="A76" s="49" t="s">
        <v>93</v>
      </c>
      <c r="B76" s="56" t="s">
        <v>82</v>
      </c>
      <c r="C76" s="52">
        <f>[6]С2.3!E13</f>
        <v>300</v>
      </c>
    </row>
    <row r="77" spans="1:3" ht="25.5">
      <c r="A77" s="49" t="s">
        <v>94</v>
      </c>
      <c r="B77" s="59" t="s">
        <v>95</v>
      </c>
      <c r="C77" s="58">
        <f>IF([6]С2.3!E26&gt;0,[6]С2.3!E26,[6]С2.3!E16)</f>
        <v>65637</v>
      </c>
    </row>
    <row r="78" spans="1:3" ht="38.25">
      <c r="A78" s="49" t="s">
        <v>96</v>
      </c>
      <c r="B78" s="59" t="s">
        <v>97</v>
      </c>
      <c r="C78" s="58">
        <f>IF([6]С2.3!E27&gt;0,[6]С2.3!E27,[6]С2.3!E17)</f>
        <v>31684</v>
      </c>
    </row>
    <row r="79" spans="1:3" ht="17.25">
      <c r="A79" s="49" t="s">
        <v>98</v>
      </c>
      <c r="B79" s="27" t="s">
        <v>99</v>
      </c>
      <c r="C79" s="29">
        <f>[6]С2!F29</f>
        <v>0.128978033685065</v>
      </c>
    </row>
    <row r="80" spans="1:3" ht="30">
      <c r="A80" s="49" t="s">
        <v>100</v>
      </c>
      <c r="B80" s="43" t="s">
        <v>101</v>
      </c>
      <c r="C80" s="60">
        <f>[6]С2!F30</f>
        <v>0.11668498168498169</v>
      </c>
    </row>
    <row r="81" spans="1:3" ht="17.25">
      <c r="A81" s="49" t="s">
        <v>102</v>
      </c>
      <c r="B81" s="61" t="s">
        <v>103</v>
      </c>
      <c r="C81" s="29">
        <f>[6]С2!F31</f>
        <v>0.13880000000000001</v>
      </c>
    </row>
    <row r="82" spans="1:3" s="53" customFormat="1" ht="18" thickBot="1">
      <c r="A82" s="62" t="s">
        <v>104</v>
      </c>
      <c r="B82" s="63" t="s">
        <v>105</v>
      </c>
      <c r="C82" s="64">
        <f>[6]С2!F32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[6]С3!F14</f>
        <v>6988.6287956820188</v>
      </c>
    </row>
    <row r="86" spans="1:3" s="53" customFormat="1" ht="42.75">
      <c r="A86" s="67" t="s">
        <v>110</v>
      </c>
      <c r="B86" s="43" t="s">
        <v>111</v>
      </c>
      <c r="C86" s="68">
        <f>[6]С3!F15</f>
        <v>0.2</v>
      </c>
    </row>
    <row r="87" spans="1:3" s="53" customFormat="1" ht="14.25">
      <c r="A87" s="67" t="s">
        <v>112</v>
      </c>
      <c r="B87" s="69" t="s">
        <v>113</v>
      </c>
      <c r="C87" s="52">
        <f>[6]С3!F18</f>
        <v>15</v>
      </c>
    </row>
    <row r="88" spans="1:3" s="53" customFormat="1" ht="17.25">
      <c r="A88" s="67" t="s">
        <v>114</v>
      </c>
      <c r="B88" s="27" t="s">
        <v>115</v>
      </c>
      <c r="C88" s="28">
        <f>[6]С3!F19</f>
        <v>3487.1555421534131</v>
      </c>
    </row>
    <row r="89" spans="1:3" s="53" customFormat="1" ht="55.5">
      <c r="A89" s="67" t="s">
        <v>116</v>
      </c>
      <c r="B89" s="43" t="s">
        <v>117</v>
      </c>
      <c r="C89" s="70">
        <f>[6]С3!F20</f>
        <v>2.1999999999999999E-2</v>
      </c>
    </row>
    <row r="90" spans="1:3" s="53" customFormat="1" ht="14.25">
      <c r="A90" s="67" t="s">
        <v>118</v>
      </c>
      <c r="B90" s="48" t="s">
        <v>68</v>
      </c>
      <c r="C90" s="52">
        <f>[6]С3!F21</f>
        <v>10</v>
      </c>
    </row>
    <row r="91" spans="1:3" s="53" customFormat="1" ht="17.25">
      <c r="A91" s="67" t="s">
        <v>119</v>
      </c>
      <c r="B91" s="27" t="s">
        <v>120</v>
      </c>
      <c r="C91" s="28">
        <f>[6]С3!F22</f>
        <v>2.7336853981017688</v>
      </c>
    </row>
    <row r="92" spans="1:3" s="53" customFormat="1" ht="55.5">
      <c r="A92" s="67" t="s">
        <v>121</v>
      </c>
      <c r="B92" s="43" t="s">
        <v>122</v>
      </c>
      <c r="C92" s="70">
        <f>[6]С3!F23</f>
        <v>3.0000000000000001E-3</v>
      </c>
    </row>
    <row r="93" spans="1:3" s="53" customFormat="1" ht="27.75" thickBot="1">
      <c r="A93" s="71" t="s">
        <v>123</v>
      </c>
      <c r="B93" s="72" t="s">
        <v>241</v>
      </c>
      <c r="C93" s="73">
        <f>[6]С3!F24</f>
        <v>911.22846603392293</v>
      </c>
    </row>
    <row r="94" spans="1:3" ht="13.5" thickBot="1">
      <c r="A94" s="39"/>
      <c r="B94" s="65"/>
      <c r="C94" s="13"/>
    </row>
    <row r="95" spans="1:3" ht="30" customHeight="1">
      <c r="A95" s="74" t="s">
        <v>124</v>
      </c>
      <c r="B95" s="141" t="s">
        <v>125</v>
      </c>
      <c r="C95" s="141"/>
    </row>
    <row r="96" spans="1:3" ht="30">
      <c r="A96" s="49" t="s">
        <v>126</v>
      </c>
      <c r="B96" s="27" t="s">
        <v>242</v>
      </c>
      <c r="C96" s="28">
        <f>[6]С4!F16</f>
        <v>1652.5</v>
      </c>
    </row>
    <row r="97" spans="1:3" ht="30">
      <c r="A97" s="49" t="s">
        <v>127</v>
      </c>
      <c r="B97" s="48" t="s">
        <v>243</v>
      </c>
      <c r="C97" s="28">
        <f>[6]С4!F17</f>
        <v>73547</v>
      </c>
    </row>
    <row r="98" spans="1:3" ht="17.25">
      <c r="A98" s="49" t="s">
        <v>128</v>
      </c>
      <c r="B98" s="48" t="s">
        <v>129</v>
      </c>
      <c r="C98" s="33">
        <f>[6]С4!F18</f>
        <v>0.02</v>
      </c>
    </row>
    <row r="99" spans="1:3" ht="30">
      <c r="A99" s="49" t="s">
        <v>130</v>
      </c>
      <c r="B99" s="48" t="s">
        <v>131</v>
      </c>
      <c r="C99" s="28">
        <f>[6]С4!F19</f>
        <v>12104</v>
      </c>
    </row>
    <row r="100" spans="1:3" ht="31.5">
      <c r="A100" s="49" t="s">
        <v>132</v>
      </c>
      <c r="B100" s="48" t="s">
        <v>133</v>
      </c>
      <c r="C100" s="33">
        <f>[6]С4!F20</f>
        <v>1.4999999999999999E-2</v>
      </c>
    </row>
    <row r="101" spans="1:3" ht="30">
      <c r="A101" s="49" t="s">
        <v>134</v>
      </c>
      <c r="B101" s="27" t="s">
        <v>244</v>
      </c>
      <c r="C101" s="28">
        <f>[6]С4!F21</f>
        <v>1933.1949342509995</v>
      </c>
    </row>
    <row r="102" spans="1:3" ht="24" customHeight="1">
      <c r="A102" s="49" t="s">
        <v>135</v>
      </c>
      <c r="B102" s="43" t="s">
        <v>136</v>
      </c>
      <c r="C102" s="75">
        <f>IF([6]С4.2!F8="да",[6]С4.2!D21,[6]С4.2!D15)</f>
        <v>0</v>
      </c>
    </row>
    <row r="103" spans="1:3" ht="68.25">
      <c r="A103" s="49" t="s">
        <v>137</v>
      </c>
      <c r="B103" s="43" t="s">
        <v>138</v>
      </c>
      <c r="C103" s="28">
        <f>[6]С4!F22</f>
        <v>3.6112641666666665</v>
      </c>
    </row>
    <row r="104" spans="1:3" ht="30">
      <c r="A104" s="49" t="s">
        <v>139</v>
      </c>
      <c r="B104" s="48" t="s">
        <v>245</v>
      </c>
      <c r="C104" s="28">
        <f>[6]С4!F23</f>
        <v>180</v>
      </c>
    </row>
    <row r="105" spans="1:3" ht="14.25">
      <c r="A105" s="49" t="s">
        <v>140</v>
      </c>
      <c r="B105" s="43" t="s">
        <v>141</v>
      </c>
      <c r="C105" s="28">
        <f>[6]С4!F24</f>
        <v>8497.1999999999989</v>
      </c>
    </row>
    <row r="106" spans="1:3" ht="14.25">
      <c r="A106" s="49" t="s">
        <v>142</v>
      </c>
      <c r="B106" s="48" t="s">
        <v>143</v>
      </c>
      <c r="C106" s="33">
        <f>[6]С4!F25</f>
        <v>0.35</v>
      </c>
    </row>
    <row r="107" spans="1:3" ht="17.25">
      <c r="A107" s="49" t="s">
        <v>144</v>
      </c>
      <c r="B107" s="27" t="s">
        <v>145</v>
      </c>
      <c r="C107" s="28">
        <f>[6]С4!F26</f>
        <v>88.644269999999992</v>
      </c>
    </row>
    <row r="108" spans="1:3" ht="25.5">
      <c r="A108" s="49" t="s">
        <v>146</v>
      </c>
      <c r="B108" s="43" t="s">
        <v>78</v>
      </c>
      <c r="C108" s="75">
        <f>[6]С4.3!E16</f>
        <v>0</v>
      </c>
    </row>
    <row r="109" spans="1:3" ht="25.5">
      <c r="A109" s="49" t="s">
        <v>147</v>
      </c>
      <c r="B109" s="43" t="s">
        <v>148</v>
      </c>
      <c r="C109" s="28">
        <f>[6]С4.3!E17</f>
        <v>23.49</v>
      </c>
    </row>
    <row r="110" spans="1:3" ht="38.25">
      <c r="A110" s="49" t="s">
        <v>149</v>
      </c>
      <c r="B110" s="43" t="s">
        <v>90</v>
      </c>
      <c r="C110" s="75">
        <f>[6]С4.3!E18</f>
        <v>0</v>
      </c>
    </row>
    <row r="111" spans="1:3">
      <c r="A111" s="49" t="s">
        <v>150</v>
      </c>
      <c r="B111" s="43" t="s">
        <v>151</v>
      </c>
      <c r="C111" s="28">
        <f>[6]С4.3!E19</f>
        <v>30.71</v>
      </c>
    </row>
    <row r="112" spans="1:3">
      <c r="A112" s="49" t="s">
        <v>152</v>
      </c>
      <c r="B112" s="48" t="s">
        <v>153</v>
      </c>
      <c r="C112" s="28">
        <f>[6]С4.3!E11</f>
        <v>1871</v>
      </c>
    </row>
    <row r="113" spans="1:3">
      <c r="A113" s="49" t="s">
        <v>154</v>
      </c>
      <c r="B113" s="48" t="s">
        <v>155</v>
      </c>
      <c r="C113" s="42">
        <f>[6]С4.3!E12</f>
        <v>1636</v>
      </c>
    </row>
    <row r="114" spans="1:3">
      <c r="A114" s="49" t="s">
        <v>156</v>
      </c>
      <c r="B114" s="48" t="s">
        <v>157</v>
      </c>
      <c r="C114" s="42">
        <f>[6]С4.3!E13</f>
        <v>204</v>
      </c>
    </row>
    <row r="115" spans="1:3" ht="30">
      <c r="A115" s="49" t="s">
        <v>158</v>
      </c>
      <c r="B115" s="27" t="s">
        <v>246</v>
      </c>
      <c r="C115" s="28">
        <f>[6]С4!F27</f>
        <v>998.55949805489831</v>
      </c>
    </row>
    <row r="116" spans="1:3" ht="25.5">
      <c r="A116" s="49" t="s">
        <v>159</v>
      </c>
      <c r="B116" s="43" t="s">
        <v>247</v>
      </c>
      <c r="C116" s="28">
        <f>[6]С4!F28</f>
        <v>766.94277884400788</v>
      </c>
    </row>
    <row r="117" spans="1:3" ht="42.75">
      <c r="A117" s="49" t="s">
        <v>160</v>
      </c>
      <c r="B117" s="43" t="s">
        <v>161</v>
      </c>
      <c r="C117" s="28">
        <f>[6]С4!F29</f>
        <v>231.61671921089041</v>
      </c>
    </row>
    <row r="118" spans="1:3" ht="30">
      <c r="A118" s="49" t="s">
        <v>162</v>
      </c>
      <c r="B118" s="32" t="s">
        <v>163</v>
      </c>
      <c r="C118" s="28">
        <f>[6]С4!F30</f>
        <v>2103.9751951672374</v>
      </c>
    </row>
    <row r="119" spans="1:3" ht="42.75">
      <c r="A119" s="49" t="s">
        <v>248</v>
      </c>
      <c r="B119" s="76" t="s">
        <v>249</v>
      </c>
      <c r="C119" s="28">
        <f>[6]С4!F33</f>
        <v>1390.6981309387224</v>
      </c>
    </row>
    <row r="120" spans="1:3" ht="30">
      <c r="A120" s="49" t="s">
        <v>250</v>
      </c>
      <c r="B120" s="122" t="s">
        <v>251</v>
      </c>
      <c r="C120" s="28">
        <f>[6]С4!F35</f>
        <v>17.040680999999999</v>
      </c>
    </row>
    <row r="121" spans="1:3" ht="14.25">
      <c r="A121" s="49" t="s">
        <v>252</v>
      </c>
      <c r="B121" s="46" t="s">
        <v>253</v>
      </c>
      <c r="C121" s="28">
        <f>[6]С4!F36</f>
        <v>14319.9</v>
      </c>
    </row>
    <row r="122" spans="1:3" ht="28.5" thickBot="1">
      <c r="A122" s="62" t="s">
        <v>254</v>
      </c>
      <c r="B122" s="123" t="s">
        <v>255</v>
      </c>
      <c r="C122" s="73">
        <f>[6]С4!F37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[6]С5!F17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[6]С2!F37</f>
        <v>20.818139999999996</v>
      </c>
    </row>
    <row r="136" spans="1:4" ht="14.25">
      <c r="A136" s="49" t="s">
        <v>183</v>
      </c>
      <c r="B136" s="129" t="s">
        <v>184</v>
      </c>
      <c r="C136" s="28">
        <f>[6]С2!F38</f>
        <v>7</v>
      </c>
    </row>
    <row r="137" spans="1:4" ht="17.25">
      <c r="A137" s="49" t="s">
        <v>185</v>
      </c>
      <c r="B137" s="129" t="s">
        <v>186</v>
      </c>
      <c r="C137" s="28">
        <f>[6]С2!F40</f>
        <v>0.97</v>
      </c>
    </row>
    <row r="138" spans="1:4" ht="15" thickBot="1">
      <c r="A138" s="62" t="s">
        <v>187</v>
      </c>
      <c r="B138" s="130" t="s">
        <v>188</v>
      </c>
      <c r="C138" s="38">
        <f>[6]С2!F42</f>
        <v>0.35</v>
      </c>
    </row>
    <row r="139" spans="1:4" s="77" customFormat="1" ht="13.5" thickBot="1">
      <c r="A139" s="39"/>
      <c r="B139" s="65"/>
      <c r="C139" s="13"/>
    </row>
    <row r="140" spans="1:4" ht="30">
      <c r="A140" s="74" t="s">
        <v>189</v>
      </c>
      <c r="B140" s="84" t="s">
        <v>258</v>
      </c>
      <c r="C140" s="131">
        <f>[6]С2!F35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[6]С2.5!$E$11</f>
        <v>-2.9000000000000026E-2</v>
      </c>
      <c r="D143" s="77"/>
    </row>
    <row r="144" spans="1:4">
      <c r="A144" s="85"/>
      <c r="B144" s="86">
        <f>B143+1</f>
        <v>2021</v>
      </c>
      <c r="C144" s="136">
        <f>[6]С2.5!$F$11</f>
        <v>0.245</v>
      </c>
      <c r="D144" s="77"/>
    </row>
    <row r="145" spans="1:4">
      <c r="A145" s="85"/>
      <c r="B145" s="86">
        <f t="shared" ref="B145:B208" si="0">B144+1</f>
        <v>2022</v>
      </c>
      <c r="C145" s="136">
        <f>[6]С2.5!$G$11</f>
        <v>0.121</v>
      </c>
      <c r="D145" s="77"/>
    </row>
    <row r="146" spans="1:4" ht="13.5" thickBot="1">
      <c r="A146" s="85"/>
      <c r="B146" s="87">
        <f t="shared" si="0"/>
        <v>2023</v>
      </c>
      <c r="C146" s="137">
        <f>[6]С2.5!$H$11</f>
        <v>0.02</v>
      </c>
      <c r="D146" s="77"/>
    </row>
    <row r="147" spans="1:4" hidden="1">
      <c r="A147" s="85"/>
      <c r="B147" s="138">
        <f t="shared" si="0"/>
        <v>2024</v>
      </c>
      <c r="C147" s="139">
        <f>[6]С2.5!$I$11</f>
        <v>-2.93E-2</v>
      </c>
      <c r="D147" s="77"/>
    </row>
    <row r="148" spans="1:4" hidden="1">
      <c r="A148" s="85"/>
      <c r="B148" s="86">
        <f t="shared" si="0"/>
        <v>2025</v>
      </c>
      <c r="C148" s="136">
        <f>[6]С2.5!$J$11</f>
        <v>0.21215960863291</v>
      </c>
      <c r="D148" s="77"/>
    </row>
    <row r="149" spans="1:4" hidden="1">
      <c r="A149" s="85"/>
      <c r="B149" s="86">
        <f t="shared" si="0"/>
        <v>2026</v>
      </c>
      <c r="C149" s="136">
        <f>[6]С2.5!$K$11</f>
        <v>3.5813361771260002E-2</v>
      </c>
      <c r="D149" s="77"/>
    </row>
    <row r="150" spans="1:4" hidden="1">
      <c r="A150" s="85"/>
      <c r="B150" s="86">
        <f t="shared" si="0"/>
        <v>2027</v>
      </c>
      <c r="C150" s="136">
        <f>[6]С2.5!$L$11</f>
        <v>3.2682303599220003E-2</v>
      </c>
      <c r="D150" s="77"/>
    </row>
    <row r="151" spans="1:4" hidden="1">
      <c r="A151" s="85"/>
      <c r="B151" s="86">
        <f t="shared" si="0"/>
        <v>2028</v>
      </c>
      <c r="C151" s="136">
        <f>[6]С2.5!$M$11</f>
        <v>0</v>
      </c>
      <c r="D151" s="77"/>
    </row>
    <row r="152" spans="1:4" hidden="1">
      <c r="A152" s="85"/>
      <c r="B152" s="86">
        <f t="shared" si="0"/>
        <v>2029</v>
      </c>
      <c r="C152" s="136">
        <f>[6]С2.5!$N$11</f>
        <v>0</v>
      </c>
      <c r="D152" s="77"/>
    </row>
    <row r="153" spans="1:4" hidden="1">
      <c r="A153" s="85"/>
      <c r="B153" s="86">
        <f t="shared" si="0"/>
        <v>2030</v>
      </c>
      <c r="C153" s="136">
        <f>[6]С2.5!$O$11</f>
        <v>0</v>
      </c>
      <c r="D153" s="77"/>
    </row>
    <row r="154" spans="1:4" hidden="1">
      <c r="A154" s="85"/>
      <c r="B154" s="86">
        <f t="shared" si="0"/>
        <v>2031</v>
      </c>
      <c r="C154" s="136">
        <f>[6]С2.5!$P$11</f>
        <v>0</v>
      </c>
      <c r="D154" s="77"/>
    </row>
    <row r="155" spans="1:4" hidden="1">
      <c r="A155" s="77"/>
      <c r="B155" s="86">
        <f t="shared" si="0"/>
        <v>2032</v>
      </c>
      <c r="C155" s="136">
        <f>[6]С2.5!$Q$11</f>
        <v>0</v>
      </c>
      <c r="D155" s="77"/>
    </row>
    <row r="156" spans="1:4" hidden="1">
      <c r="A156" s="77"/>
      <c r="B156" s="86">
        <f t="shared" si="0"/>
        <v>2033</v>
      </c>
      <c r="C156" s="136">
        <f>[6]С2.5!$R$11</f>
        <v>0</v>
      </c>
      <c r="D156" s="77"/>
    </row>
    <row r="157" spans="1:4" hidden="1">
      <c r="B157" s="86">
        <f t="shared" si="0"/>
        <v>2034</v>
      </c>
      <c r="C157" s="136">
        <f>[6]С2.5!$S$11</f>
        <v>0</v>
      </c>
    </row>
    <row r="158" spans="1:4" hidden="1">
      <c r="B158" s="86">
        <f t="shared" si="0"/>
        <v>2035</v>
      </c>
      <c r="C158" s="136">
        <f>[6]С2.5!$T$11</f>
        <v>0</v>
      </c>
    </row>
    <row r="159" spans="1:4" hidden="1">
      <c r="B159" s="86">
        <f t="shared" si="0"/>
        <v>2036</v>
      </c>
      <c r="C159" s="136">
        <f>[6]С2.5!$U$11</f>
        <v>0</v>
      </c>
    </row>
    <row r="160" spans="1:4" hidden="1">
      <c r="B160" s="86">
        <f t="shared" si="0"/>
        <v>2037</v>
      </c>
      <c r="C160" s="136">
        <f>[6]С2.5!$V$11</f>
        <v>0</v>
      </c>
    </row>
    <row r="161" spans="2:3" hidden="1">
      <c r="B161" s="86">
        <f t="shared" si="0"/>
        <v>2038</v>
      </c>
      <c r="C161" s="136">
        <f>[6]С2.5!$W$11</f>
        <v>0</v>
      </c>
    </row>
    <row r="162" spans="2:3" hidden="1">
      <c r="B162" s="86">
        <f t="shared" si="0"/>
        <v>2039</v>
      </c>
      <c r="C162" s="136">
        <f>[6]С2.5!$X$11</f>
        <v>0</v>
      </c>
    </row>
    <row r="163" spans="2:3" hidden="1">
      <c r="B163" s="86">
        <f t="shared" si="0"/>
        <v>2040</v>
      </c>
      <c r="C163" s="136">
        <f>[6]С2.5!$Y$11</f>
        <v>0</v>
      </c>
    </row>
    <row r="164" spans="2:3" hidden="1">
      <c r="B164" s="86">
        <f t="shared" si="0"/>
        <v>2041</v>
      </c>
      <c r="C164" s="136">
        <f>[6]С2.5!$Z$11</f>
        <v>0</v>
      </c>
    </row>
    <row r="165" spans="2:3" hidden="1">
      <c r="B165" s="86">
        <f t="shared" si="0"/>
        <v>2042</v>
      </c>
      <c r="C165" s="136">
        <f>[6]С2.5!$AA$11</f>
        <v>0</v>
      </c>
    </row>
    <row r="166" spans="2:3" hidden="1">
      <c r="B166" s="86">
        <f t="shared" si="0"/>
        <v>2043</v>
      </c>
      <c r="C166" s="136">
        <f>[6]С2.5!$AB$11</f>
        <v>0</v>
      </c>
    </row>
    <row r="167" spans="2:3" hidden="1">
      <c r="B167" s="86">
        <f t="shared" si="0"/>
        <v>2044</v>
      </c>
      <c r="C167" s="136">
        <f>[6]С2.5!$AC$11</f>
        <v>0</v>
      </c>
    </row>
    <row r="168" spans="2:3" hidden="1">
      <c r="B168" s="86">
        <f t="shared" si="0"/>
        <v>2045</v>
      </c>
      <c r="C168" s="136">
        <f>[6]С2.5!$AD$11</f>
        <v>0</v>
      </c>
    </row>
    <row r="169" spans="2:3" hidden="1">
      <c r="B169" s="86">
        <f t="shared" si="0"/>
        <v>2046</v>
      </c>
      <c r="C169" s="136">
        <f>[6]С2.5!$AE$11</f>
        <v>0</v>
      </c>
    </row>
    <row r="170" spans="2:3" hidden="1">
      <c r="B170" s="86">
        <f t="shared" si="0"/>
        <v>2047</v>
      </c>
      <c r="C170" s="136">
        <f>[6]С2.5!$AF$11</f>
        <v>0</v>
      </c>
    </row>
    <row r="171" spans="2:3" hidden="1">
      <c r="B171" s="86">
        <f t="shared" si="0"/>
        <v>2048</v>
      </c>
      <c r="C171" s="136">
        <f>[6]С2.5!$AG$11</f>
        <v>0</v>
      </c>
    </row>
    <row r="172" spans="2:3" hidden="1">
      <c r="B172" s="86">
        <f t="shared" si="0"/>
        <v>2049</v>
      </c>
      <c r="C172" s="136">
        <f>[6]С2.5!$AH$11</f>
        <v>0</v>
      </c>
    </row>
    <row r="173" spans="2:3" hidden="1">
      <c r="B173" s="86">
        <f t="shared" si="0"/>
        <v>2050</v>
      </c>
      <c r="C173" s="136">
        <f>[6]С2.5!$AI$11</f>
        <v>0</v>
      </c>
    </row>
    <row r="174" spans="2:3" hidden="1">
      <c r="B174" s="86">
        <f t="shared" si="0"/>
        <v>2051</v>
      </c>
      <c r="C174" s="136">
        <f>[6]С2.5!$AJ$11</f>
        <v>0</v>
      </c>
    </row>
    <row r="175" spans="2:3" hidden="1">
      <c r="B175" s="86">
        <f t="shared" si="0"/>
        <v>2052</v>
      </c>
      <c r="C175" s="136">
        <f>[6]С2.5!$AK$11</f>
        <v>0</v>
      </c>
    </row>
    <row r="176" spans="2:3" hidden="1">
      <c r="B176" s="86">
        <f t="shared" si="0"/>
        <v>2053</v>
      </c>
      <c r="C176" s="136">
        <f>[6]С2.5!$AL$11</f>
        <v>0</v>
      </c>
    </row>
    <row r="177" spans="2:3" hidden="1">
      <c r="B177" s="86">
        <f t="shared" si="0"/>
        <v>2054</v>
      </c>
      <c r="C177" s="136">
        <f>[6]С2.5!$AM$11</f>
        <v>0</v>
      </c>
    </row>
    <row r="178" spans="2:3" hidden="1">
      <c r="B178" s="86">
        <f t="shared" si="0"/>
        <v>2055</v>
      </c>
      <c r="C178" s="136">
        <f>[6]С2.5!$AN$11</f>
        <v>0</v>
      </c>
    </row>
    <row r="179" spans="2:3" hidden="1">
      <c r="B179" s="86">
        <f t="shared" si="0"/>
        <v>2056</v>
      </c>
      <c r="C179" s="136">
        <f>[6]С2.5!$AO$11</f>
        <v>0</v>
      </c>
    </row>
    <row r="180" spans="2:3" hidden="1">
      <c r="B180" s="86">
        <f t="shared" si="0"/>
        <v>2057</v>
      </c>
      <c r="C180" s="136">
        <f>[6]С2.5!$AP$11</f>
        <v>0</v>
      </c>
    </row>
    <row r="181" spans="2:3" hidden="1">
      <c r="B181" s="86">
        <f t="shared" si="0"/>
        <v>2058</v>
      </c>
      <c r="C181" s="136">
        <f>[6]С2.5!$AQ$11</f>
        <v>0</v>
      </c>
    </row>
    <row r="182" spans="2:3" hidden="1">
      <c r="B182" s="86">
        <f t="shared" si="0"/>
        <v>2059</v>
      </c>
      <c r="C182" s="136">
        <f>[6]С2.5!$AR$11</f>
        <v>0</v>
      </c>
    </row>
    <row r="183" spans="2:3" hidden="1">
      <c r="B183" s="86">
        <f t="shared" si="0"/>
        <v>2060</v>
      </c>
      <c r="C183" s="136">
        <f>[6]С2.5!$AS$11</f>
        <v>0</v>
      </c>
    </row>
    <row r="184" spans="2:3" hidden="1">
      <c r="B184" s="86">
        <f t="shared" si="0"/>
        <v>2061</v>
      </c>
      <c r="C184" s="136">
        <f>[6]С2.5!$AT$11</f>
        <v>0</v>
      </c>
    </row>
    <row r="185" spans="2:3" hidden="1">
      <c r="B185" s="86">
        <f t="shared" si="0"/>
        <v>2062</v>
      </c>
      <c r="C185" s="136">
        <f>[6]С2.5!$AU$11</f>
        <v>0</v>
      </c>
    </row>
    <row r="186" spans="2:3" hidden="1">
      <c r="B186" s="86">
        <f t="shared" si="0"/>
        <v>2063</v>
      </c>
      <c r="C186" s="136">
        <f>[6]С2.5!$AV$11</f>
        <v>0</v>
      </c>
    </row>
    <row r="187" spans="2:3" hidden="1">
      <c r="B187" s="86">
        <f t="shared" si="0"/>
        <v>2064</v>
      </c>
      <c r="C187" s="136">
        <f>[6]С2.5!$AW$11</f>
        <v>0</v>
      </c>
    </row>
    <row r="188" spans="2:3" hidden="1">
      <c r="B188" s="86">
        <f t="shared" si="0"/>
        <v>2065</v>
      </c>
      <c r="C188" s="136">
        <f>[6]С2.5!$AX$11</f>
        <v>0</v>
      </c>
    </row>
    <row r="189" spans="2:3" hidden="1">
      <c r="B189" s="86">
        <f t="shared" si="0"/>
        <v>2066</v>
      </c>
      <c r="C189" s="136">
        <f>[6]С2.5!$AY$11</f>
        <v>0</v>
      </c>
    </row>
    <row r="190" spans="2:3" hidden="1">
      <c r="B190" s="86">
        <f t="shared" si="0"/>
        <v>2067</v>
      </c>
      <c r="C190" s="136">
        <f>[6]С2.5!$AZ$11</f>
        <v>0</v>
      </c>
    </row>
    <row r="191" spans="2:3" hidden="1">
      <c r="B191" s="86">
        <f t="shared" si="0"/>
        <v>2068</v>
      </c>
      <c r="C191" s="136">
        <f>[6]С2.5!$BA$11</f>
        <v>0</v>
      </c>
    </row>
    <row r="192" spans="2:3" hidden="1">
      <c r="B192" s="86">
        <f t="shared" si="0"/>
        <v>2069</v>
      </c>
      <c r="C192" s="136">
        <f>[6]С2.5!$BB$11</f>
        <v>0</v>
      </c>
    </row>
    <row r="193" spans="2:3" hidden="1">
      <c r="B193" s="86">
        <f t="shared" si="0"/>
        <v>2070</v>
      </c>
      <c r="C193" s="136">
        <f>[6]С2.5!$BC$11</f>
        <v>0</v>
      </c>
    </row>
    <row r="194" spans="2:3" hidden="1">
      <c r="B194" s="86">
        <f t="shared" si="0"/>
        <v>2071</v>
      </c>
      <c r="C194" s="136">
        <f>[6]С2.5!$BD$11</f>
        <v>0</v>
      </c>
    </row>
    <row r="195" spans="2:3" hidden="1">
      <c r="B195" s="86">
        <f t="shared" si="0"/>
        <v>2072</v>
      </c>
      <c r="C195" s="136">
        <f>[6]С2.5!$BE$11</f>
        <v>0</v>
      </c>
    </row>
    <row r="196" spans="2:3" hidden="1">
      <c r="B196" s="86">
        <f t="shared" si="0"/>
        <v>2073</v>
      </c>
      <c r="C196" s="136">
        <f>[6]С2.5!$BF$11</f>
        <v>0</v>
      </c>
    </row>
    <row r="197" spans="2:3" hidden="1">
      <c r="B197" s="86">
        <f t="shared" si="0"/>
        <v>2074</v>
      </c>
      <c r="C197" s="136">
        <f>[6]С2.5!$BG$11</f>
        <v>0</v>
      </c>
    </row>
    <row r="198" spans="2:3" hidden="1">
      <c r="B198" s="86">
        <f t="shared" si="0"/>
        <v>2075</v>
      </c>
      <c r="C198" s="136">
        <f>[6]С2.5!$BH$11</f>
        <v>0</v>
      </c>
    </row>
    <row r="199" spans="2:3" hidden="1">
      <c r="B199" s="86">
        <f t="shared" si="0"/>
        <v>2076</v>
      </c>
      <c r="C199" s="136">
        <f>[6]С2.5!$BI$11</f>
        <v>0</v>
      </c>
    </row>
    <row r="200" spans="2:3" hidden="1">
      <c r="B200" s="86">
        <f t="shared" si="0"/>
        <v>2077</v>
      </c>
      <c r="C200" s="136">
        <f>[6]С2.5!$BJ$11</f>
        <v>0</v>
      </c>
    </row>
    <row r="201" spans="2:3" hidden="1">
      <c r="B201" s="86">
        <f t="shared" si="0"/>
        <v>2078</v>
      </c>
      <c r="C201" s="136">
        <f>[6]С2.5!$BK$11</f>
        <v>0</v>
      </c>
    </row>
    <row r="202" spans="2:3" hidden="1">
      <c r="B202" s="86">
        <f t="shared" si="0"/>
        <v>2079</v>
      </c>
      <c r="C202" s="136">
        <f>[6]С2.5!$BL$11</f>
        <v>0</v>
      </c>
    </row>
    <row r="203" spans="2:3" hidden="1">
      <c r="B203" s="86">
        <f t="shared" si="0"/>
        <v>2080</v>
      </c>
      <c r="C203" s="136">
        <f>[6]С2.5!$BM$11</f>
        <v>0</v>
      </c>
    </row>
    <row r="204" spans="2:3" hidden="1">
      <c r="B204" s="86">
        <f t="shared" si="0"/>
        <v>2081</v>
      </c>
      <c r="C204" s="136">
        <f>[6]С2.5!$BN$11</f>
        <v>0</v>
      </c>
    </row>
    <row r="205" spans="2:3" hidden="1">
      <c r="B205" s="86">
        <f t="shared" si="0"/>
        <v>2082</v>
      </c>
      <c r="C205" s="136">
        <f>[6]С2.5!$BO$11</f>
        <v>0</v>
      </c>
    </row>
    <row r="206" spans="2:3" hidden="1">
      <c r="B206" s="86">
        <f t="shared" si="0"/>
        <v>2083</v>
      </c>
      <c r="C206" s="136">
        <f>[6]С2.5!$BP$11</f>
        <v>0</v>
      </c>
    </row>
    <row r="207" spans="2:3" hidden="1">
      <c r="B207" s="86">
        <f t="shared" si="0"/>
        <v>2084</v>
      </c>
      <c r="C207" s="136">
        <f>[6]С2.5!$BQ$11</f>
        <v>0</v>
      </c>
    </row>
    <row r="208" spans="2:3" hidden="1">
      <c r="B208" s="86">
        <f t="shared" si="0"/>
        <v>2085</v>
      </c>
      <c r="C208" s="136">
        <f>[6]С2.5!$BR$11</f>
        <v>0</v>
      </c>
    </row>
    <row r="209" spans="2:3" hidden="1">
      <c r="B209" s="86">
        <f t="shared" ref="B209:B223" si="1">B208+1</f>
        <v>2086</v>
      </c>
      <c r="C209" s="136">
        <f>[6]С2.5!$BS$11</f>
        <v>0</v>
      </c>
    </row>
    <row r="210" spans="2:3" hidden="1">
      <c r="B210" s="86">
        <f t="shared" si="1"/>
        <v>2087</v>
      </c>
      <c r="C210" s="136">
        <f>[6]С2.5!$BT$11</f>
        <v>0</v>
      </c>
    </row>
    <row r="211" spans="2:3" hidden="1">
      <c r="B211" s="86">
        <f t="shared" si="1"/>
        <v>2088</v>
      </c>
      <c r="C211" s="136">
        <f>[6]С2.5!$BU$11</f>
        <v>0</v>
      </c>
    </row>
    <row r="212" spans="2:3" hidden="1">
      <c r="B212" s="86">
        <f t="shared" si="1"/>
        <v>2089</v>
      </c>
      <c r="C212" s="136">
        <f>[6]С2.5!$BV$11</f>
        <v>0</v>
      </c>
    </row>
    <row r="213" spans="2:3" hidden="1">
      <c r="B213" s="86">
        <f t="shared" si="1"/>
        <v>2090</v>
      </c>
      <c r="C213" s="136">
        <f>[6]С2.5!$BW$11</f>
        <v>0</v>
      </c>
    </row>
    <row r="214" spans="2:3" hidden="1">
      <c r="B214" s="86">
        <f t="shared" si="1"/>
        <v>2091</v>
      </c>
      <c r="C214" s="136">
        <f>[6]С2.5!$BX$11</f>
        <v>0</v>
      </c>
    </row>
    <row r="215" spans="2:3" hidden="1">
      <c r="B215" s="86">
        <f t="shared" si="1"/>
        <v>2092</v>
      </c>
      <c r="C215" s="136">
        <f>[6]С2.5!$BY$11</f>
        <v>0</v>
      </c>
    </row>
    <row r="216" spans="2:3" hidden="1">
      <c r="B216" s="86">
        <f t="shared" si="1"/>
        <v>2093</v>
      </c>
      <c r="C216" s="136">
        <f>[6]С2.5!$BZ$11</f>
        <v>0</v>
      </c>
    </row>
    <row r="217" spans="2:3" hidden="1">
      <c r="B217" s="86">
        <f t="shared" si="1"/>
        <v>2094</v>
      </c>
      <c r="C217" s="136">
        <f>[6]С2.5!$CA$11</f>
        <v>0</v>
      </c>
    </row>
    <row r="218" spans="2:3" hidden="1">
      <c r="B218" s="86">
        <f t="shared" si="1"/>
        <v>2095</v>
      </c>
      <c r="C218" s="136">
        <f>[6]С2.5!$CB$11</f>
        <v>0</v>
      </c>
    </row>
    <row r="219" spans="2:3" hidden="1">
      <c r="B219" s="86">
        <f t="shared" si="1"/>
        <v>2096</v>
      </c>
      <c r="C219" s="136">
        <f>[6]С2.5!$CC$11</f>
        <v>0</v>
      </c>
    </row>
    <row r="220" spans="2:3" hidden="1">
      <c r="B220" s="86">
        <f t="shared" si="1"/>
        <v>2097</v>
      </c>
      <c r="C220" s="136">
        <f>[6]С2.5!$CD$11</f>
        <v>0</v>
      </c>
    </row>
    <row r="221" spans="2:3" hidden="1">
      <c r="B221" s="86">
        <f t="shared" si="1"/>
        <v>2098</v>
      </c>
      <c r="C221" s="136">
        <f>[6]С2.5!$CE$11</f>
        <v>0</v>
      </c>
    </row>
    <row r="222" spans="2:3" hidden="1">
      <c r="B222" s="86">
        <f t="shared" si="1"/>
        <v>2099</v>
      </c>
      <c r="C222" s="136">
        <f>[6]С2.5!$CF$11</f>
        <v>0</v>
      </c>
    </row>
    <row r="223" spans="2:3" ht="13.5" hidden="1" thickBot="1">
      <c r="B223" s="87">
        <f t="shared" si="1"/>
        <v>2100</v>
      </c>
      <c r="C223" s="137">
        <f>[6]С2.5!$CG$11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2769"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1" sqref="E21"/>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[7]И1!D13</f>
        <v>Субъект Российской Федерации</v>
      </c>
      <c r="C4" s="8" t="str">
        <f>[7]И1!E13</f>
        <v>Новосибирская область</v>
      </c>
    </row>
    <row r="5" spans="1:3" ht="38.25">
      <c r="A5" s="6"/>
      <c r="B5" s="7" t="str">
        <f>[7]И1!D14</f>
        <v>Тип муниципального образования (выберите из списка)</v>
      </c>
      <c r="C5" s="8" t="str">
        <f>[7]И1!E14</f>
        <v>село Красноселье, Чановский муниципальный район</v>
      </c>
    </row>
    <row r="6" spans="1:3">
      <c r="A6" s="6"/>
      <c r="B6" s="7" t="str">
        <f>IF([7]И1!E15="","",[7]И1!D15)</f>
        <v/>
      </c>
      <c r="C6" s="8" t="str">
        <f>IF([7]И1!E15="","",[7]И1!E15)</f>
        <v/>
      </c>
    </row>
    <row r="7" spans="1:3">
      <c r="A7" s="6"/>
      <c r="B7" s="7" t="str">
        <f>[7]И1!D16</f>
        <v>Код ОКТМО</v>
      </c>
      <c r="C7" s="9" t="str">
        <f>[7]И1!E16</f>
        <v>50656407101</v>
      </c>
    </row>
    <row r="8" spans="1:3">
      <c r="A8" s="6"/>
      <c r="B8" s="10" t="str">
        <f>[7]И1!D17</f>
        <v>Система теплоснабжения</v>
      </c>
      <c r="C8" s="11">
        <f>[7]И1!E17</f>
        <v>0</v>
      </c>
    </row>
    <row r="9" spans="1:3">
      <c r="A9" s="6"/>
      <c r="B9" s="7" t="str">
        <f>[7]И1!D8</f>
        <v>Период регулирования (i)-й</v>
      </c>
      <c r="C9" s="12">
        <f>[7]И1!E8</f>
        <v>2023</v>
      </c>
    </row>
    <row r="10" spans="1:3">
      <c r="A10" s="6"/>
      <c r="B10" s="7" t="str">
        <f>[7]И1!D9</f>
        <v>Период регулирования (i-1)-й</v>
      </c>
      <c r="C10" s="12">
        <f>[7]И1!E9</f>
        <v>2022</v>
      </c>
    </row>
    <row r="11" spans="1:3">
      <c r="A11" s="6"/>
      <c r="B11" s="7" t="str">
        <f>[7]И1!D10</f>
        <v>Период регулирования (i-2)-й</v>
      </c>
      <c r="C11" s="12">
        <f>[7]И1!E10</f>
        <v>2021</v>
      </c>
    </row>
    <row r="12" spans="1:3">
      <c r="A12" s="6"/>
      <c r="B12" s="7" t="str">
        <f>[7]И1!D11</f>
        <v>Базовый год (б)</v>
      </c>
      <c r="C12" s="12">
        <f>[7]И1!E11</f>
        <v>2019</v>
      </c>
    </row>
    <row r="13" spans="1:3" ht="38.25">
      <c r="A13" s="6"/>
      <c r="B13" s="7" t="str">
        <f>[7]И1!D18</f>
        <v>Вид топлива, использование которого преобладает в системе теплоснабжения</v>
      </c>
      <c r="C13" s="13" t="str">
        <f>[7]С1.1!E13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4109.8909566387874</v>
      </c>
    </row>
    <row r="18" spans="1:3" ht="42.75">
      <c r="A18" s="16" t="s">
        <v>7</v>
      </c>
      <c r="B18" s="19" t="s">
        <v>8</v>
      </c>
      <c r="C18" s="20">
        <f>[7]С1!F12</f>
        <v>1006.0126910079939</v>
      </c>
    </row>
    <row r="19" spans="1:3" ht="42.75">
      <c r="A19" s="16" t="s">
        <v>9</v>
      </c>
      <c r="B19" s="19" t="s">
        <v>10</v>
      </c>
      <c r="C19" s="20">
        <f>[7]С2!F12</f>
        <v>2104.1852054273977</v>
      </c>
    </row>
    <row r="20" spans="1:3" ht="30">
      <c r="A20" s="16" t="s">
        <v>11</v>
      </c>
      <c r="B20" s="19" t="s">
        <v>12</v>
      </c>
      <c r="C20" s="20">
        <f>[7]С3!F12</f>
        <v>503.33593794803642</v>
      </c>
    </row>
    <row r="21" spans="1:3" ht="42.75">
      <c r="A21" s="16" t="s">
        <v>13</v>
      </c>
      <c r="B21" s="19" t="s">
        <v>226</v>
      </c>
      <c r="C21" s="20">
        <f>[7]С4!F12</f>
        <v>415.77102506636311</v>
      </c>
    </row>
    <row r="22" spans="1:3" ht="30">
      <c r="A22" s="16" t="s">
        <v>14</v>
      </c>
      <c r="B22" s="19" t="s">
        <v>227</v>
      </c>
      <c r="C22" s="20">
        <f>[7]С5!F12</f>
        <v>80.586097188995822</v>
      </c>
    </row>
    <row r="23" spans="1:3" ht="43.5" thickBot="1">
      <c r="A23" s="21" t="s">
        <v>15</v>
      </c>
      <c r="B23" s="111" t="s">
        <v>228</v>
      </c>
      <c r="C23" s="22" t="str">
        <f>[7]С6!F12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[7]С1.1!E16</f>
        <v>5100</v>
      </c>
    </row>
    <row r="29" spans="1:3" ht="42.75">
      <c r="A29" s="16" t="s">
        <v>9</v>
      </c>
      <c r="B29" s="27" t="s">
        <v>230</v>
      </c>
      <c r="C29" s="28">
        <f>[7]С1.1!E27</f>
        <v>2705</v>
      </c>
    </row>
    <row r="30" spans="1:3" ht="17.25">
      <c r="A30" s="16" t="s">
        <v>11</v>
      </c>
      <c r="B30" s="27" t="s">
        <v>17</v>
      </c>
      <c r="C30" s="29">
        <f>[7]С1.1!E19</f>
        <v>0.59499999999999997</v>
      </c>
    </row>
    <row r="31" spans="1:3" ht="17.25">
      <c r="A31" s="16" t="s">
        <v>13</v>
      </c>
      <c r="B31" s="27" t="s">
        <v>18</v>
      </c>
      <c r="C31" s="29">
        <f>[7]С1.1!E20</f>
        <v>-0.113</v>
      </c>
    </row>
    <row r="32" spans="1:3" ht="30">
      <c r="A32" s="16" t="s">
        <v>14</v>
      </c>
      <c r="B32" s="30" t="s">
        <v>231</v>
      </c>
      <c r="C32" s="118">
        <f>[7]С1!F13</f>
        <v>176.4</v>
      </c>
    </row>
    <row r="33" spans="1:3">
      <c r="A33" s="16" t="s">
        <v>15</v>
      </c>
      <c r="B33" s="30" t="s">
        <v>19</v>
      </c>
      <c r="C33" s="31">
        <f>[7]С1!F16</f>
        <v>7000</v>
      </c>
    </row>
    <row r="34" spans="1:3" ht="14.25">
      <c r="A34" s="16" t="s">
        <v>20</v>
      </c>
      <c r="B34" s="32" t="s">
        <v>232</v>
      </c>
      <c r="C34" s="33">
        <f>[7]С1!F17</f>
        <v>0.72857142857142854</v>
      </c>
    </row>
    <row r="35" spans="1:3" ht="15.75">
      <c r="A35" s="119" t="s">
        <v>21</v>
      </c>
      <c r="B35" s="34" t="s">
        <v>22</v>
      </c>
      <c r="C35" s="33">
        <f>[7]С1!F20</f>
        <v>21.588411179999994</v>
      </c>
    </row>
    <row r="36" spans="1:3" ht="15.75">
      <c r="A36" s="119" t="s">
        <v>23</v>
      </c>
      <c r="B36" s="35" t="s">
        <v>24</v>
      </c>
      <c r="C36" s="33">
        <f>[7]С1!F21</f>
        <v>20.818139999999996</v>
      </c>
    </row>
    <row r="37" spans="1:3" ht="14.25">
      <c r="A37" s="119" t="s">
        <v>25</v>
      </c>
      <c r="B37" s="36" t="s">
        <v>26</v>
      </c>
      <c r="C37" s="33">
        <f>[7]С1!F22</f>
        <v>1.0369999999999999</v>
      </c>
    </row>
    <row r="38" spans="1:3" ht="53.25" thickBot="1">
      <c r="A38" s="21" t="s">
        <v>27</v>
      </c>
      <c r="B38" s="37" t="s">
        <v>28</v>
      </c>
      <c r="C38" s="38">
        <f>[7]С1!F23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[7]С2.1!E12</f>
        <v>V</v>
      </c>
    </row>
    <row r="42" spans="1:3" ht="25.5">
      <c r="A42" s="16" t="s">
        <v>33</v>
      </c>
      <c r="B42" s="27" t="s">
        <v>34</v>
      </c>
      <c r="C42" s="41" t="str">
        <f>[7]С2.1!E13</f>
        <v>6 и менее баллов</v>
      </c>
    </row>
    <row r="43" spans="1:3" ht="25.5">
      <c r="A43" s="16" t="s">
        <v>35</v>
      </c>
      <c r="B43" s="27" t="s">
        <v>233</v>
      </c>
      <c r="C43" s="41" t="str">
        <f>[7]С2.1!E14</f>
        <v>от 200 до 500</v>
      </c>
    </row>
    <row r="44" spans="1:3" ht="25.5">
      <c r="A44" s="16" t="s">
        <v>36</v>
      </c>
      <c r="B44" s="27" t="s">
        <v>234</v>
      </c>
      <c r="C44" s="42" t="str">
        <f>[7]С2.1!E15</f>
        <v>нет</v>
      </c>
    </row>
    <row r="45" spans="1:3" ht="30">
      <c r="A45" s="16" t="s">
        <v>37</v>
      </c>
      <c r="B45" s="27" t="s">
        <v>38</v>
      </c>
      <c r="C45" s="28">
        <f>[7]С2!F18</f>
        <v>32402.627334033532</v>
      </c>
    </row>
    <row r="46" spans="1:3" ht="30">
      <c r="A46" s="16" t="s">
        <v>39</v>
      </c>
      <c r="B46" s="43" t="s">
        <v>40</v>
      </c>
      <c r="C46" s="28">
        <f>IF([7]С2!F19&gt;0,[7]С2!F19,[7]С2!F20)</f>
        <v>23441.524932855718</v>
      </c>
    </row>
    <row r="47" spans="1:3" ht="25.5">
      <c r="A47" s="16" t="s">
        <v>41</v>
      </c>
      <c r="B47" s="44" t="s">
        <v>42</v>
      </c>
      <c r="C47" s="28">
        <f>[7]С2.1!E19</f>
        <v>-38</v>
      </c>
    </row>
    <row r="48" spans="1:3" ht="25.5">
      <c r="A48" s="16" t="s">
        <v>43</v>
      </c>
      <c r="B48" s="44" t="s">
        <v>44</v>
      </c>
      <c r="C48" s="28" t="str">
        <f>[7]С2.1!E22</f>
        <v>нет</v>
      </c>
    </row>
    <row r="49" spans="1:3" ht="38.25">
      <c r="A49" s="16" t="s">
        <v>45</v>
      </c>
      <c r="B49" s="45" t="s">
        <v>46</v>
      </c>
      <c r="C49" s="28">
        <f>[7]С2.2!E10</f>
        <v>1287</v>
      </c>
    </row>
    <row r="50" spans="1:3" ht="25.5">
      <c r="A50" s="16" t="s">
        <v>47</v>
      </c>
      <c r="B50" s="46" t="s">
        <v>48</v>
      </c>
      <c r="C50" s="28">
        <f>[7]С2.2!E12</f>
        <v>5.97</v>
      </c>
    </row>
    <row r="51" spans="1:3" ht="52.5">
      <c r="A51" s="16" t="s">
        <v>49</v>
      </c>
      <c r="B51" s="47" t="s">
        <v>50</v>
      </c>
      <c r="C51" s="28">
        <f>[7]С2.2!E13</f>
        <v>1</v>
      </c>
    </row>
    <row r="52" spans="1:3" ht="27.75">
      <c r="A52" s="16" t="s">
        <v>51</v>
      </c>
      <c r="B52" s="46" t="s">
        <v>52</v>
      </c>
      <c r="C52" s="28">
        <f>[7]С2.2!E14</f>
        <v>12104</v>
      </c>
    </row>
    <row r="53" spans="1:3" ht="25.5">
      <c r="A53" s="16" t="s">
        <v>53</v>
      </c>
      <c r="B53" s="47" t="s">
        <v>54</v>
      </c>
      <c r="C53" s="29">
        <f>[7]С2.2!E15</f>
        <v>4.8000000000000001E-2</v>
      </c>
    </row>
    <row r="54" spans="1:3">
      <c r="A54" s="16" t="s">
        <v>55</v>
      </c>
      <c r="B54" s="47" t="s">
        <v>56</v>
      </c>
      <c r="C54" s="28">
        <f>[7]С2.2!E16</f>
        <v>1</v>
      </c>
    </row>
    <row r="55" spans="1:3" ht="15.75">
      <c r="A55" s="16" t="s">
        <v>57</v>
      </c>
      <c r="B55" s="48" t="s">
        <v>58</v>
      </c>
      <c r="C55" s="28">
        <f>[7]С2!F21</f>
        <v>1</v>
      </c>
    </row>
    <row r="56" spans="1:3" ht="30">
      <c r="A56" s="49" t="s">
        <v>59</v>
      </c>
      <c r="B56" s="27" t="s">
        <v>235</v>
      </c>
      <c r="C56" s="28">
        <f>[7]С2!F13</f>
        <v>169640.22915965237</v>
      </c>
    </row>
    <row r="57" spans="1:3" ht="30">
      <c r="A57" s="49" t="s">
        <v>60</v>
      </c>
      <c r="B57" s="48" t="s">
        <v>236</v>
      </c>
      <c r="C57" s="28">
        <f>[7]С2!F14</f>
        <v>113455</v>
      </c>
    </row>
    <row r="58" spans="1:3" ht="15.75">
      <c r="A58" s="49" t="s">
        <v>61</v>
      </c>
      <c r="B58" s="50" t="s">
        <v>62</v>
      </c>
      <c r="C58" s="33">
        <f>[7]С2!F15</f>
        <v>1.071</v>
      </c>
    </row>
    <row r="59" spans="1:3" ht="15.75">
      <c r="A59" s="49" t="s">
        <v>63</v>
      </c>
      <c r="B59" s="50" t="s">
        <v>64</v>
      </c>
      <c r="C59" s="33">
        <f>[7]С2!F16</f>
        <v>1</v>
      </c>
    </row>
    <row r="60" spans="1:3" ht="17.25">
      <c r="A60" s="49" t="s">
        <v>65</v>
      </c>
      <c r="B60" s="48" t="s">
        <v>66</v>
      </c>
      <c r="C60" s="28">
        <f>[7]С2!F17</f>
        <v>1.01</v>
      </c>
    </row>
    <row r="61" spans="1:3" s="53" customFormat="1" ht="14.25">
      <c r="A61" s="49" t="s">
        <v>67</v>
      </c>
      <c r="B61" s="51" t="s">
        <v>68</v>
      </c>
      <c r="C61" s="52">
        <f>[7]С2!F33</f>
        <v>10</v>
      </c>
    </row>
    <row r="62" spans="1:3" ht="30">
      <c r="A62" s="49" t="s">
        <v>69</v>
      </c>
      <c r="B62" s="54" t="s">
        <v>70</v>
      </c>
      <c r="C62" s="28">
        <f>[7]С2!F26</f>
        <v>911.22846603392293</v>
      </c>
    </row>
    <row r="63" spans="1:3" ht="17.25">
      <c r="A63" s="49" t="s">
        <v>71</v>
      </c>
      <c r="B63" s="43" t="s">
        <v>237</v>
      </c>
      <c r="C63" s="28">
        <f>[7]С2!F27</f>
        <v>0.15695805999999998</v>
      </c>
    </row>
    <row r="64" spans="1:3" ht="17.25">
      <c r="A64" s="49" t="s">
        <v>72</v>
      </c>
      <c r="B64" s="48" t="s">
        <v>238</v>
      </c>
      <c r="C64" s="52">
        <f>[7]С2!F28</f>
        <v>4200</v>
      </c>
    </row>
    <row r="65" spans="1:3" ht="42.75">
      <c r="A65" s="49" t="s">
        <v>73</v>
      </c>
      <c r="B65" s="27" t="s">
        <v>239</v>
      </c>
      <c r="C65" s="28">
        <f>[7]С2!F22</f>
        <v>35717.748653137714</v>
      </c>
    </row>
    <row r="66" spans="1:3" ht="30">
      <c r="A66" s="49" t="s">
        <v>74</v>
      </c>
      <c r="B66" s="50" t="s">
        <v>240</v>
      </c>
      <c r="C66" s="28">
        <f>[7]С2!F23</f>
        <v>1990</v>
      </c>
    </row>
    <row r="67" spans="1:3" ht="30">
      <c r="A67" s="49" t="s">
        <v>75</v>
      </c>
      <c r="B67" s="43" t="s">
        <v>76</v>
      </c>
      <c r="C67" s="28">
        <f>[7]С2.1!E27</f>
        <v>14307.876789999998</v>
      </c>
    </row>
    <row r="68" spans="1:3" ht="38.25">
      <c r="A68" s="49" t="s">
        <v>77</v>
      </c>
      <c r="B68" s="55" t="s">
        <v>78</v>
      </c>
      <c r="C68" s="42">
        <f>[7]С2.3!E21</f>
        <v>0</v>
      </c>
    </row>
    <row r="69" spans="1:3" ht="25.5">
      <c r="A69" s="49" t="s">
        <v>79</v>
      </c>
      <c r="B69" s="56" t="s">
        <v>80</v>
      </c>
      <c r="C69" s="57">
        <f>[7]С2.3!E11</f>
        <v>9.89</v>
      </c>
    </row>
    <row r="70" spans="1:3" ht="25.5">
      <c r="A70" s="49" t="s">
        <v>81</v>
      </c>
      <c r="B70" s="56" t="s">
        <v>82</v>
      </c>
      <c r="C70" s="52">
        <f>[7]С2.3!E13</f>
        <v>300</v>
      </c>
    </row>
    <row r="71" spans="1:3" ht="25.5">
      <c r="A71" s="49" t="s">
        <v>83</v>
      </c>
      <c r="B71" s="55" t="s">
        <v>84</v>
      </c>
      <c r="C71" s="58">
        <f>IF([7]С2.3!E22&gt;0,[7]С2.3!E22,[7]С2.3!E14)</f>
        <v>61211</v>
      </c>
    </row>
    <row r="72" spans="1:3" ht="38.25">
      <c r="A72" s="49" t="s">
        <v>85</v>
      </c>
      <c r="B72" s="55" t="s">
        <v>86</v>
      </c>
      <c r="C72" s="58">
        <f>IF([7]С2.3!E23&gt;0,[7]С2.3!E23,[7]С2.3!E15)</f>
        <v>45675</v>
      </c>
    </row>
    <row r="73" spans="1:3" ht="30">
      <c r="A73" s="49" t="s">
        <v>87</v>
      </c>
      <c r="B73" s="43" t="s">
        <v>88</v>
      </c>
      <c r="C73" s="28">
        <f>[7]С2.1!E28</f>
        <v>9541.9567200000001</v>
      </c>
    </row>
    <row r="74" spans="1:3" ht="38.25">
      <c r="A74" s="49" t="s">
        <v>89</v>
      </c>
      <c r="B74" s="55" t="s">
        <v>90</v>
      </c>
      <c r="C74" s="42">
        <f>[7]С2.3!E25</f>
        <v>0</v>
      </c>
    </row>
    <row r="75" spans="1:3" ht="25.5">
      <c r="A75" s="49" t="s">
        <v>91</v>
      </c>
      <c r="B75" s="56" t="s">
        <v>92</v>
      </c>
      <c r="C75" s="57">
        <f>[7]С2.3!E12</f>
        <v>0.56000000000000005</v>
      </c>
    </row>
    <row r="76" spans="1:3" ht="25.5">
      <c r="A76" s="49" t="s">
        <v>93</v>
      </c>
      <c r="B76" s="56" t="s">
        <v>82</v>
      </c>
      <c r="C76" s="52">
        <f>[7]С2.3!E13</f>
        <v>300</v>
      </c>
    </row>
    <row r="77" spans="1:3" ht="25.5">
      <c r="A77" s="49" t="s">
        <v>94</v>
      </c>
      <c r="B77" s="59" t="s">
        <v>95</v>
      </c>
      <c r="C77" s="58">
        <f>IF([7]С2.3!E26&gt;0,[7]С2.3!E26,[7]С2.3!E16)</f>
        <v>65637</v>
      </c>
    </row>
    <row r="78" spans="1:3" ht="38.25">
      <c r="A78" s="49" t="s">
        <v>96</v>
      </c>
      <c r="B78" s="59" t="s">
        <v>97</v>
      </c>
      <c r="C78" s="58">
        <f>IF([7]С2.3!E27&gt;0,[7]С2.3!E27,[7]С2.3!E17)</f>
        <v>31684</v>
      </c>
    </row>
    <row r="79" spans="1:3" ht="17.25">
      <c r="A79" s="49" t="s">
        <v>98</v>
      </c>
      <c r="B79" s="27" t="s">
        <v>99</v>
      </c>
      <c r="C79" s="29">
        <f>[7]С2!F29</f>
        <v>0.128978033685065</v>
      </c>
    </row>
    <row r="80" spans="1:3" ht="30">
      <c r="A80" s="49" t="s">
        <v>100</v>
      </c>
      <c r="B80" s="43" t="s">
        <v>101</v>
      </c>
      <c r="C80" s="60">
        <f>[7]С2!F30</f>
        <v>0.11668498168498169</v>
      </c>
    </row>
    <row r="81" spans="1:3" ht="17.25">
      <c r="A81" s="49" t="s">
        <v>102</v>
      </c>
      <c r="B81" s="61" t="s">
        <v>103</v>
      </c>
      <c r="C81" s="29">
        <f>[7]С2!F31</f>
        <v>0.13880000000000001</v>
      </c>
    </row>
    <row r="82" spans="1:3" s="53" customFormat="1" ht="18" thickBot="1">
      <c r="A82" s="62" t="s">
        <v>104</v>
      </c>
      <c r="B82" s="63" t="s">
        <v>105</v>
      </c>
      <c r="C82" s="64">
        <f>[7]С2!F32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[7]С3!F14</f>
        <v>6988.6287956820188</v>
      </c>
    </row>
    <row r="86" spans="1:3" s="53" customFormat="1" ht="42.75">
      <c r="A86" s="67" t="s">
        <v>110</v>
      </c>
      <c r="B86" s="43" t="s">
        <v>111</v>
      </c>
      <c r="C86" s="68">
        <f>[7]С3!F15</f>
        <v>0.2</v>
      </c>
    </row>
    <row r="87" spans="1:3" s="53" customFormat="1" ht="14.25">
      <c r="A87" s="67" t="s">
        <v>112</v>
      </c>
      <c r="B87" s="69" t="s">
        <v>113</v>
      </c>
      <c r="C87" s="52">
        <f>[7]С3!F18</f>
        <v>15</v>
      </c>
    </row>
    <row r="88" spans="1:3" s="53" customFormat="1" ht="17.25">
      <c r="A88" s="67" t="s">
        <v>114</v>
      </c>
      <c r="B88" s="27" t="s">
        <v>115</v>
      </c>
      <c r="C88" s="28">
        <f>[7]С3!F19</f>
        <v>3487.1555421534131</v>
      </c>
    </row>
    <row r="89" spans="1:3" s="53" customFormat="1" ht="55.5">
      <c r="A89" s="67" t="s">
        <v>116</v>
      </c>
      <c r="B89" s="43" t="s">
        <v>117</v>
      </c>
      <c r="C89" s="70">
        <f>[7]С3!F20</f>
        <v>2.1999999999999999E-2</v>
      </c>
    </row>
    <row r="90" spans="1:3" s="53" customFormat="1" ht="14.25">
      <c r="A90" s="67" t="s">
        <v>118</v>
      </c>
      <c r="B90" s="48" t="s">
        <v>68</v>
      </c>
      <c r="C90" s="52">
        <f>[7]С3!F21</f>
        <v>10</v>
      </c>
    </row>
    <row r="91" spans="1:3" s="53" customFormat="1" ht="17.25">
      <c r="A91" s="67" t="s">
        <v>119</v>
      </c>
      <c r="B91" s="27" t="s">
        <v>120</v>
      </c>
      <c r="C91" s="28">
        <f>[7]С3!F22</f>
        <v>2.7336853981017688</v>
      </c>
    </row>
    <row r="92" spans="1:3" s="53" customFormat="1" ht="55.5">
      <c r="A92" s="67" t="s">
        <v>121</v>
      </c>
      <c r="B92" s="43" t="s">
        <v>122</v>
      </c>
      <c r="C92" s="70">
        <f>[7]С3!F23</f>
        <v>3.0000000000000001E-3</v>
      </c>
    </row>
    <row r="93" spans="1:3" s="53" customFormat="1" ht="27.75" thickBot="1">
      <c r="A93" s="71" t="s">
        <v>123</v>
      </c>
      <c r="B93" s="72" t="s">
        <v>241</v>
      </c>
      <c r="C93" s="73">
        <f>[7]С3!F24</f>
        <v>911.22846603392293</v>
      </c>
    </row>
    <row r="94" spans="1:3" ht="13.5" thickBot="1">
      <c r="A94" s="39"/>
      <c r="B94" s="65"/>
      <c r="C94" s="13"/>
    </row>
    <row r="95" spans="1:3" ht="30" customHeight="1">
      <c r="A95" s="74" t="s">
        <v>124</v>
      </c>
      <c r="B95" s="141" t="s">
        <v>125</v>
      </c>
      <c r="C95" s="141"/>
    </row>
    <row r="96" spans="1:3" ht="30">
      <c r="A96" s="49" t="s">
        <v>126</v>
      </c>
      <c r="B96" s="27" t="s">
        <v>242</v>
      </c>
      <c r="C96" s="28">
        <f>[7]С4!F16</f>
        <v>1652.5</v>
      </c>
    </row>
    <row r="97" spans="1:3" ht="30">
      <c r="A97" s="49" t="s">
        <v>127</v>
      </c>
      <c r="B97" s="48" t="s">
        <v>243</v>
      </c>
      <c r="C97" s="28">
        <f>[7]С4!F17</f>
        <v>73547</v>
      </c>
    </row>
    <row r="98" spans="1:3" ht="17.25">
      <c r="A98" s="49" t="s">
        <v>128</v>
      </c>
      <c r="B98" s="48" t="s">
        <v>129</v>
      </c>
      <c r="C98" s="33">
        <f>[7]С4!F18</f>
        <v>0.02</v>
      </c>
    </row>
    <row r="99" spans="1:3" ht="30">
      <c r="A99" s="49" t="s">
        <v>130</v>
      </c>
      <c r="B99" s="48" t="s">
        <v>131</v>
      </c>
      <c r="C99" s="28">
        <f>[7]С4!F19</f>
        <v>12104</v>
      </c>
    </row>
    <row r="100" spans="1:3" ht="31.5">
      <c r="A100" s="49" t="s">
        <v>132</v>
      </c>
      <c r="B100" s="48" t="s">
        <v>133</v>
      </c>
      <c r="C100" s="33">
        <f>[7]С4!F20</f>
        <v>1.4999999999999999E-2</v>
      </c>
    </row>
    <row r="101" spans="1:3" ht="30">
      <c r="A101" s="49" t="s">
        <v>134</v>
      </c>
      <c r="B101" s="27" t="s">
        <v>244</v>
      </c>
      <c r="C101" s="28">
        <f>[7]С4!F21</f>
        <v>1933.1949342509995</v>
      </c>
    </row>
    <row r="102" spans="1:3" ht="24" customHeight="1">
      <c r="A102" s="49" t="s">
        <v>135</v>
      </c>
      <c r="B102" s="43" t="s">
        <v>136</v>
      </c>
      <c r="C102" s="75">
        <f>IF([7]С4.2!F8="да",[7]С4.2!D21,[7]С4.2!D15)</f>
        <v>0</v>
      </c>
    </row>
    <row r="103" spans="1:3" ht="68.25">
      <c r="A103" s="49" t="s">
        <v>137</v>
      </c>
      <c r="B103" s="43" t="s">
        <v>138</v>
      </c>
      <c r="C103" s="28">
        <f>[7]С4!F22</f>
        <v>3.6112641666666665</v>
      </c>
    </row>
    <row r="104" spans="1:3" ht="30">
      <c r="A104" s="49" t="s">
        <v>139</v>
      </c>
      <c r="B104" s="48" t="s">
        <v>245</v>
      </c>
      <c r="C104" s="28">
        <f>[7]С4!F23</f>
        <v>180</v>
      </c>
    </row>
    <row r="105" spans="1:3" ht="14.25">
      <c r="A105" s="49" t="s">
        <v>140</v>
      </c>
      <c r="B105" s="43" t="s">
        <v>141</v>
      </c>
      <c r="C105" s="28">
        <f>[7]С4!F24</f>
        <v>8497.1999999999989</v>
      </c>
    </row>
    <row r="106" spans="1:3" ht="14.25">
      <c r="A106" s="49" t="s">
        <v>142</v>
      </c>
      <c r="B106" s="48" t="s">
        <v>143</v>
      </c>
      <c r="C106" s="33">
        <f>[7]С4!F25</f>
        <v>0.35</v>
      </c>
    </row>
    <row r="107" spans="1:3" ht="17.25">
      <c r="A107" s="49" t="s">
        <v>144</v>
      </c>
      <c r="B107" s="27" t="s">
        <v>145</v>
      </c>
      <c r="C107" s="28">
        <f>[7]С4!F26</f>
        <v>88.644269999999992</v>
      </c>
    </row>
    <row r="108" spans="1:3" ht="25.5">
      <c r="A108" s="49" t="s">
        <v>146</v>
      </c>
      <c r="B108" s="43" t="s">
        <v>78</v>
      </c>
      <c r="C108" s="75">
        <f>[7]С4.3!E16</f>
        <v>0</v>
      </c>
    </row>
    <row r="109" spans="1:3" ht="25.5">
      <c r="A109" s="49" t="s">
        <v>147</v>
      </c>
      <c r="B109" s="43" t="s">
        <v>148</v>
      </c>
      <c r="C109" s="28">
        <f>[7]С4.3!E17</f>
        <v>23.49</v>
      </c>
    </row>
    <row r="110" spans="1:3" ht="38.25">
      <c r="A110" s="49" t="s">
        <v>149</v>
      </c>
      <c r="B110" s="43" t="s">
        <v>90</v>
      </c>
      <c r="C110" s="75">
        <f>[7]С4.3!E18</f>
        <v>0</v>
      </c>
    </row>
    <row r="111" spans="1:3">
      <c r="A111" s="49" t="s">
        <v>150</v>
      </c>
      <c r="B111" s="43" t="s">
        <v>151</v>
      </c>
      <c r="C111" s="28">
        <f>[7]С4.3!E19</f>
        <v>30.71</v>
      </c>
    </row>
    <row r="112" spans="1:3">
      <c r="A112" s="49" t="s">
        <v>152</v>
      </c>
      <c r="B112" s="48" t="s">
        <v>153</v>
      </c>
      <c r="C112" s="28">
        <f>[7]С4.3!E11</f>
        <v>1871</v>
      </c>
    </row>
    <row r="113" spans="1:3">
      <c r="A113" s="49" t="s">
        <v>154</v>
      </c>
      <c r="B113" s="48" t="s">
        <v>155</v>
      </c>
      <c r="C113" s="42">
        <f>[7]С4.3!E12</f>
        <v>1636</v>
      </c>
    </row>
    <row r="114" spans="1:3">
      <c r="A114" s="49" t="s">
        <v>156</v>
      </c>
      <c r="B114" s="48" t="s">
        <v>157</v>
      </c>
      <c r="C114" s="42">
        <f>[7]С4.3!E13</f>
        <v>204</v>
      </c>
    </row>
    <row r="115" spans="1:3" ht="30">
      <c r="A115" s="49" t="s">
        <v>158</v>
      </c>
      <c r="B115" s="27" t="s">
        <v>246</v>
      </c>
      <c r="C115" s="28">
        <f>[7]С4!F27</f>
        <v>998.55949805489831</v>
      </c>
    </row>
    <row r="116" spans="1:3" ht="25.5">
      <c r="A116" s="49" t="s">
        <v>159</v>
      </c>
      <c r="B116" s="43" t="s">
        <v>247</v>
      </c>
      <c r="C116" s="28">
        <f>[7]С4!F28</f>
        <v>766.94277884400788</v>
      </c>
    </row>
    <row r="117" spans="1:3" ht="42.75">
      <c r="A117" s="49" t="s">
        <v>160</v>
      </c>
      <c r="B117" s="43" t="s">
        <v>161</v>
      </c>
      <c r="C117" s="28">
        <f>[7]С4!F29</f>
        <v>231.61671921089041</v>
      </c>
    </row>
    <row r="118" spans="1:3" ht="30">
      <c r="A118" s="49" t="s">
        <v>162</v>
      </c>
      <c r="B118" s="32" t="s">
        <v>163</v>
      </c>
      <c r="C118" s="28">
        <f>[7]С4!F30</f>
        <v>2196.3496582511957</v>
      </c>
    </row>
    <row r="119" spans="1:3" ht="42.75">
      <c r="A119" s="49" t="s">
        <v>248</v>
      </c>
      <c r="B119" s="76" t="s">
        <v>249</v>
      </c>
      <c r="C119" s="28">
        <f>[7]С4!F33</f>
        <v>1483.072594022681</v>
      </c>
    </row>
    <row r="120" spans="1:3" ht="30">
      <c r="A120" s="49" t="s">
        <v>250</v>
      </c>
      <c r="B120" s="122" t="s">
        <v>251</v>
      </c>
      <c r="C120" s="28">
        <f>[7]С4!F35</f>
        <v>17.040680999999999</v>
      </c>
    </row>
    <row r="121" spans="1:3" ht="14.25">
      <c r="A121" s="49" t="s">
        <v>252</v>
      </c>
      <c r="B121" s="46" t="s">
        <v>253</v>
      </c>
      <c r="C121" s="28">
        <f>[7]С4!F36</f>
        <v>14319.9</v>
      </c>
    </row>
    <row r="122" spans="1:3" ht="28.5" thickBot="1">
      <c r="A122" s="62" t="s">
        <v>254</v>
      </c>
      <c r="B122" s="123" t="s">
        <v>255</v>
      </c>
      <c r="C122" s="73">
        <f>[7]С4!F37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[7]С5!F17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[7]С2!F37</f>
        <v>20.818139999999996</v>
      </c>
    </row>
    <row r="136" spans="1:4" ht="14.25">
      <c r="A136" s="49" t="s">
        <v>183</v>
      </c>
      <c r="B136" s="129" t="s">
        <v>184</v>
      </c>
      <c r="C136" s="28">
        <f>[7]С2!F38</f>
        <v>7</v>
      </c>
    </row>
    <row r="137" spans="1:4" ht="17.25">
      <c r="A137" s="49" t="s">
        <v>185</v>
      </c>
      <c r="B137" s="129" t="s">
        <v>186</v>
      </c>
      <c r="C137" s="28">
        <f>[7]С2!F40</f>
        <v>0.97</v>
      </c>
    </row>
    <row r="138" spans="1:4" ht="15" thickBot="1">
      <c r="A138" s="62" t="s">
        <v>187</v>
      </c>
      <c r="B138" s="130" t="s">
        <v>188</v>
      </c>
      <c r="C138" s="38">
        <f>[7]С2!F42</f>
        <v>0.35</v>
      </c>
    </row>
    <row r="139" spans="1:4" s="77" customFormat="1" ht="13.5" thickBot="1">
      <c r="A139" s="39"/>
      <c r="B139" s="65"/>
      <c r="C139" s="13"/>
    </row>
    <row r="140" spans="1:4" ht="30">
      <c r="A140" s="74" t="s">
        <v>189</v>
      </c>
      <c r="B140" s="84" t="s">
        <v>258</v>
      </c>
      <c r="C140" s="131">
        <f>[7]С2!F35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[7]С2.5!$E$11</f>
        <v>-2.9000000000000026E-2</v>
      </c>
      <c r="D143" s="77"/>
    </row>
    <row r="144" spans="1:4">
      <c r="A144" s="85"/>
      <c r="B144" s="86">
        <f>B143+1</f>
        <v>2021</v>
      </c>
      <c r="C144" s="136">
        <f>[7]С2.5!$F$11</f>
        <v>0.245</v>
      </c>
      <c r="D144" s="77"/>
    </row>
    <row r="145" spans="1:4">
      <c r="A145" s="85"/>
      <c r="B145" s="86">
        <f t="shared" ref="B145:B208" si="0">B144+1</f>
        <v>2022</v>
      </c>
      <c r="C145" s="136">
        <f>[7]С2.5!$G$11</f>
        <v>0.121</v>
      </c>
      <c r="D145" s="77"/>
    </row>
    <row r="146" spans="1:4" ht="13.5" thickBot="1">
      <c r="A146" s="85"/>
      <c r="B146" s="87">
        <f t="shared" si="0"/>
        <v>2023</v>
      </c>
      <c r="C146" s="137">
        <f>[7]С2.5!$H$11</f>
        <v>0.02</v>
      </c>
      <c r="D146" s="77"/>
    </row>
    <row r="147" spans="1:4" hidden="1">
      <c r="A147" s="85"/>
      <c r="B147" s="138">
        <f t="shared" si="0"/>
        <v>2024</v>
      </c>
      <c r="C147" s="139">
        <f>[7]С2.5!$I$11</f>
        <v>-2.93E-2</v>
      </c>
      <c r="D147" s="77"/>
    </row>
    <row r="148" spans="1:4" hidden="1">
      <c r="A148" s="85"/>
      <c r="B148" s="86">
        <f t="shared" si="0"/>
        <v>2025</v>
      </c>
      <c r="C148" s="136">
        <f>[7]С2.5!$J$11</f>
        <v>0.21215960863291</v>
      </c>
      <c r="D148" s="77"/>
    </row>
    <row r="149" spans="1:4" hidden="1">
      <c r="A149" s="85"/>
      <c r="B149" s="86">
        <f t="shared" si="0"/>
        <v>2026</v>
      </c>
      <c r="C149" s="136">
        <f>[7]С2.5!$K$11</f>
        <v>3.5813361771260002E-2</v>
      </c>
      <c r="D149" s="77"/>
    </row>
    <row r="150" spans="1:4" hidden="1">
      <c r="A150" s="85"/>
      <c r="B150" s="86">
        <f t="shared" si="0"/>
        <v>2027</v>
      </c>
      <c r="C150" s="136">
        <f>[7]С2.5!$L$11</f>
        <v>3.2682303599220003E-2</v>
      </c>
      <c r="D150" s="77"/>
    </row>
    <row r="151" spans="1:4" hidden="1">
      <c r="A151" s="85"/>
      <c r="B151" s="86">
        <f t="shared" si="0"/>
        <v>2028</v>
      </c>
      <c r="C151" s="136">
        <f>[7]С2.5!$M$11</f>
        <v>0</v>
      </c>
      <c r="D151" s="77"/>
    </row>
    <row r="152" spans="1:4" hidden="1">
      <c r="A152" s="85"/>
      <c r="B152" s="86">
        <f t="shared" si="0"/>
        <v>2029</v>
      </c>
      <c r="C152" s="136">
        <f>[7]С2.5!$N$11</f>
        <v>0</v>
      </c>
      <c r="D152" s="77"/>
    </row>
    <row r="153" spans="1:4" hidden="1">
      <c r="A153" s="85"/>
      <c r="B153" s="86">
        <f t="shared" si="0"/>
        <v>2030</v>
      </c>
      <c r="C153" s="136">
        <f>[7]С2.5!$O$11</f>
        <v>0</v>
      </c>
      <c r="D153" s="77"/>
    </row>
    <row r="154" spans="1:4" hidden="1">
      <c r="A154" s="85"/>
      <c r="B154" s="86">
        <f t="shared" si="0"/>
        <v>2031</v>
      </c>
      <c r="C154" s="136">
        <f>[7]С2.5!$P$11</f>
        <v>0</v>
      </c>
      <c r="D154" s="77"/>
    </row>
    <row r="155" spans="1:4" hidden="1">
      <c r="A155" s="77"/>
      <c r="B155" s="86">
        <f t="shared" si="0"/>
        <v>2032</v>
      </c>
      <c r="C155" s="136">
        <f>[7]С2.5!$Q$11</f>
        <v>0</v>
      </c>
      <c r="D155" s="77"/>
    </row>
    <row r="156" spans="1:4" hidden="1">
      <c r="A156" s="77"/>
      <c r="B156" s="86">
        <f t="shared" si="0"/>
        <v>2033</v>
      </c>
      <c r="C156" s="136">
        <f>[7]С2.5!$R$11</f>
        <v>0</v>
      </c>
      <c r="D156" s="77"/>
    </row>
    <row r="157" spans="1:4" hidden="1">
      <c r="B157" s="86">
        <f t="shared" si="0"/>
        <v>2034</v>
      </c>
      <c r="C157" s="136">
        <f>[7]С2.5!$S$11</f>
        <v>0</v>
      </c>
    </row>
    <row r="158" spans="1:4" hidden="1">
      <c r="B158" s="86">
        <f t="shared" si="0"/>
        <v>2035</v>
      </c>
      <c r="C158" s="136">
        <f>[7]С2.5!$T$11</f>
        <v>0</v>
      </c>
    </row>
    <row r="159" spans="1:4" hidden="1">
      <c r="B159" s="86">
        <f t="shared" si="0"/>
        <v>2036</v>
      </c>
      <c r="C159" s="136">
        <f>[7]С2.5!$U$11</f>
        <v>0</v>
      </c>
    </row>
    <row r="160" spans="1:4" hidden="1">
      <c r="B160" s="86">
        <f t="shared" si="0"/>
        <v>2037</v>
      </c>
      <c r="C160" s="136">
        <f>[7]С2.5!$V$11</f>
        <v>0</v>
      </c>
    </row>
    <row r="161" spans="2:3" hidden="1">
      <c r="B161" s="86">
        <f t="shared" si="0"/>
        <v>2038</v>
      </c>
      <c r="C161" s="136">
        <f>[7]С2.5!$W$11</f>
        <v>0</v>
      </c>
    </row>
    <row r="162" spans="2:3" hidden="1">
      <c r="B162" s="86">
        <f t="shared" si="0"/>
        <v>2039</v>
      </c>
      <c r="C162" s="136">
        <f>[7]С2.5!$X$11</f>
        <v>0</v>
      </c>
    </row>
    <row r="163" spans="2:3" hidden="1">
      <c r="B163" s="86">
        <f t="shared" si="0"/>
        <v>2040</v>
      </c>
      <c r="C163" s="136">
        <f>[7]С2.5!$Y$11</f>
        <v>0</v>
      </c>
    </row>
    <row r="164" spans="2:3" hidden="1">
      <c r="B164" s="86">
        <f t="shared" si="0"/>
        <v>2041</v>
      </c>
      <c r="C164" s="136">
        <f>[7]С2.5!$Z$11</f>
        <v>0</v>
      </c>
    </row>
    <row r="165" spans="2:3" hidden="1">
      <c r="B165" s="86">
        <f t="shared" si="0"/>
        <v>2042</v>
      </c>
      <c r="C165" s="136">
        <f>[7]С2.5!$AA$11</f>
        <v>0</v>
      </c>
    </row>
    <row r="166" spans="2:3" hidden="1">
      <c r="B166" s="86">
        <f t="shared" si="0"/>
        <v>2043</v>
      </c>
      <c r="C166" s="136">
        <f>[7]С2.5!$AB$11</f>
        <v>0</v>
      </c>
    </row>
    <row r="167" spans="2:3" hidden="1">
      <c r="B167" s="86">
        <f t="shared" si="0"/>
        <v>2044</v>
      </c>
      <c r="C167" s="136">
        <f>[7]С2.5!$AC$11</f>
        <v>0</v>
      </c>
    </row>
    <row r="168" spans="2:3" hidden="1">
      <c r="B168" s="86">
        <f t="shared" si="0"/>
        <v>2045</v>
      </c>
      <c r="C168" s="136">
        <f>[7]С2.5!$AD$11</f>
        <v>0</v>
      </c>
    </row>
    <row r="169" spans="2:3" hidden="1">
      <c r="B169" s="86">
        <f t="shared" si="0"/>
        <v>2046</v>
      </c>
      <c r="C169" s="136">
        <f>[7]С2.5!$AE$11</f>
        <v>0</v>
      </c>
    </row>
    <row r="170" spans="2:3" hidden="1">
      <c r="B170" s="86">
        <f t="shared" si="0"/>
        <v>2047</v>
      </c>
      <c r="C170" s="136">
        <f>[7]С2.5!$AF$11</f>
        <v>0</v>
      </c>
    </row>
    <row r="171" spans="2:3" hidden="1">
      <c r="B171" s="86">
        <f t="shared" si="0"/>
        <v>2048</v>
      </c>
      <c r="C171" s="136">
        <f>[7]С2.5!$AG$11</f>
        <v>0</v>
      </c>
    </row>
    <row r="172" spans="2:3" hidden="1">
      <c r="B172" s="86">
        <f t="shared" si="0"/>
        <v>2049</v>
      </c>
      <c r="C172" s="136">
        <f>[7]С2.5!$AH$11</f>
        <v>0</v>
      </c>
    </row>
    <row r="173" spans="2:3" hidden="1">
      <c r="B173" s="86">
        <f t="shared" si="0"/>
        <v>2050</v>
      </c>
      <c r="C173" s="136">
        <f>[7]С2.5!$AI$11</f>
        <v>0</v>
      </c>
    </row>
    <row r="174" spans="2:3" hidden="1">
      <c r="B174" s="86">
        <f t="shared" si="0"/>
        <v>2051</v>
      </c>
      <c r="C174" s="136">
        <f>[7]С2.5!$AJ$11</f>
        <v>0</v>
      </c>
    </row>
    <row r="175" spans="2:3" hidden="1">
      <c r="B175" s="86">
        <f t="shared" si="0"/>
        <v>2052</v>
      </c>
      <c r="C175" s="136">
        <f>[7]С2.5!$AK$11</f>
        <v>0</v>
      </c>
    </row>
    <row r="176" spans="2:3" hidden="1">
      <c r="B176" s="86">
        <f t="shared" si="0"/>
        <v>2053</v>
      </c>
      <c r="C176" s="136">
        <f>[7]С2.5!$AL$11</f>
        <v>0</v>
      </c>
    </row>
    <row r="177" spans="2:3" hidden="1">
      <c r="B177" s="86">
        <f t="shared" si="0"/>
        <v>2054</v>
      </c>
      <c r="C177" s="136">
        <f>[7]С2.5!$AM$11</f>
        <v>0</v>
      </c>
    </row>
    <row r="178" spans="2:3" hidden="1">
      <c r="B178" s="86">
        <f t="shared" si="0"/>
        <v>2055</v>
      </c>
      <c r="C178" s="136">
        <f>[7]С2.5!$AN$11</f>
        <v>0</v>
      </c>
    </row>
    <row r="179" spans="2:3" hidden="1">
      <c r="B179" s="86">
        <f t="shared" si="0"/>
        <v>2056</v>
      </c>
      <c r="C179" s="136">
        <f>[7]С2.5!$AO$11</f>
        <v>0</v>
      </c>
    </row>
    <row r="180" spans="2:3" hidden="1">
      <c r="B180" s="86">
        <f t="shared" si="0"/>
        <v>2057</v>
      </c>
      <c r="C180" s="136">
        <f>[7]С2.5!$AP$11</f>
        <v>0</v>
      </c>
    </row>
    <row r="181" spans="2:3" hidden="1">
      <c r="B181" s="86">
        <f t="shared" si="0"/>
        <v>2058</v>
      </c>
      <c r="C181" s="136">
        <f>[7]С2.5!$AQ$11</f>
        <v>0</v>
      </c>
    </row>
    <row r="182" spans="2:3" hidden="1">
      <c r="B182" s="86">
        <f t="shared" si="0"/>
        <v>2059</v>
      </c>
      <c r="C182" s="136">
        <f>[7]С2.5!$AR$11</f>
        <v>0</v>
      </c>
    </row>
    <row r="183" spans="2:3" hidden="1">
      <c r="B183" s="86">
        <f t="shared" si="0"/>
        <v>2060</v>
      </c>
      <c r="C183" s="136">
        <f>[7]С2.5!$AS$11</f>
        <v>0</v>
      </c>
    </row>
    <row r="184" spans="2:3" hidden="1">
      <c r="B184" s="86">
        <f t="shared" si="0"/>
        <v>2061</v>
      </c>
      <c r="C184" s="136">
        <f>[7]С2.5!$AT$11</f>
        <v>0</v>
      </c>
    </row>
    <row r="185" spans="2:3" hidden="1">
      <c r="B185" s="86">
        <f t="shared" si="0"/>
        <v>2062</v>
      </c>
      <c r="C185" s="136">
        <f>[7]С2.5!$AU$11</f>
        <v>0</v>
      </c>
    </row>
    <row r="186" spans="2:3" hidden="1">
      <c r="B186" s="86">
        <f t="shared" si="0"/>
        <v>2063</v>
      </c>
      <c r="C186" s="136">
        <f>[7]С2.5!$AV$11</f>
        <v>0</v>
      </c>
    </row>
    <row r="187" spans="2:3" hidden="1">
      <c r="B187" s="86">
        <f t="shared" si="0"/>
        <v>2064</v>
      </c>
      <c r="C187" s="136">
        <f>[7]С2.5!$AW$11</f>
        <v>0</v>
      </c>
    </row>
    <row r="188" spans="2:3" hidden="1">
      <c r="B188" s="86">
        <f t="shared" si="0"/>
        <v>2065</v>
      </c>
      <c r="C188" s="136">
        <f>[7]С2.5!$AX$11</f>
        <v>0</v>
      </c>
    </row>
    <row r="189" spans="2:3" hidden="1">
      <c r="B189" s="86">
        <f t="shared" si="0"/>
        <v>2066</v>
      </c>
      <c r="C189" s="136">
        <f>[7]С2.5!$AY$11</f>
        <v>0</v>
      </c>
    </row>
    <row r="190" spans="2:3" hidden="1">
      <c r="B190" s="86">
        <f t="shared" si="0"/>
        <v>2067</v>
      </c>
      <c r="C190" s="136">
        <f>[7]С2.5!$AZ$11</f>
        <v>0</v>
      </c>
    </row>
    <row r="191" spans="2:3" hidden="1">
      <c r="B191" s="86">
        <f t="shared" si="0"/>
        <v>2068</v>
      </c>
      <c r="C191" s="136">
        <f>[7]С2.5!$BA$11</f>
        <v>0</v>
      </c>
    </row>
    <row r="192" spans="2:3" hidden="1">
      <c r="B192" s="86">
        <f t="shared" si="0"/>
        <v>2069</v>
      </c>
      <c r="C192" s="136">
        <f>[7]С2.5!$BB$11</f>
        <v>0</v>
      </c>
    </row>
    <row r="193" spans="2:3" hidden="1">
      <c r="B193" s="86">
        <f t="shared" si="0"/>
        <v>2070</v>
      </c>
      <c r="C193" s="136">
        <f>[7]С2.5!$BC$11</f>
        <v>0</v>
      </c>
    </row>
    <row r="194" spans="2:3" hidden="1">
      <c r="B194" s="86">
        <f t="shared" si="0"/>
        <v>2071</v>
      </c>
      <c r="C194" s="136">
        <f>[7]С2.5!$BD$11</f>
        <v>0</v>
      </c>
    </row>
    <row r="195" spans="2:3" hidden="1">
      <c r="B195" s="86">
        <f t="shared" si="0"/>
        <v>2072</v>
      </c>
      <c r="C195" s="136">
        <f>[7]С2.5!$BE$11</f>
        <v>0</v>
      </c>
    </row>
    <row r="196" spans="2:3" hidden="1">
      <c r="B196" s="86">
        <f t="shared" si="0"/>
        <v>2073</v>
      </c>
      <c r="C196" s="136">
        <f>[7]С2.5!$BF$11</f>
        <v>0</v>
      </c>
    </row>
    <row r="197" spans="2:3" hidden="1">
      <c r="B197" s="86">
        <f t="shared" si="0"/>
        <v>2074</v>
      </c>
      <c r="C197" s="136">
        <f>[7]С2.5!$BG$11</f>
        <v>0</v>
      </c>
    </row>
    <row r="198" spans="2:3" hidden="1">
      <c r="B198" s="86">
        <f t="shared" si="0"/>
        <v>2075</v>
      </c>
      <c r="C198" s="136">
        <f>[7]С2.5!$BH$11</f>
        <v>0</v>
      </c>
    </row>
    <row r="199" spans="2:3" hidden="1">
      <c r="B199" s="86">
        <f t="shared" si="0"/>
        <v>2076</v>
      </c>
      <c r="C199" s="136">
        <f>[7]С2.5!$BI$11</f>
        <v>0</v>
      </c>
    </row>
    <row r="200" spans="2:3" hidden="1">
      <c r="B200" s="86">
        <f t="shared" si="0"/>
        <v>2077</v>
      </c>
      <c r="C200" s="136">
        <f>[7]С2.5!$BJ$11</f>
        <v>0</v>
      </c>
    </row>
    <row r="201" spans="2:3" hidden="1">
      <c r="B201" s="86">
        <f t="shared" si="0"/>
        <v>2078</v>
      </c>
      <c r="C201" s="136">
        <f>[7]С2.5!$BK$11</f>
        <v>0</v>
      </c>
    </row>
    <row r="202" spans="2:3" hidden="1">
      <c r="B202" s="86">
        <f t="shared" si="0"/>
        <v>2079</v>
      </c>
      <c r="C202" s="136">
        <f>[7]С2.5!$BL$11</f>
        <v>0</v>
      </c>
    </row>
    <row r="203" spans="2:3" hidden="1">
      <c r="B203" s="86">
        <f t="shared" si="0"/>
        <v>2080</v>
      </c>
      <c r="C203" s="136">
        <f>[7]С2.5!$BM$11</f>
        <v>0</v>
      </c>
    </row>
    <row r="204" spans="2:3" hidden="1">
      <c r="B204" s="86">
        <f t="shared" si="0"/>
        <v>2081</v>
      </c>
      <c r="C204" s="136">
        <f>[7]С2.5!$BN$11</f>
        <v>0</v>
      </c>
    </row>
    <row r="205" spans="2:3" hidden="1">
      <c r="B205" s="86">
        <f t="shared" si="0"/>
        <v>2082</v>
      </c>
      <c r="C205" s="136">
        <f>[7]С2.5!$BO$11</f>
        <v>0</v>
      </c>
    </row>
    <row r="206" spans="2:3" hidden="1">
      <c r="B206" s="86">
        <f t="shared" si="0"/>
        <v>2083</v>
      </c>
      <c r="C206" s="136">
        <f>[7]С2.5!$BP$11</f>
        <v>0</v>
      </c>
    </row>
    <row r="207" spans="2:3" hidden="1">
      <c r="B207" s="86">
        <f t="shared" si="0"/>
        <v>2084</v>
      </c>
      <c r="C207" s="136">
        <f>[7]С2.5!$BQ$11</f>
        <v>0</v>
      </c>
    </row>
    <row r="208" spans="2:3" hidden="1">
      <c r="B208" s="86">
        <f t="shared" si="0"/>
        <v>2085</v>
      </c>
      <c r="C208" s="136">
        <f>[7]С2.5!$BR$11</f>
        <v>0</v>
      </c>
    </row>
    <row r="209" spans="2:3" hidden="1">
      <c r="B209" s="86">
        <f t="shared" ref="B209:B223" si="1">B208+1</f>
        <v>2086</v>
      </c>
      <c r="C209" s="136">
        <f>[7]С2.5!$BS$11</f>
        <v>0</v>
      </c>
    </row>
    <row r="210" spans="2:3" hidden="1">
      <c r="B210" s="86">
        <f t="shared" si="1"/>
        <v>2087</v>
      </c>
      <c r="C210" s="136">
        <f>[7]С2.5!$BT$11</f>
        <v>0</v>
      </c>
    </row>
    <row r="211" spans="2:3" hidden="1">
      <c r="B211" s="86">
        <f t="shared" si="1"/>
        <v>2088</v>
      </c>
      <c r="C211" s="136">
        <f>[7]С2.5!$BU$11</f>
        <v>0</v>
      </c>
    </row>
    <row r="212" spans="2:3" hidden="1">
      <c r="B212" s="86">
        <f t="shared" si="1"/>
        <v>2089</v>
      </c>
      <c r="C212" s="136">
        <f>[7]С2.5!$BV$11</f>
        <v>0</v>
      </c>
    </row>
    <row r="213" spans="2:3" hidden="1">
      <c r="B213" s="86">
        <f t="shared" si="1"/>
        <v>2090</v>
      </c>
      <c r="C213" s="136">
        <f>[7]С2.5!$BW$11</f>
        <v>0</v>
      </c>
    </row>
    <row r="214" spans="2:3" hidden="1">
      <c r="B214" s="86">
        <f t="shared" si="1"/>
        <v>2091</v>
      </c>
      <c r="C214" s="136">
        <f>[7]С2.5!$BX$11</f>
        <v>0</v>
      </c>
    </row>
    <row r="215" spans="2:3" hidden="1">
      <c r="B215" s="86">
        <f t="shared" si="1"/>
        <v>2092</v>
      </c>
      <c r="C215" s="136">
        <f>[7]С2.5!$BY$11</f>
        <v>0</v>
      </c>
    </row>
    <row r="216" spans="2:3" hidden="1">
      <c r="B216" s="86">
        <f t="shared" si="1"/>
        <v>2093</v>
      </c>
      <c r="C216" s="136">
        <f>[7]С2.5!$BZ$11</f>
        <v>0</v>
      </c>
    </row>
    <row r="217" spans="2:3" hidden="1">
      <c r="B217" s="86">
        <f t="shared" si="1"/>
        <v>2094</v>
      </c>
      <c r="C217" s="136">
        <f>[7]С2.5!$CA$11</f>
        <v>0</v>
      </c>
    </row>
    <row r="218" spans="2:3" hidden="1">
      <c r="B218" s="86">
        <f t="shared" si="1"/>
        <v>2095</v>
      </c>
      <c r="C218" s="136">
        <f>[7]С2.5!$CB$11</f>
        <v>0</v>
      </c>
    </row>
    <row r="219" spans="2:3" hidden="1">
      <c r="B219" s="86">
        <f t="shared" si="1"/>
        <v>2096</v>
      </c>
      <c r="C219" s="136">
        <f>[7]С2.5!$CC$11</f>
        <v>0</v>
      </c>
    </row>
    <row r="220" spans="2:3" hidden="1">
      <c r="B220" s="86">
        <f t="shared" si="1"/>
        <v>2097</v>
      </c>
      <c r="C220" s="136">
        <f>[7]С2.5!$CD$11</f>
        <v>0</v>
      </c>
    </row>
    <row r="221" spans="2:3" hidden="1">
      <c r="B221" s="86">
        <f t="shared" si="1"/>
        <v>2098</v>
      </c>
      <c r="C221" s="136">
        <f>[7]С2.5!$CE$11</f>
        <v>0</v>
      </c>
    </row>
    <row r="222" spans="2:3" hidden="1">
      <c r="B222" s="86">
        <f t="shared" si="1"/>
        <v>2099</v>
      </c>
      <c r="C222" s="136">
        <f>[7]С2.5!$CF$11</f>
        <v>0</v>
      </c>
    </row>
    <row r="223" spans="2:3" ht="13.5" hidden="1" thickBot="1">
      <c r="B223" s="87">
        <f t="shared" si="1"/>
        <v>2100</v>
      </c>
      <c r="C223" s="137">
        <f>[7]С2.5!$CG$11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3793"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F20" sqref="F20"/>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[8]И1!D13</f>
        <v>Субъект Российской Федерации</v>
      </c>
      <c r="C4" s="8" t="str">
        <f>[8]И1!E13</f>
        <v>Новосибирская область</v>
      </c>
    </row>
    <row r="5" spans="1:3" ht="38.25">
      <c r="A5" s="6"/>
      <c r="B5" s="7" t="str">
        <f>[8]И1!D14</f>
        <v>Тип муниципального образования (выберите из списка)</v>
      </c>
      <c r="C5" s="8" t="str">
        <f>[8]И1!E14</f>
        <v>село Песчаное Озеро, Чановский муниципальный район</v>
      </c>
    </row>
    <row r="6" spans="1:3">
      <c r="A6" s="6"/>
      <c r="B6" s="7" t="str">
        <f>IF([8]И1!E15="","",[8]И1!D15)</f>
        <v/>
      </c>
      <c r="C6" s="8" t="str">
        <f>IF([8]И1!E15="","",[8]И1!E15)</f>
        <v/>
      </c>
    </row>
    <row r="7" spans="1:3">
      <c r="A7" s="6"/>
      <c r="B7" s="7" t="str">
        <f>[8]И1!D16</f>
        <v>Код ОКТМО</v>
      </c>
      <c r="C7" s="9" t="str">
        <f>[8]И1!E16</f>
        <v>50656410101</v>
      </c>
    </row>
    <row r="8" spans="1:3">
      <c r="A8" s="6"/>
      <c r="B8" s="10" t="str">
        <f>[8]И1!D17</f>
        <v>Система теплоснабжения</v>
      </c>
      <c r="C8" s="11">
        <f>[8]И1!E17</f>
        <v>0</v>
      </c>
    </row>
    <row r="9" spans="1:3">
      <c r="A9" s="6"/>
      <c r="B9" s="7" t="str">
        <f>[8]И1!D8</f>
        <v>Период регулирования (i)-й</v>
      </c>
      <c r="C9" s="12">
        <f>[8]И1!E8</f>
        <v>2023</v>
      </c>
    </row>
    <row r="10" spans="1:3">
      <c r="A10" s="6"/>
      <c r="B10" s="7" t="str">
        <f>[8]И1!D9</f>
        <v>Период регулирования (i-1)-й</v>
      </c>
      <c r="C10" s="12">
        <f>[8]И1!E9</f>
        <v>2022</v>
      </c>
    </row>
    <row r="11" spans="1:3">
      <c r="A11" s="6"/>
      <c r="B11" s="7" t="str">
        <f>[8]И1!D10</f>
        <v>Период регулирования (i-2)-й</v>
      </c>
      <c r="C11" s="12">
        <f>[8]И1!E10</f>
        <v>2021</v>
      </c>
    </row>
    <row r="12" spans="1:3">
      <c r="A12" s="6"/>
      <c r="B12" s="7" t="str">
        <f>[8]И1!D11</f>
        <v>Базовый год (б)</v>
      </c>
      <c r="C12" s="12">
        <f>[8]И1!E11</f>
        <v>2019</v>
      </c>
    </row>
    <row r="13" spans="1:3" ht="38.25">
      <c r="A13" s="6"/>
      <c r="B13" s="7" t="str">
        <f>[8]И1!D18</f>
        <v>Вид топлива, использование которого преобладает в системе теплоснабжения</v>
      </c>
      <c r="C13" s="13" t="str">
        <f>[8]С1.1!E13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4110.4869968755547</v>
      </c>
    </row>
    <row r="18" spans="1:3" ht="42.75">
      <c r="A18" s="16" t="s">
        <v>7</v>
      </c>
      <c r="B18" s="19" t="s">
        <v>8</v>
      </c>
      <c r="C18" s="20">
        <f>[8]С1!F12</f>
        <v>1006.0126910079939</v>
      </c>
    </row>
    <row r="19" spans="1:3" ht="42.75">
      <c r="A19" s="16" t="s">
        <v>9</v>
      </c>
      <c r="B19" s="19" t="s">
        <v>10</v>
      </c>
      <c r="C19" s="20">
        <f>[8]С2!F12</f>
        <v>2104.1852054273977</v>
      </c>
    </row>
    <row r="20" spans="1:3" ht="30">
      <c r="A20" s="16" t="s">
        <v>11</v>
      </c>
      <c r="B20" s="19" t="s">
        <v>12</v>
      </c>
      <c r="C20" s="20">
        <f>[8]С3!F12</f>
        <v>503.33593794803642</v>
      </c>
    </row>
    <row r="21" spans="1:3" ht="42.75">
      <c r="A21" s="16" t="s">
        <v>13</v>
      </c>
      <c r="B21" s="19" t="s">
        <v>226</v>
      </c>
      <c r="C21" s="20">
        <f>[8]С4!F12</f>
        <v>416.35537823966428</v>
      </c>
    </row>
    <row r="22" spans="1:3" ht="30">
      <c r="A22" s="16" t="s">
        <v>14</v>
      </c>
      <c r="B22" s="19" t="s">
        <v>227</v>
      </c>
      <c r="C22" s="20">
        <f>[8]С5!F12</f>
        <v>80.59778425246185</v>
      </c>
    </row>
    <row r="23" spans="1:3" ht="43.5" thickBot="1">
      <c r="A23" s="21" t="s">
        <v>15</v>
      </c>
      <c r="B23" s="111" t="s">
        <v>228</v>
      </c>
      <c r="C23" s="22" t="str">
        <f>[8]С6!F12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[8]С1.1!E16</f>
        <v>5100</v>
      </c>
    </row>
    <row r="29" spans="1:3" ht="42.75">
      <c r="A29" s="16" t="s">
        <v>9</v>
      </c>
      <c r="B29" s="27" t="s">
        <v>230</v>
      </c>
      <c r="C29" s="28">
        <f>[8]С1.1!E27</f>
        <v>2705</v>
      </c>
    </row>
    <row r="30" spans="1:3" ht="17.25">
      <c r="A30" s="16" t="s">
        <v>11</v>
      </c>
      <c r="B30" s="27" t="s">
        <v>17</v>
      </c>
      <c r="C30" s="29">
        <f>[8]С1.1!E19</f>
        <v>0.59499999999999997</v>
      </c>
    </row>
    <row r="31" spans="1:3" ht="17.25">
      <c r="A31" s="16" t="s">
        <v>13</v>
      </c>
      <c r="B31" s="27" t="s">
        <v>18</v>
      </c>
      <c r="C31" s="29">
        <f>[8]С1.1!E20</f>
        <v>-0.113</v>
      </c>
    </row>
    <row r="32" spans="1:3" ht="30">
      <c r="A32" s="16" t="s">
        <v>14</v>
      </c>
      <c r="B32" s="30" t="s">
        <v>231</v>
      </c>
      <c r="C32" s="118">
        <f>[8]С1!F13</f>
        <v>176.4</v>
      </c>
    </row>
    <row r="33" spans="1:3">
      <c r="A33" s="16" t="s">
        <v>15</v>
      </c>
      <c r="B33" s="30" t="s">
        <v>19</v>
      </c>
      <c r="C33" s="31">
        <f>[8]С1!F16</f>
        <v>7000</v>
      </c>
    </row>
    <row r="34" spans="1:3" ht="14.25">
      <c r="A34" s="16" t="s">
        <v>20</v>
      </c>
      <c r="B34" s="32" t="s">
        <v>232</v>
      </c>
      <c r="C34" s="33">
        <f>[8]С1!F17</f>
        <v>0.72857142857142854</v>
      </c>
    </row>
    <row r="35" spans="1:3" ht="15.75">
      <c r="A35" s="119" t="s">
        <v>21</v>
      </c>
      <c r="B35" s="34" t="s">
        <v>22</v>
      </c>
      <c r="C35" s="33">
        <f>[8]С1!F20</f>
        <v>21.588411179999994</v>
      </c>
    </row>
    <row r="36" spans="1:3" ht="15.75">
      <c r="A36" s="119" t="s">
        <v>23</v>
      </c>
      <c r="B36" s="35" t="s">
        <v>24</v>
      </c>
      <c r="C36" s="33">
        <f>[8]С1!F21</f>
        <v>20.818139999999996</v>
      </c>
    </row>
    <row r="37" spans="1:3" ht="14.25">
      <c r="A37" s="119" t="s">
        <v>25</v>
      </c>
      <c r="B37" s="36" t="s">
        <v>26</v>
      </c>
      <c r="C37" s="33">
        <f>[8]С1!F22</f>
        <v>1.0369999999999999</v>
      </c>
    </row>
    <row r="38" spans="1:3" ht="53.25" thickBot="1">
      <c r="A38" s="21" t="s">
        <v>27</v>
      </c>
      <c r="B38" s="37" t="s">
        <v>28</v>
      </c>
      <c r="C38" s="38">
        <f>[8]С1!F23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[8]С2.1!E12</f>
        <v>V</v>
      </c>
    </row>
    <row r="42" spans="1:3" ht="25.5">
      <c r="A42" s="16" t="s">
        <v>33</v>
      </c>
      <c r="B42" s="27" t="s">
        <v>34</v>
      </c>
      <c r="C42" s="41" t="str">
        <f>[8]С2.1!E13</f>
        <v>6 и менее баллов</v>
      </c>
    </row>
    <row r="43" spans="1:3" ht="25.5">
      <c r="A43" s="16" t="s">
        <v>35</v>
      </c>
      <c r="B43" s="27" t="s">
        <v>233</v>
      </c>
      <c r="C43" s="41" t="str">
        <f>[8]С2.1!E14</f>
        <v>от 200 до 500</v>
      </c>
    </row>
    <row r="44" spans="1:3" ht="25.5">
      <c r="A44" s="16" t="s">
        <v>36</v>
      </c>
      <c r="B44" s="27" t="s">
        <v>234</v>
      </c>
      <c r="C44" s="42" t="str">
        <f>[8]С2.1!E15</f>
        <v>нет</v>
      </c>
    </row>
    <row r="45" spans="1:3" ht="30">
      <c r="A45" s="16" t="s">
        <v>37</v>
      </c>
      <c r="B45" s="27" t="s">
        <v>38</v>
      </c>
      <c r="C45" s="28">
        <f>[8]С2!F18</f>
        <v>32402.627334033532</v>
      </c>
    </row>
    <row r="46" spans="1:3" ht="30">
      <c r="A46" s="16" t="s">
        <v>39</v>
      </c>
      <c r="B46" s="43" t="s">
        <v>40</v>
      </c>
      <c r="C46" s="28">
        <f>IF([8]С2!F19&gt;0,[8]С2!F19,[8]С2!F20)</f>
        <v>23441.524932855718</v>
      </c>
    </row>
    <row r="47" spans="1:3" ht="25.5">
      <c r="A47" s="16" t="s">
        <v>41</v>
      </c>
      <c r="B47" s="44" t="s">
        <v>42</v>
      </c>
      <c r="C47" s="28">
        <f>[8]С2.1!E19</f>
        <v>-38</v>
      </c>
    </row>
    <row r="48" spans="1:3" ht="25.5">
      <c r="A48" s="16" t="s">
        <v>43</v>
      </c>
      <c r="B48" s="44" t="s">
        <v>44</v>
      </c>
      <c r="C48" s="28" t="str">
        <f>[8]С2.1!E22</f>
        <v>нет</v>
      </c>
    </row>
    <row r="49" spans="1:3" ht="38.25">
      <c r="A49" s="16" t="s">
        <v>45</v>
      </c>
      <c r="B49" s="45" t="s">
        <v>46</v>
      </c>
      <c r="C49" s="28">
        <f>[8]С2.2!E10</f>
        <v>1287</v>
      </c>
    </row>
    <row r="50" spans="1:3" ht="25.5">
      <c r="A50" s="16" t="s">
        <v>47</v>
      </c>
      <c r="B50" s="46" t="s">
        <v>48</v>
      </c>
      <c r="C50" s="28">
        <f>[8]С2.2!E12</f>
        <v>5.97</v>
      </c>
    </row>
    <row r="51" spans="1:3" ht="52.5">
      <c r="A51" s="16" t="s">
        <v>49</v>
      </c>
      <c r="B51" s="47" t="s">
        <v>50</v>
      </c>
      <c r="C51" s="28">
        <f>[8]С2.2!E13</f>
        <v>1</v>
      </c>
    </row>
    <row r="52" spans="1:3" ht="27.75">
      <c r="A52" s="16" t="s">
        <v>51</v>
      </c>
      <c r="B52" s="46" t="s">
        <v>52</v>
      </c>
      <c r="C52" s="28">
        <f>[8]С2.2!E14</f>
        <v>12104</v>
      </c>
    </row>
    <row r="53" spans="1:3" ht="25.5">
      <c r="A53" s="16" t="s">
        <v>53</v>
      </c>
      <c r="B53" s="47" t="s">
        <v>54</v>
      </c>
      <c r="C53" s="29">
        <f>[8]С2.2!E15</f>
        <v>4.8000000000000001E-2</v>
      </c>
    </row>
    <row r="54" spans="1:3">
      <c r="A54" s="16" t="s">
        <v>55</v>
      </c>
      <c r="B54" s="47" t="s">
        <v>56</v>
      </c>
      <c r="C54" s="28">
        <f>[8]С2.2!E16</f>
        <v>1</v>
      </c>
    </row>
    <row r="55" spans="1:3" ht="15.75">
      <c r="A55" s="16" t="s">
        <v>57</v>
      </c>
      <c r="B55" s="48" t="s">
        <v>58</v>
      </c>
      <c r="C55" s="28">
        <f>[8]С2!F21</f>
        <v>1</v>
      </c>
    </row>
    <row r="56" spans="1:3" ht="30">
      <c r="A56" s="49" t="s">
        <v>59</v>
      </c>
      <c r="B56" s="27" t="s">
        <v>235</v>
      </c>
      <c r="C56" s="28">
        <f>[8]С2!F13</f>
        <v>169640.22915965237</v>
      </c>
    </row>
    <row r="57" spans="1:3" ht="30">
      <c r="A57" s="49" t="s">
        <v>60</v>
      </c>
      <c r="B57" s="48" t="s">
        <v>236</v>
      </c>
      <c r="C57" s="28">
        <f>[8]С2!F14</f>
        <v>113455</v>
      </c>
    </row>
    <row r="58" spans="1:3" ht="15.75">
      <c r="A58" s="49" t="s">
        <v>61</v>
      </c>
      <c r="B58" s="50" t="s">
        <v>62</v>
      </c>
      <c r="C58" s="33">
        <f>[8]С2!F15</f>
        <v>1.071</v>
      </c>
    </row>
    <row r="59" spans="1:3" ht="15.75">
      <c r="A59" s="49" t="s">
        <v>63</v>
      </c>
      <c r="B59" s="50" t="s">
        <v>64</v>
      </c>
      <c r="C59" s="33">
        <f>[8]С2!F16</f>
        <v>1</v>
      </c>
    </row>
    <row r="60" spans="1:3" ht="17.25">
      <c r="A60" s="49" t="s">
        <v>65</v>
      </c>
      <c r="B60" s="48" t="s">
        <v>66</v>
      </c>
      <c r="C60" s="28">
        <f>[8]С2!F17</f>
        <v>1.01</v>
      </c>
    </row>
    <row r="61" spans="1:3" s="53" customFormat="1" ht="14.25">
      <c r="A61" s="49" t="s">
        <v>67</v>
      </c>
      <c r="B61" s="51" t="s">
        <v>68</v>
      </c>
      <c r="C61" s="52">
        <f>[8]С2!F33</f>
        <v>10</v>
      </c>
    </row>
    <row r="62" spans="1:3" ht="30">
      <c r="A62" s="49" t="s">
        <v>69</v>
      </c>
      <c r="B62" s="54" t="s">
        <v>70</v>
      </c>
      <c r="C62" s="28">
        <f>[8]С2!F26</f>
        <v>911.22846603392293</v>
      </c>
    </row>
    <row r="63" spans="1:3" ht="17.25">
      <c r="A63" s="49" t="s">
        <v>71</v>
      </c>
      <c r="B63" s="43" t="s">
        <v>237</v>
      </c>
      <c r="C63" s="28">
        <f>[8]С2!F27</f>
        <v>0.15695805999999998</v>
      </c>
    </row>
    <row r="64" spans="1:3" ht="17.25">
      <c r="A64" s="49" t="s">
        <v>72</v>
      </c>
      <c r="B64" s="48" t="s">
        <v>238</v>
      </c>
      <c r="C64" s="52">
        <f>[8]С2!F28</f>
        <v>4200</v>
      </c>
    </row>
    <row r="65" spans="1:3" ht="42.75">
      <c r="A65" s="49" t="s">
        <v>73</v>
      </c>
      <c r="B65" s="27" t="s">
        <v>239</v>
      </c>
      <c r="C65" s="28">
        <f>[8]С2!F22</f>
        <v>35717.748653137714</v>
      </c>
    </row>
    <row r="66" spans="1:3" ht="30">
      <c r="A66" s="49" t="s">
        <v>74</v>
      </c>
      <c r="B66" s="50" t="s">
        <v>240</v>
      </c>
      <c r="C66" s="28">
        <f>[8]С2!F23</f>
        <v>1990</v>
      </c>
    </row>
    <row r="67" spans="1:3" ht="30">
      <c r="A67" s="49" t="s">
        <v>75</v>
      </c>
      <c r="B67" s="43" t="s">
        <v>76</v>
      </c>
      <c r="C67" s="28">
        <f>[8]С2.1!E27</f>
        <v>14307.876789999998</v>
      </c>
    </row>
    <row r="68" spans="1:3" ht="38.25">
      <c r="A68" s="49" t="s">
        <v>77</v>
      </c>
      <c r="B68" s="55" t="s">
        <v>78</v>
      </c>
      <c r="C68" s="42">
        <f>[8]С2.3!E21</f>
        <v>0</v>
      </c>
    </row>
    <row r="69" spans="1:3" ht="25.5">
      <c r="A69" s="49" t="s">
        <v>79</v>
      </c>
      <c r="B69" s="56" t="s">
        <v>80</v>
      </c>
      <c r="C69" s="57">
        <f>[8]С2.3!E11</f>
        <v>9.89</v>
      </c>
    </row>
    <row r="70" spans="1:3" ht="25.5">
      <c r="A70" s="49" t="s">
        <v>81</v>
      </c>
      <c r="B70" s="56" t="s">
        <v>82</v>
      </c>
      <c r="C70" s="52">
        <f>[8]С2.3!E13</f>
        <v>300</v>
      </c>
    </row>
    <row r="71" spans="1:3" ht="25.5">
      <c r="A71" s="49" t="s">
        <v>83</v>
      </c>
      <c r="B71" s="55" t="s">
        <v>84</v>
      </c>
      <c r="C71" s="58">
        <f>IF([8]С2.3!E22&gt;0,[8]С2.3!E22,[8]С2.3!E14)</f>
        <v>61211</v>
      </c>
    </row>
    <row r="72" spans="1:3" ht="38.25">
      <c r="A72" s="49" t="s">
        <v>85</v>
      </c>
      <c r="B72" s="55" t="s">
        <v>86</v>
      </c>
      <c r="C72" s="58">
        <f>IF([8]С2.3!E23&gt;0,[8]С2.3!E23,[8]С2.3!E15)</f>
        <v>45675</v>
      </c>
    </row>
    <row r="73" spans="1:3" ht="30">
      <c r="A73" s="49" t="s">
        <v>87</v>
      </c>
      <c r="B73" s="43" t="s">
        <v>88</v>
      </c>
      <c r="C73" s="28">
        <f>[8]С2.1!E28</f>
        <v>9541.9567200000001</v>
      </c>
    </row>
    <row r="74" spans="1:3" ht="38.25">
      <c r="A74" s="49" t="s">
        <v>89</v>
      </c>
      <c r="B74" s="55" t="s">
        <v>90</v>
      </c>
      <c r="C74" s="42">
        <f>[8]С2.3!E25</f>
        <v>0</v>
      </c>
    </row>
    <row r="75" spans="1:3" ht="25.5">
      <c r="A75" s="49" t="s">
        <v>91</v>
      </c>
      <c r="B75" s="56" t="s">
        <v>92</v>
      </c>
      <c r="C75" s="57">
        <f>[8]С2.3!E12</f>
        <v>0.56000000000000005</v>
      </c>
    </row>
    <row r="76" spans="1:3" ht="25.5">
      <c r="A76" s="49" t="s">
        <v>93</v>
      </c>
      <c r="B76" s="56" t="s">
        <v>82</v>
      </c>
      <c r="C76" s="52">
        <f>[8]С2.3!E13</f>
        <v>300</v>
      </c>
    </row>
    <row r="77" spans="1:3" ht="25.5">
      <c r="A77" s="49" t="s">
        <v>94</v>
      </c>
      <c r="B77" s="59" t="s">
        <v>95</v>
      </c>
      <c r="C77" s="58">
        <f>IF([8]С2.3!E26&gt;0,[8]С2.3!E26,[8]С2.3!E16)</f>
        <v>65637</v>
      </c>
    </row>
    <row r="78" spans="1:3" ht="38.25">
      <c r="A78" s="49" t="s">
        <v>96</v>
      </c>
      <c r="B78" s="59" t="s">
        <v>97</v>
      </c>
      <c r="C78" s="58">
        <f>IF([8]С2.3!E27&gt;0,[8]С2.3!E27,[8]С2.3!E17)</f>
        <v>31684</v>
      </c>
    </row>
    <row r="79" spans="1:3" ht="17.25">
      <c r="A79" s="49" t="s">
        <v>98</v>
      </c>
      <c r="B79" s="27" t="s">
        <v>99</v>
      </c>
      <c r="C79" s="29">
        <f>[8]С2!F29</f>
        <v>0.128978033685065</v>
      </c>
    </row>
    <row r="80" spans="1:3" ht="30">
      <c r="A80" s="49" t="s">
        <v>100</v>
      </c>
      <c r="B80" s="43" t="s">
        <v>101</v>
      </c>
      <c r="C80" s="60">
        <f>[8]С2!F30</f>
        <v>0.11668498168498169</v>
      </c>
    </row>
    <row r="81" spans="1:3" ht="17.25">
      <c r="A81" s="49" t="s">
        <v>102</v>
      </c>
      <c r="B81" s="61" t="s">
        <v>103</v>
      </c>
      <c r="C81" s="29">
        <f>[8]С2!F31</f>
        <v>0.13880000000000001</v>
      </c>
    </row>
    <row r="82" spans="1:3" s="53" customFormat="1" ht="18" thickBot="1">
      <c r="A82" s="62" t="s">
        <v>104</v>
      </c>
      <c r="B82" s="63" t="s">
        <v>105</v>
      </c>
      <c r="C82" s="64">
        <f>[8]С2!F32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[8]С3!F14</f>
        <v>6988.6287956820188</v>
      </c>
    </row>
    <row r="86" spans="1:3" s="53" customFormat="1" ht="42.75">
      <c r="A86" s="67" t="s">
        <v>110</v>
      </c>
      <c r="B86" s="43" t="s">
        <v>111</v>
      </c>
      <c r="C86" s="68">
        <f>[8]С3!F15</f>
        <v>0.2</v>
      </c>
    </row>
    <row r="87" spans="1:3" s="53" customFormat="1" ht="14.25">
      <c r="A87" s="67" t="s">
        <v>112</v>
      </c>
      <c r="B87" s="69" t="s">
        <v>113</v>
      </c>
      <c r="C87" s="52">
        <f>[8]С3!F18</f>
        <v>15</v>
      </c>
    </row>
    <row r="88" spans="1:3" s="53" customFormat="1" ht="17.25">
      <c r="A88" s="67" t="s">
        <v>114</v>
      </c>
      <c r="B88" s="27" t="s">
        <v>115</v>
      </c>
      <c r="C88" s="28">
        <f>[8]С3!F19</f>
        <v>3487.1555421534131</v>
      </c>
    </row>
    <row r="89" spans="1:3" s="53" customFormat="1" ht="55.5">
      <c r="A89" s="67" t="s">
        <v>116</v>
      </c>
      <c r="B89" s="43" t="s">
        <v>117</v>
      </c>
      <c r="C89" s="70">
        <f>[8]С3!F20</f>
        <v>2.1999999999999999E-2</v>
      </c>
    </row>
    <row r="90" spans="1:3" s="53" customFormat="1" ht="14.25">
      <c r="A90" s="67" t="s">
        <v>118</v>
      </c>
      <c r="B90" s="48" t="s">
        <v>68</v>
      </c>
      <c r="C90" s="52">
        <f>[8]С3!F21</f>
        <v>10</v>
      </c>
    </row>
    <row r="91" spans="1:3" s="53" customFormat="1" ht="17.25">
      <c r="A91" s="67" t="s">
        <v>119</v>
      </c>
      <c r="B91" s="27" t="s">
        <v>120</v>
      </c>
      <c r="C91" s="28">
        <f>[8]С3!F22</f>
        <v>2.7336853981017688</v>
      </c>
    </row>
    <row r="92" spans="1:3" s="53" customFormat="1" ht="55.5">
      <c r="A92" s="67" t="s">
        <v>121</v>
      </c>
      <c r="B92" s="43" t="s">
        <v>122</v>
      </c>
      <c r="C92" s="70">
        <f>[8]С3!F23</f>
        <v>3.0000000000000001E-3</v>
      </c>
    </row>
    <row r="93" spans="1:3" s="53" customFormat="1" ht="27.75" thickBot="1">
      <c r="A93" s="71" t="s">
        <v>123</v>
      </c>
      <c r="B93" s="72" t="s">
        <v>241</v>
      </c>
      <c r="C93" s="73">
        <f>[8]С3!F24</f>
        <v>911.22846603392293</v>
      </c>
    </row>
    <row r="94" spans="1:3" ht="13.5" thickBot="1">
      <c r="A94" s="39"/>
      <c r="B94" s="65"/>
      <c r="C94" s="13"/>
    </row>
    <row r="95" spans="1:3" ht="30" customHeight="1">
      <c r="A95" s="74" t="s">
        <v>124</v>
      </c>
      <c r="B95" s="141" t="s">
        <v>125</v>
      </c>
      <c r="C95" s="141"/>
    </row>
    <row r="96" spans="1:3" ht="30">
      <c r="A96" s="49" t="s">
        <v>126</v>
      </c>
      <c r="B96" s="27" t="s">
        <v>242</v>
      </c>
      <c r="C96" s="28">
        <f>[8]С4!F16</f>
        <v>1652.5</v>
      </c>
    </row>
    <row r="97" spans="1:3" ht="30">
      <c r="A97" s="49" t="s">
        <v>127</v>
      </c>
      <c r="B97" s="48" t="s">
        <v>243</v>
      </c>
      <c r="C97" s="28">
        <f>[8]С4!F17</f>
        <v>73547</v>
      </c>
    </row>
    <row r="98" spans="1:3" ht="17.25">
      <c r="A98" s="49" t="s">
        <v>128</v>
      </c>
      <c r="B98" s="48" t="s">
        <v>129</v>
      </c>
      <c r="C98" s="33">
        <f>[8]С4!F18</f>
        <v>0.02</v>
      </c>
    </row>
    <row r="99" spans="1:3" ht="30">
      <c r="A99" s="49" t="s">
        <v>130</v>
      </c>
      <c r="B99" s="48" t="s">
        <v>131</v>
      </c>
      <c r="C99" s="28">
        <f>[8]С4!F19</f>
        <v>12104</v>
      </c>
    </row>
    <row r="100" spans="1:3" ht="31.5">
      <c r="A100" s="49" t="s">
        <v>132</v>
      </c>
      <c r="B100" s="48" t="s">
        <v>133</v>
      </c>
      <c r="C100" s="33">
        <f>[8]С4!F20</f>
        <v>1.4999999999999999E-2</v>
      </c>
    </row>
    <row r="101" spans="1:3" ht="30">
      <c r="A101" s="49" t="s">
        <v>134</v>
      </c>
      <c r="B101" s="27" t="s">
        <v>244</v>
      </c>
      <c r="C101" s="28">
        <f>[8]С4!F21</f>
        <v>1933.1949342509995</v>
      </c>
    </row>
    <row r="102" spans="1:3" ht="24" customHeight="1">
      <c r="A102" s="49" t="s">
        <v>135</v>
      </c>
      <c r="B102" s="43" t="s">
        <v>136</v>
      </c>
      <c r="C102" s="75">
        <f>IF([8]С4.2!F8="да",[8]С4.2!D21,[8]С4.2!D15)</f>
        <v>0</v>
      </c>
    </row>
    <row r="103" spans="1:3" ht="68.25">
      <c r="A103" s="49" t="s">
        <v>137</v>
      </c>
      <c r="B103" s="43" t="s">
        <v>138</v>
      </c>
      <c r="C103" s="28">
        <f>[8]С4!F22</f>
        <v>3.6112641666666665</v>
      </c>
    </row>
    <row r="104" spans="1:3" ht="30">
      <c r="A104" s="49" t="s">
        <v>139</v>
      </c>
      <c r="B104" s="48" t="s">
        <v>245</v>
      </c>
      <c r="C104" s="28">
        <f>[8]С4!F23</f>
        <v>180</v>
      </c>
    </row>
    <row r="105" spans="1:3" ht="14.25">
      <c r="A105" s="49" t="s">
        <v>140</v>
      </c>
      <c r="B105" s="43" t="s">
        <v>141</v>
      </c>
      <c r="C105" s="28">
        <f>[8]С4!F24</f>
        <v>8497.1999999999989</v>
      </c>
    </row>
    <row r="106" spans="1:3" ht="14.25">
      <c r="A106" s="49" t="s">
        <v>142</v>
      </c>
      <c r="B106" s="48" t="s">
        <v>143</v>
      </c>
      <c r="C106" s="33">
        <f>[8]С4!F25</f>
        <v>0.35</v>
      </c>
    </row>
    <row r="107" spans="1:3" ht="17.25">
      <c r="A107" s="49" t="s">
        <v>144</v>
      </c>
      <c r="B107" s="27" t="s">
        <v>145</v>
      </c>
      <c r="C107" s="28">
        <f>[8]С4!F26</f>
        <v>97.025999999999996</v>
      </c>
    </row>
    <row r="108" spans="1:3" ht="25.5">
      <c r="A108" s="49" t="s">
        <v>146</v>
      </c>
      <c r="B108" s="43" t="s">
        <v>78</v>
      </c>
      <c r="C108" s="75">
        <f>[8]С4.3!E16</f>
        <v>0</v>
      </c>
    </row>
    <row r="109" spans="1:3" ht="25.5">
      <c r="A109" s="49" t="s">
        <v>147</v>
      </c>
      <c r="B109" s="43" t="s">
        <v>148</v>
      </c>
      <c r="C109" s="28">
        <f>[8]С4.3!E17</f>
        <v>25.88</v>
      </c>
    </row>
    <row r="110" spans="1:3" ht="38.25">
      <c r="A110" s="49" t="s">
        <v>149</v>
      </c>
      <c r="B110" s="43" t="s">
        <v>90</v>
      </c>
      <c r="C110" s="75">
        <f>[8]С4.3!E18</f>
        <v>0</v>
      </c>
    </row>
    <row r="111" spans="1:3">
      <c r="A111" s="49" t="s">
        <v>150</v>
      </c>
      <c r="B111" s="43" t="s">
        <v>151</v>
      </c>
      <c r="C111" s="28">
        <f>[8]С4.3!E19</f>
        <v>30.71</v>
      </c>
    </row>
    <row r="112" spans="1:3">
      <c r="A112" s="49" t="s">
        <v>152</v>
      </c>
      <c r="B112" s="48" t="s">
        <v>153</v>
      </c>
      <c r="C112" s="28">
        <f>[8]С4.3!E11</f>
        <v>1871</v>
      </c>
    </row>
    <row r="113" spans="1:3">
      <c r="A113" s="49" t="s">
        <v>154</v>
      </c>
      <c r="B113" s="48" t="s">
        <v>155</v>
      </c>
      <c r="C113" s="42">
        <f>[8]С4.3!E12</f>
        <v>1636</v>
      </c>
    </row>
    <row r="114" spans="1:3">
      <c r="A114" s="49" t="s">
        <v>156</v>
      </c>
      <c r="B114" s="48" t="s">
        <v>157</v>
      </c>
      <c r="C114" s="42">
        <f>[8]С4.3!E13</f>
        <v>204</v>
      </c>
    </row>
    <row r="115" spans="1:3" ht="30">
      <c r="A115" s="49" t="s">
        <v>158</v>
      </c>
      <c r="B115" s="27" t="s">
        <v>246</v>
      </c>
      <c r="C115" s="28">
        <f>[8]С4!F27</f>
        <v>998.55949805489831</v>
      </c>
    </row>
    <row r="116" spans="1:3" ht="25.5">
      <c r="A116" s="49" t="s">
        <v>159</v>
      </c>
      <c r="B116" s="43" t="s">
        <v>247</v>
      </c>
      <c r="C116" s="28">
        <f>[8]С4!F28</f>
        <v>766.94277884400788</v>
      </c>
    </row>
    <row r="117" spans="1:3" ht="42.75">
      <c r="A117" s="49" t="s">
        <v>160</v>
      </c>
      <c r="B117" s="43" t="s">
        <v>161</v>
      </c>
      <c r="C117" s="28">
        <f>[8]С4!F29</f>
        <v>231.61671921089041</v>
      </c>
    </row>
    <row r="118" spans="1:3" ht="30">
      <c r="A118" s="49" t="s">
        <v>162</v>
      </c>
      <c r="B118" s="32" t="s">
        <v>163</v>
      </c>
      <c r="C118" s="28">
        <f>[8]С4!F30</f>
        <v>2196.9289509260161</v>
      </c>
    </row>
    <row r="119" spans="1:3" ht="42.75">
      <c r="A119" s="49" t="s">
        <v>248</v>
      </c>
      <c r="B119" s="76" t="s">
        <v>249</v>
      </c>
      <c r="C119" s="28">
        <f>[8]С4!F33</f>
        <v>1483.072594022681</v>
      </c>
    </row>
    <row r="120" spans="1:3" ht="30">
      <c r="A120" s="49" t="s">
        <v>250</v>
      </c>
      <c r="B120" s="122" t="s">
        <v>251</v>
      </c>
      <c r="C120" s="28">
        <f>[8]С4!F35</f>
        <v>17.040680999999999</v>
      </c>
    </row>
    <row r="121" spans="1:3" ht="14.25">
      <c r="A121" s="49" t="s">
        <v>252</v>
      </c>
      <c r="B121" s="46" t="s">
        <v>253</v>
      </c>
      <c r="C121" s="28">
        <f>[8]С4!F36</f>
        <v>14319.9</v>
      </c>
    </row>
    <row r="122" spans="1:3" ht="28.5" thickBot="1">
      <c r="A122" s="62" t="s">
        <v>254</v>
      </c>
      <c r="B122" s="123" t="s">
        <v>255</v>
      </c>
      <c r="C122" s="73">
        <f>[8]С4!F37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[8]С5!F17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[8]С2!F37</f>
        <v>20.818139999999996</v>
      </c>
    </row>
    <row r="136" spans="1:4" ht="14.25">
      <c r="A136" s="49" t="s">
        <v>183</v>
      </c>
      <c r="B136" s="129" t="s">
        <v>184</v>
      </c>
      <c r="C136" s="28">
        <f>[8]С2!F38</f>
        <v>7</v>
      </c>
    </row>
    <row r="137" spans="1:4" ht="17.25">
      <c r="A137" s="49" t="s">
        <v>185</v>
      </c>
      <c r="B137" s="129" t="s">
        <v>186</v>
      </c>
      <c r="C137" s="28">
        <f>[8]С2!F40</f>
        <v>0.97</v>
      </c>
    </row>
    <row r="138" spans="1:4" ht="15" thickBot="1">
      <c r="A138" s="62" t="s">
        <v>187</v>
      </c>
      <c r="B138" s="130" t="s">
        <v>188</v>
      </c>
      <c r="C138" s="38">
        <f>[8]С2!F42</f>
        <v>0.35</v>
      </c>
    </row>
    <row r="139" spans="1:4" s="77" customFormat="1" ht="13.5" thickBot="1">
      <c r="A139" s="39"/>
      <c r="B139" s="65"/>
      <c r="C139" s="13"/>
    </row>
    <row r="140" spans="1:4" ht="30">
      <c r="A140" s="74" t="s">
        <v>189</v>
      </c>
      <c r="B140" s="84" t="s">
        <v>258</v>
      </c>
      <c r="C140" s="131">
        <f>[8]С2!F35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[8]С2.5!$E$11</f>
        <v>-2.9000000000000026E-2</v>
      </c>
      <c r="D143" s="77"/>
    </row>
    <row r="144" spans="1:4">
      <c r="A144" s="85"/>
      <c r="B144" s="86">
        <f>B143+1</f>
        <v>2021</v>
      </c>
      <c r="C144" s="136">
        <f>[8]С2.5!$F$11</f>
        <v>0.245</v>
      </c>
      <c r="D144" s="77"/>
    </row>
    <row r="145" spans="1:4">
      <c r="A145" s="85"/>
      <c r="B145" s="86">
        <f t="shared" ref="B145:B208" si="0">B144+1</f>
        <v>2022</v>
      </c>
      <c r="C145" s="136">
        <f>[8]С2.5!$G$11</f>
        <v>0.121</v>
      </c>
      <c r="D145" s="77"/>
    </row>
    <row r="146" spans="1:4" ht="13.5" thickBot="1">
      <c r="A146" s="85"/>
      <c r="B146" s="87">
        <f t="shared" si="0"/>
        <v>2023</v>
      </c>
      <c r="C146" s="137">
        <f>[8]С2.5!$H$11</f>
        <v>0.02</v>
      </c>
      <c r="D146" s="77"/>
    </row>
    <row r="147" spans="1:4" hidden="1">
      <c r="A147" s="85"/>
      <c r="B147" s="138">
        <f t="shared" si="0"/>
        <v>2024</v>
      </c>
      <c r="C147" s="139">
        <f>[8]С2.5!$I$11</f>
        <v>-2.93E-2</v>
      </c>
      <c r="D147" s="77"/>
    </row>
    <row r="148" spans="1:4" hidden="1">
      <c r="A148" s="85"/>
      <c r="B148" s="86">
        <f t="shared" si="0"/>
        <v>2025</v>
      </c>
      <c r="C148" s="136">
        <f>[8]С2.5!$J$11</f>
        <v>0.21215960863291</v>
      </c>
      <c r="D148" s="77"/>
    </row>
    <row r="149" spans="1:4" hidden="1">
      <c r="A149" s="85"/>
      <c r="B149" s="86">
        <f t="shared" si="0"/>
        <v>2026</v>
      </c>
      <c r="C149" s="136">
        <f>[8]С2.5!$K$11</f>
        <v>3.5813361771260002E-2</v>
      </c>
      <c r="D149" s="77"/>
    </row>
    <row r="150" spans="1:4" hidden="1">
      <c r="A150" s="85"/>
      <c r="B150" s="86">
        <f t="shared" si="0"/>
        <v>2027</v>
      </c>
      <c r="C150" s="136">
        <f>[8]С2.5!$L$11</f>
        <v>3.2682303599220003E-2</v>
      </c>
      <c r="D150" s="77"/>
    </row>
    <row r="151" spans="1:4" hidden="1">
      <c r="A151" s="85"/>
      <c r="B151" s="86">
        <f t="shared" si="0"/>
        <v>2028</v>
      </c>
      <c r="C151" s="136">
        <f>[8]С2.5!$M$11</f>
        <v>0</v>
      </c>
      <c r="D151" s="77"/>
    </row>
    <row r="152" spans="1:4" hidden="1">
      <c r="A152" s="85"/>
      <c r="B152" s="86">
        <f t="shared" si="0"/>
        <v>2029</v>
      </c>
      <c r="C152" s="136">
        <f>[8]С2.5!$N$11</f>
        <v>0</v>
      </c>
      <c r="D152" s="77"/>
    </row>
    <row r="153" spans="1:4" hidden="1">
      <c r="A153" s="85"/>
      <c r="B153" s="86">
        <f t="shared" si="0"/>
        <v>2030</v>
      </c>
      <c r="C153" s="136">
        <f>[8]С2.5!$O$11</f>
        <v>0</v>
      </c>
      <c r="D153" s="77"/>
    </row>
    <row r="154" spans="1:4" hidden="1">
      <c r="A154" s="85"/>
      <c r="B154" s="86">
        <f t="shared" si="0"/>
        <v>2031</v>
      </c>
      <c r="C154" s="136">
        <f>[8]С2.5!$P$11</f>
        <v>0</v>
      </c>
      <c r="D154" s="77"/>
    </row>
    <row r="155" spans="1:4" hidden="1">
      <c r="A155" s="77"/>
      <c r="B155" s="86">
        <f t="shared" si="0"/>
        <v>2032</v>
      </c>
      <c r="C155" s="136">
        <f>[8]С2.5!$Q$11</f>
        <v>0</v>
      </c>
      <c r="D155" s="77"/>
    </row>
    <row r="156" spans="1:4" hidden="1">
      <c r="A156" s="77"/>
      <c r="B156" s="86">
        <f t="shared" si="0"/>
        <v>2033</v>
      </c>
      <c r="C156" s="136">
        <f>[8]С2.5!$R$11</f>
        <v>0</v>
      </c>
      <c r="D156" s="77"/>
    </row>
    <row r="157" spans="1:4" hidden="1">
      <c r="B157" s="86">
        <f t="shared" si="0"/>
        <v>2034</v>
      </c>
      <c r="C157" s="136">
        <f>[8]С2.5!$S$11</f>
        <v>0</v>
      </c>
    </row>
    <row r="158" spans="1:4" hidden="1">
      <c r="B158" s="86">
        <f t="shared" si="0"/>
        <v>2035</v>
      </c>
      <c r="C158" s="136">
        <f>[8]С2.5!$T$11</f>
        <v>0</v>
      </c>
    </row>
    <row r="159" spans="1:4" hidden="1">
      <c r="B159" s="86">
        <f t="shared" si="0"/>
        <v>2036</v>
      </c>
      <c r="C159" s="136">
        <f>[8]С2.5!$U$11</f>
        <v>0</v>
      </c>
    </row>
    <row r="160" spans="1:4" hidden="1">
      <c r="B160" s="86">
        <f t="shared" si="0"/>
        <v>2037</v>
      </c>
      <c r="C160" s="136">
        <f>[8]С2.5!$V$11</f>
        <v>0</v>
      </c>
    </row>
    <row r="161" spans="2:3" hidden="1">
      <c r="B161" s="86">
        <f t="shared" si="0"/>
        <v>2038</v>
      </c>
      <c r="C161" s="136">
        <f>[8]С2.5!$W$11</f>
        <v>0</v>
      </c>
    </row>
    <row r="162" spans="2:3" hidden="1">
      <c r="B162" s="86">
        <f t="shared" si="0"/>
        <v>2039</v>
      </c>
      <c r="C162" s="136">
        <f>[8]С2.5!$X$11</f>
        <v>0</v>
      </c>
    </row>
    <row r="163" spans="2:3" hidden="1">
      <c r="B163" s="86">
        <f t="shared" si="0"/>
        <v>2040</v>
      </c>
      <c r="C163" s="136">
        <f>[8]С2.5!$Y$11</f>
        <v>0</v>
      </c>
    </row>
    <row r="164" spans="2:3" hidden="1">
      <c r="B164" s="86">
        <f t="shared" si="0"/>
        <v>2041</v>
      </c>
      <c r="C164" s="136">
        <f>[8]С2.5!$Z$11</f>
        <v>0</v>
      </c>
    </row>
    <row r="165" spans="2:3" hidden="1">
      <c r="B165" s="86">
        <f t="shared" si="0"/>
        <v>2042</v>
      </c>
      <c r="C165" s="136">
        <f>[8]С2.5!$AA$11</f>
        <v>0</v>
      </c>
    </row>
    <row r="166" spans="2:3" hidden="1">
      <c r="B166" s="86">
        <f t="shared" si="0"/>
        <v>2043</v>
      </c>
      <c r="C166" s="136">
        <f>[8]С2.5!$AB$11</f>
        <v>0</v>
      </c>
    </row>
    <row r="167" spans="2:3" hidden="1">
      <c r="B167" s="86">
        <f t="shared" si="0"/>
        <v>2044</v>
      </c>
      <c r="C167" s="136">
        <f>[8]С2.5!$AC$11</f>
        <v>0</v>
      </c>
    </row>
    <row r="168" spans="2:3" hidden="1">
      <c r="B168" s="86">
        <f t="shared" si="0"/>
        <v>2045</v>
      </c>
      <c r="C168" s="136">
        <f>[8]С2.5!$AD$11</f>
        <v>0</v>
      </c>
    </row>
    <row r="169" spans="2:3" hidden="1">
      <c r="B169" s="86">
        <f t="shared" si="0"/>
        <v>2046</v>
      </c>
      <c r="C169" s="136">
        <f>[8]С2.5!$AE$11</f>
        <v>0</v>
      </c>
    </row>
    <row r="170" spans="2:3" hidden="1">
      <c r="B170" s="86">
        <f t="shared" si="0"/>
        <v>2047</v>
      </c>
      <c r="C170" s="136">
        <f>[8]С2.5!$AF$11</f>
        <v>0</v>
      </c>
    </row>
    <row r="171" spans="2:3" hidden="1">
      <c r="B171" s="86">
        <f t="shared" si="0"/>
        <v>2048</v>
      </c>
      <c r="C171" s="136">
        <f>[8]С2.5!$AG$11</f>
        <v>0</v>
      </c>
    </row>
    <row r="172" spans="2:3" hidden="1">
      <c r="B172" s="86">
        <f t="shared" si="0"/>
        <v>2049</v>
      </c>
      <c r="C172" s="136">
        <f>[8]С2.5!$AH$11</f>
        <v>0</v>
      </c>
    </row>
    <row r="173" spans="2:3" hidden="1">
      <c r="B173" s="86">
        <f t="shared" si="0"/>
        <v>2050</v>
      </c>
      <c r="C173" s="136">
        <f>[8]С2.5!$AI$11</f>
        <v>0</v>
      </c>
    </row>
    <row r="174" spans="2:3" hidden="1">
      <c r="B174" s="86">
        <f t="shared" si="0"/>
        <v>2051</v>
      </c>
      <c r="C174" s="136">
        <f>[8]С2.5!$AJ$11</f>
        <v>0</v>
      </c>
    </row>
    <row r="175" spans="2:3" hidden="1">
      <c r="B175" s="86">
        <f t="shared" si="0"/>
        <v>2052</v>
      </c>
      <c r="C175" s="136">
        <f>[8]С2.5!$AK$11</f>
        <v>0</v>
      </c>
    </row>
    <row r="176" spans="2:3" hidden="1">
      <c r="B176" s="86">
        <f t="shared" si="0"/>
        <v>2053</v>
      </c>
      <c r="C176" s="136">
        <f>[8]С2.5!$AL$11</f>
        <v>0</v>
      </c>
    </row>
    <row r="177" spans="2:3" hidden="1">
      <c r="B177" s="86">
        <f t="shared" si="0"/>
        <v>2054</v>
      </c>
      <c r="C177" s="136">
        <f>[8]С2.5!$AM$11</f>
        <v>0</v>
      </c>
    </row>
    <row r="178" spans="2:3" hidden="1">
      <c r="B178" s="86">
        <f t="shared" si="0"/>
        <v>2055</v>
      </c>
      <c r="C178" s="136">
        <f>[8]С2.5!$AN$11</f>
        <v>0</v>
      </c>
    </row>
    <row r="179" spans="2:3" hidden="1">
      <c r="B179" s="86">
        <f t="shared" si="0"/>
        <v>2056</v>
      </c>
      <c r="C179" s="136">
        <f>[8]С2.5!$AO$11</f>
        <v>0</v>
      </c>
    </row>
    <row r="180" spans="2:3" hidden="1">
      <c r="B180" s="86">
        <f t="shared" si="0"/>
        <v>2057</v>
      </c>
      <c r="C180" s="136">
        <f>[8]С2.5!$AP$11</f>
        <v>0</v>
      </c>
    </row>
    <row r="181" spans="2:3" hidden="1">
      <c r="B181" s="86">
        <f t="shared" si="0"/>
        <v>2058</v>
      </c>
      <c r="C181" s="136">
        <f>[8]С2.5!$AQ$11</f>
        <v>0</v>
      </c>
    </row>
    <row r="182" spans="2:3" hidden="1">
      <c r="B182" s="86">
        <f t="shared" si="0"/>
        <v>2059</v>
      </c>
      <c r="C182" s="136">
        <f>[8]С2.5!$AR$11</f>
        <v>0</v>
      </c>
    </row>
    <row r="183" spans="2:3" hidden="1">
      <c r="B183" s="86">
        <f t="shared" si="0"/>
        <v>2060</v>
      </c>
      <c r="C183" s="136">
        <f>[8]С2.5!$AS$11</f>
        <v>0</v>
      </c>
    </row>
    <row r="184" spans="2:3" hidden="1">
      <c r="B184" s="86">
        <f t="shared" si="0"/>
        <v>2061</v>
      </c>
      <c r="C184" s="136">
        <f>[8]С2.5!$AT$11</f>
        <v>0</v>
      </c>
    </row>
    <row r="185" spans="2:3" hidden="1">
      <c r="B185" s="86">
        <f t="shared" si="0"/>
        <v>2062</v>
      </c>
      <c r="C185" s="136">
        <f>[8]С2.5!$AU$11</f>
        <v>0</v>
      </c>
    </row>
    <row r="186" spans="2:3" hidden="1">
      <c r="B186" s="86">
        <f t="shared" si="0"/>
        <v>2063</v>
      </c>
      <c r="C186" s="136">
        <f>[8]С2.5!$AV$11</f>
        <v>0</v>
      </c>
    </row>
    <row r="187" spans="2:3" hidden="1">
      <c r="B187" s="86">
        <f t="shared" si="0"/>
        <v>2064</v>
      </c>
      <c r="C187" s="136">
        <f>[8]С2.5!$AW$11</f>
        <v>0</v>
      </c>
    </row>
    <row r="188" spans="2:3" hidden="1">
      <c r="B188" s="86">
        <f t="shared" si="0"/>
        <v>2065</v>
      </c>
      <c r="C188" s="136">
        <f>[8]С2.5!$AX$11</f>
        <v>0</v>
      </c>
    </row>
    <row r="189" spans="2:3" hidden="1">
      <c r="B189" s="86">
        <f t="shared" si="0"/>
        <v>2066</v>
      </c>
      <c r="C189" s="136">
        <f>[8]С2.5!$AY$11</f>
        <v>0</v>
      </c>
    </row>
    <row r="190" spans="2:3" hidden="1">
      <c r="B190" s="86">
        <f t="shared" si="0"/>
        <v>2067</v>
      </c>
      <c r="C190" s="136">
        <f>[8]С2.5!$AZ$11</f>
        <v>0</v>
      </c>
    </row>
    <row r="191" spans="2:3" hidden="1">
      <c r="B191" s="86">
        <f t="shared" si="0"/>
        <v>2068</v>
      </c>
      <c r="C191" s="136">
        <f>[8]С2.5!$BA$11</f>
        <v>0</v>
      </c>
    </row>
    <row r="192" spans="2:3" hidden="1">
      <c r="B192" s="86">
        <f t="shared" si="0"/>
        <v>2069</v>
      </c>
      <c r="C192" s="136">
        <f>[8]С2.5!$BB$11</f>
        <v>0</v>
      </c>
    </row>
    <row r="193" spans="2:3" hidden="1">
      <c r="B193" s="86">
        <f t="shared" si="0"/>
        <v>2070</v>
      </c>
      <c r="C193" s="136">
        <f>[8]С2.5!$BC$11</f>
        <v>0</v>
      </c>
    </row>
    <row r="194" spans="2:3" hidden="1">
      <c r="B194" s="86">
        <f t="shared" si="0"/>
        <v>2071</v>
      </c>
      <c r="C194" s="136">
        <f>[8]С2.5!$BD$11</f>
        <v>0</v>
      </c>
    </row>
    <row r="195" spans="2:3" hidden="1">
      <c r="B195" s="86">
        <f t="shared" si="0"/>
        <v>2072</v>
      </c>
      <c r="C195" s="136">
        <f>[8]С2.5!$BE$11</f>
        <v>0</v>
      </c>
    </row>
    <row r="196" spans="2:3" hidden="1">
      <c r="B196" s="86">
        <f t="shared" si="0"/>
        <v>2073</v>
      </c>
      <c r="C196" s="136">
        <f>[8]С2.5!$BF$11</f>
        <v>0</v>
      </c>
    </row>
    <row r="197" spans="2:3" hidden="1">
      <c r="B197" s="86">
        <f t="shared" si="0"/>
        <v>2074</v>
      </c>
      <c r="C197" s="136">
        <f>[8]С2.5!$BG$11</f>
        <v>0</v>
      </c>
    </row>
    <row r="198" spans="2:3" hidden="1">
      <c r="B198" s="86">
        <f t="shared" si="0"/>
        <v>2075</v>
      </c>
      <c r="C198" s="136">
        <f>[8]С2.5!$BH$11</f>
        <v>0</v>
      </c>
    </row>
    <row r="199" spans="2:3" hidden="1">
      <c r="B199" s="86">
        <f t="shared" si="0"/>
        <v>2076</v>
      </c>
      <c r="C199" s="136">
        <f>[8]С2.5!$BI$11</f>
        <v>0</v>
      </c>
    </row>
    <row r="200" spans="2:3" hidden="1">
      <c r="B200" s="86">
        <f t="shared" si="0"/>
        <v>2077</v>
      </c>
      <c r="C200" s="136">
        <f>[8]С2.5!$BJ$11</f>
        <v>0</v>
      </c>
    </row>
    <row r="201" spans="2:3" hidden="1">
      <c r="B201" s="86">
        <f t="shared" si="0"/>
        <v>2078</v>
      </c>
      <c r="C201" s="136">
        <f>[8]С2.5!$BK$11</f>
        <v>0</v>
      </c>
    </row>
    <row r="202" spans="2:3" hidden="1">
      <c r="B202" s="86">
        <f t="shared" si="0"/>
        <v>2079</v>
      </c>
      <c r="C202" s="136">
        <f>[8]С2.5!$BL$11</f>
        <v>0</v>
      </c>
    </row>
    <row r="203" spans="2:3" hidden="1">
      <c r="B203" s="86">
        <f t="shared" si="0"/>
        <v>2080</v>
      </c>
      <c r="C203" s="136">
        <f>[8]С2.5!$BM$11</f>
        <v>0</v>
      </c>
    </row>
    <row r="204" spans="2:3" hidden="1">
      <c r="B204" s="86">
        <f t="shared" si="0"/>
        <v>2081</v>
      </c>
      <c r="C204" s="136">
        <f>[8]С2.5!$BN$11</f>
        <v>0</v>
      </c>
    </row>
    <row r="205" spans="2:3" hidden="1">
      <c r="B205" s="86">
        <f t="shared" si="0"/>
        <v>2082</v>
      </c>
      <c r="C205" s="136">
        <f>[8]С2.5!$BO$11</f>
        <v>0</v>
      </c>
    </row>
    <row r="206" spans="2:3" hidden="1">
      <c r="B206" s="86">
        <f t="shared" si="0"/>
        <v>2083</v>
      </c>
      <c r="C206" s="136">
        <f>[8]С2.5!$BP$11</f>
        <v>0</v>
      </c>
    </row>
    <row r="207" spans="2:3" hidden="1">
      <c r="B207" s="86">
        <f t="shared" si="0"/>
        <v>2084</v>
      </c>
      <c r="C207" s="136">
        <f>[8]С2.5!$BQ$11</f>
        <v>0</v>
      </c>
    </row>
    <row r="208" spans="2:3" hidden="1">
      <c r="B208" s="86">
        <f t="shared" si="0"/>
        <v>2085</v>
      </c>
      <c r="C208" s="136">
        <f>[8]С2.5!$BR$11</f>
        <v>0</v>
      </c>
    </row>
    <row r="209" spans="2:3" hidden="1">
      <c r="B209" s="86">
        <f t="shared" ref="B209:B223" si="1">B208+1</f>
        <v>2086</v>
      </c>
      <c r="C209" s="136">
        <f>[8]С2.5!$BS$11</f>
        <v>0</v>
      </c>
    </row>
    <row r="210" spans="2:3" hidden="1">
      <c r="B210" s="86">
        <f t="shared" si="1"/>
        <v>2087</v>
      </c>
      <c r="C210" s="136">
        <f>[8]С2.5!$BT$11</f>
        <v>0</v>
      </c>
    </row>
    <row r="211" spans="2:3" hidden="1">
      <c r="B211" s="86">
        <f t="shared" si="1"/>
        <v>2088</v>
      </c>
      <c r="C211" s="136">
        <f>[8]С2.5!$BU$11</f>
        <v>0</v>
      </c>
    </row>
    <row r="212" spans="2:3" hidden="1">
      <c r="B212" s="86">
        <f t="shared" si="1"/>
        <v>2089</v>
      </c>
      <c r="C212" s="136">
        <f>[8]С2.5!$BV$11</f>
        <v>0</v>
      </c>
    </row>
    <row r="213" spans="2:3" hidden="1">
      <c r="B213" s="86">
        <f t="shared" si="1"/>
        <v>2090</v>
      </c>
      <c r="C213" s="136">
        <f>[8]С2.5!$BW$11</f>
        <v>0</v>
      </c>
    </row>
    <row r="214" spans="2:3" hidden="1">
      <c r="B214" s="86">
        <f t="shared" si="1"/>
        <v>2091</v>
      </c>
      <c r="C214" s="136">
        <f>[8]С2.5!$BX$11</f>
        <v>0</v>
      </c>
    </row>
    <row r="215" spans="2:3" hidden="1">
      <c r="B215" s="86">
        <f t="shared" si="1"/>
        <v>2092</v>
      </c>
      <c r="C215" s="136">
        <f>[8]С2.5!$BY$11</f>
        <v>0</v>
      </c>
    </row>
    <row r="216" spans="2:3" hidden="1">
      <c r="B216" s="86">
        <f t="shared" si="1"/>
        <v>2093</v>
      </c>
      <c r="C216" s="136">
        <f>[8]С2.5!$BZ$11</f>
        <v>0</v>
      </c>
    </row>
    <row r="217" spans="2:3" hidden="1">
      <c r="B217" s="86">
        <f t="shared" si="1"/>
        <v>2094</v>
      </c>
      <c r="C217" s="136">
        <f>[8]С2.5!$CA$11</f>
        <v>0</v>
      </c>
    </row>
    <row r="218" spans="2:3" hidden="1">
      <c r="B218" s="86">
        <f t="shared" si="1"/>
        <v>2095</v>
      </c>
      <c r="C218" s="136">
        <f>[8]С2.5!$CB$11</f>
        <v>0</v>
      </c>
    </row>
    <row r="219" spans="2:3" hidden="1">
      <c r="B219" s="86">
        <f t="shared" si="1"/>
        <v>2096</v>
      </c>
      <c r="C219" s="136">
        <f>[8]С2.5!$CC$11</f>
        <v>0</v>
      </c>
    </row>
    <row r="220" spans="2:3" hidden="1">
      <c r="B220" s="86">
        <f t="shared" si="1"/>
        <v>2097</v>
      </c>
      <c r="C220" s="136">
        <f>[8]С2.5!$CD$11</f>
        <v>0</v>
      </c>
    </row>
    <row r="221" spans="2:3" hidden="1">
      <c r="B221" s="86">
        <f t="shared" si="1"/>
        <v>2098</v>
      </c>
      <c r="C221" s="136">
        <f>[8]С2.5!$CE$11</f>
        <v>0</v>
      </c>
    </row>
    <row r="222" spans="2:3" hidden="1">
      <c r="B222" s="86">
        <f t="shared" si="1"/>
        <v>2099</v>
      </c>
      <c r="C222" s="136">
        <f>[8]С2.5!$CF$11</f>
        <v>0</v>
      </c>
    </row>
    <row r="223" spans="2:3" ht="13.5" hidden="1" thickBot="1">
      <c r="B223" s="87">
        <f t="shared" si="1"/>
        <v>2100</v>
      </c>
      <c r="C223" s="137">
        <f>[8]С2.5!$CG$11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4817"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17" sqref="E17"/>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[9]И1!D13</f>
        <v>Субъект Российской Федерации</v>
      </c>
      <c r="C4" s="8" t="str">
        <f>[9]И1!E13</f>
        <v>Новосибирская область</v>
      </c>
    </row>
    <row r="5" spans="1:3" ht="51">
      <c r="A5" s="6"/>
      <c r="B5" s="7" t="str">
        <f>[9]И1!D14</f>
        <v>Тип муниципального образования (выберите из списка)</v>
      </c>
      <c r="C5" s="8" t="str">
        <f>[9]И1!E14</f>
        <v>поселок Новопреображенка, Чановский муниципальный район</v>
      </c>
    </row>
    <row r="6" spans="1:3">
      <c r="A6" s="6"/>
      <c r="B6" s="7" t="str">
        <f>IF([9]И1!E15="","",[9]И1!D15)</f>
        <v/>
      </c>
      <c r="C6" s="8" t="str">
        <f>IF([9]И1!E15="","",[9]И1!E15)</f>
        <v/>
      </c>
    </row>
    <row r="7" spans="1:3">
      <c r="A7" s="6"/>
      <c r="B7" s="7" t="str">
        <f>[9]И1!D16</f>
        <v>Код ОКТМО</v>
      </c>
      <c r="C7" s="9" t="str">
        <f>[9]И1!E16</f>
        <v>50656412101</v>
      </c>
    </row>
    <row r="8" spans="1:3">
      <c r="A8" s="6"/>
      <c r="B8" s="10" t="str">
        <f>[9]И1!D17</f>
        <v>Система теплоснабжения</v>
      </c>
      <c r="C8" s="11">
        <f>[9]И1!E17</f>
        <v>0</v>
      </c>
    </row>
    <row r="9" spans="1:3">
      <c r="A9" s="6"/>
      <c r="B9" s="7" t="str">
        <f>[9]И1!D8</f>
        <v>Период регулирования (i)-й</v>
      </c>
      <c r="C9" s="12">
        <f>[9]И1!E8</f>
        <v>2023</v>
      </c>
    </row>
    <row r="10" spans="1:3">
      <c r="A10" s="6"/>
      <c r="B10" s="7" t="str">
        <f>[9]И1!D9</f>
        <v>Период регулирования (i-1)-й</v>
      </c>
      <c r="C10" s="12">
        <f>[9]И1!E9</f>
        <v>2022</v>
      </c>
    </row>
    <row r="11" spans="1:3">
      <c r="A11" s="6"/>
      <c r="B11" s="7" t="str">
        <f>[9]И1!D10</f>
        <v>Период регулирования (i-2)-й</v>
      </c>
      <c r="C11" s="12">
        <f>[9]И1!E10</f>
        <v>2021</v>
      </c>
    </row>
    <row r="12" spans="1:3">
      <c r="A12" s="6"/>
      <c r="B12" s="7" t="str">
        <f>[9]И1!D11</f>
        <v>Базовый год (б)</v>
      </c>
      <c r="C12" s="12">
        <f>[9]И1!E11</f>
        <v>2019</v>
      </c>
    </row>
    <row r="13" spans="1:3" ht="38.25">
      <c r="A13" s="6"/>
      <c r="B13" s="7" t="str">
        <f>[9]И1!D18</f>
        <v>Вид топлива, использование которого преобладает в системе теплоснабжения</v>
      </c>
      <c r="C13" s="13" t="str">
        <f>[9]С1.1!E13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4110.0056756801732</v>
      </c>
    </row>
    <row r="18" spans="1:3" ht="42.75">
      <c r="A18" s="16" t="s">
        <v>7</v>
      </c>
      <c r="B18" s="19" t="s">
        <v>8</v>
      </c>
      <c r="C18" s="20">
        <f>[9]С1!F12</f>
        <v>1006.0126910079939</v>
      </c>
    </row>
    <row r="19" spans="1:3" ht="42.75">
      <c r="A19" s="16" t="s">
        <v>9</v>
      </c>
      <c r="B19" s="19" t="s">
        <v>10</v>
      </c>
      <c r="C19" s="20">
        <f>[9]С2!F12</f>
        <v>2104.1852054273977</v>
      </c>
    </row>
    <row r="20" spans="1:3" ht="30">
      <c r="A20" s="16" t="s">
        <v>11</v>
      </c>
      <c r="B20" s="19" t="s">
        <v>12</v>
      </c>
      <c r="C20" s="20">
        <f>[9]С3!F12</f>
        <v>503.33593794803642</v>
      </c>
    </row>
    <row r="21" spans="1:3" ht="42.75">
      <c r="A21" s="16" t="s">
        <v>13</v>
      </c>
      <c r="B21" s="19" t="s">
        <v>226</v>
      </c>
      <c r="C21" s="20">
        <f>[9]С4!F12</f>
        <v>415.88349471478085</v>
      </c>
    </row>
    <row r="22" spans="1:3" ht="30">
      <c r="A22" s="16" t="s">
        <v>14</v>
      </c>
      <c r="B22" s="19" t="s">
        <v>227</v>
      </c>
      <c r="C22" s="20">
        <f>[9]С5!F12</f>
        <v>80.588346581964174</v>
      </c>
    </row>
    <row r="23" spans="1:3" ht="43.5" thickBot="1">
      <c r="A23" s="21" t="s">
        <v>15</v>
      </c>
      <c r="B23" s="111" t="s">
        <v>228</v>
      </c>
      <c r="C23" s="22" t="str">
        <f>[9]С6!F12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[9]С1.1!E16</f>
        <v>5100</v>
      </c>
    </row>
    <row r="29" spans="1:3" ht="42.75">
      <c r="A29" s="16" t="s">
        <v>9</v>
      </c>
      <c r="B29" s="27" t="s">
        <v>230</v>
      </c>
      <c r="C29" s="28">
        <f>[9]С1.1!E27</f>
        <v>2705</v>
      </c>
    </row>
    <row r="30" spans="1:3" ht="17.25">
      <c r="A30" s="16" t="s">
        <v>11</v>
      </c>
      <c r="B30" s="27" t="s">
        <v>17</v>
      </c>
      <c r="C30" s="29">
        <f>[9]С1.1!E19</f>
        <v>0.59499999999999997</v>
      </c>
    </row>
    <row r="31" spans="1:3" ht="17.25">
      <c r="A31" s="16" t="s">
        <v>13</v>
      </c>
      <c r="B31" s="27" t="s">
        <v>18</v>
      </c>
      <c r="C31" s="29">
        <f>[9]С1.1!E20</f>
        <v>-0.113</v>
      </c>
    </row>
    <row r="32" spans="1:3" ht="30">
      <c r="A32" s="16" t="s">
        <v>14</v>
      </c>
      <c r="B32" s="30" t="s">
        <v>231</v>
      </c>
      <c r="C32" s="118">
        <f>[9]С1!F13</f>
        <v>176.4</v>
      </c>
    </row>
    <row r="33" spans="1:3">
      <c r="A33" s="16" t="s">
        <v>15</v>
      </c>
      <c r="B33" s="30" t="s">
        <v>19</v>
      </c>
      <c r="C33" s="31">
        <f>[9]С1!F16</f>
        <v>7000</v>
      </c>
    </row>
    <row r="34" spans="1:3" ht="14.25">
      <c r="A34" s="16" t="s">
        <v>20</v>
      </c>
      <c r="B34" s="32" t="s">
        <v>232</v>
      </c>
      <c r="C34" s="33">
        <f>[9]С1!F17</f>
        <v>0.72857142857142854</v>
      </c>
    </row>
    <row r="35" spans="1:3" ht="15.75">
      <c r="A35" s="119" t="s">
        <v>21</v>
      </c>
      <c r="B35" s="34" t="s">
        <v>22</v>
      </c>
      <c r="C35" s="33">
        <f>[9]С1!F20</f>
        <v>21.588411179999994</v>
      </c>
    </row>
    <row r="36" spans="1:3" ht="15.75">
      <c r="A36" s="119" t="s">
        <v>23</v>
      </c>
      <c r="B36" s="35" t="s">
        <v>24</v>
      </c>
      <c r="C36" s="33">
        <f>[9]С1!F21</f>
        <v>20.818139999999996</v>
      </c>
    </row>
    <row r="37" spans="1:3" ht="14.25">
      <c r="A37" s="119" t="s">
        <v>25</v>
      </c>
      <c r="B37" s="36" t="s">
        <v>26</v>
      </c>
      <c r="C37" s="33">
        <f>[9]С1!F22</f>
        <v>1.0369999999999999</v>
      </c>
    </row>
    <row r="38" spans="1:3" ht="53.25" thickBot="1">
      <c r="A38" s="21" t="s">
        <v>27</v>
      </c>
      <c r="B38" s="37" t="s">
        <v>28</v>
      </c>
      <c r="C38" s="38">
        <f>[9]С1!F23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[9]С2.1!E12</f>
        <v>V</v>
      </c>
    </row>
    <row r="42" spans="1:3" ht="25.5">
      <c r="A42" s="16" t="s">
        <v>33</v>
      </c>
      <c r="B42" s="27" t="s">
        <v>34</v>
      </c>
      <c r="C42" s="41" t="str">
        <f>[9]С2.1!E13</f>
        <v>6 и менее баллов</v>
      </c>
    </row>
    <row r="43" spans="1:3" ht="25.5">
      <c r="A43" s="16" t="s">
        <v>35</v>
      </c>
      <c r="B43" s="27" t="s">
        <v>233</v>
      </c>
      <c r="C43" s="41" t="str">
        <f>[9]С2.1!E14</f>
        <v>от 200 до 500</v>
      </c>
    </row>
    <row r="44" spans="1:3" ht="25.5">
      <c r="A44" s="16" t="s">
        <v>36</v>
      </c>
      <c r="B44" s="27" t="s">
        <v>234</v>
      </c>
      <c r="C44" s="42" t="str">
        <f>[9]С2.1!E15</f>
        <v>нет</v>
      </c>
    </row>
    <row r="45" spans="1:3" ht="30">
      <c r="A45" s="16" t="s">
        <v>37</v>
      </c>
      <c r="B45" s="27" t="s">
        <v>38</v>
      </c>
      <c r="C45" s="28">
        <f>[9]С2!F18</f>
        <v>32402.627334033532</v>
      </c>
    </row>
    <row r="46" spans="1:3" ht="30">
      <c r="A46" s="16" t="s">
        <v>39</v>
      </c>
      <c r="B46" s="43" t="s">
        <v>40</v>
      </c>
      <c r="C46" s="28">
        <f>IF([9]С2!F19&gt;0,[9]С2!F19,[9]С2!F20)</f>
        <v>23441.524932855718</v>
      </c>
    </row>
    <row r="47" spans="1:3" ht="25.5">
      <c r="A47" s="16" t="s">
        <v>41</v>
      </c>
      <c r="B47" s="44" t="s">
        <v>42</v>
      </c>
      <c r="C47" s="28">
        <f>[9]С2.1!E19</f>
        <v>-38</v>
      </c>
    </row>
    <row r="48" spans="1:3" ht="25.5">
      <c r="A48" s="16" t="s">
        <v>43</v>
      </c>
      <c r="B48" s="44" t="s">
        <v>44</v>
      </c>
      <c r="C48" s="28" t="str">
        <f>[9]С2.1!E22</f>
        <v>нет</v>
      </c>
    </row>
    <row r="49" spans="1:3" ht="38.25">
      <c r="A49" s="16" t="s">
        <v>45</v>
      </c>
      <c r="B49" s="45" t="s">
        <v>46</v>
      </c>
      <c r="C49" s="28">
        <f>[9]С2.2!E10</f>
        <v>1287</v>
      </c>
    </row>
    <row r="50" spans="1:3" ht="25.5">
      <c r="A50" s="16" t="s">
        <v>47</v>
      </c>
      <c r="B50" s="46" t="s">
        <v>48</v>
      </c>
      <c r="C50" s="28">
        <f>[9]С2.2!E12</f>
        <v>5.97</v>
      </c>
    </row>
    <row r="51" spans="1:3" ht="52.5">
      <c r="A51" s="16" t="s">
        <v>49</v>
      </c>
      <c r="B51" s="47" t="s">
        <v>50</v>
      </c>
      <c r="C51" s="28">
        <f>[9]С2.2!E13</f>
        <v>1</v>
      </c>
    </row>
    <row r="52" spans="1:3" ht="27.75">
      <c r="A52" s="16" t="s">
        <v>51</v>
      </c>
      <c r="B52" s="46" t="s">
        <v>52</v>
      </c>
      <c r="C52" s="28">
        <f>[9]С2.2!E14</f>
        <v>12104</v>
      </c>
    </row>
    <row r="53" spans="1:3" ht="25.5">
      <c r="A53" s="16" t="s">
        <v>53</v>
      </c>
      <c r="B53" s="47" t="s">
        <v>54</v>
      </c>
      <c r="C53" s="29">
        <f>[9]С2.2!E15</f>
        <v>4.8000000000000001E-2</v>
      </c>
    </row>
    <row r="54" spans="1:3">
      <c r="A54" s="16" t="s">
        <v>55</v>
      </c>
      <c r="B54" s="47" t="s">
        <v>56</v>
      </c>
      <c r="C54" s="28">
        <f>[9]С2.2!E16</f>
        <v>1</v>
      </c>
    </row>
    <row r="55" spans="1:3" ht="15.75">
      <c r="A55" s="16" t="s">
        <v>57</v>
      </c>
      <c r="B55" s="48" t="s">
        <v>58</v>
      </c>
      <c r="C55" s="28">
        <f>[9]С2!F21</f>
        <v>1</v>
      </c>
    </row>
    <row r="56" spans="1:3" ht="30">
      <c r="A56" s="49" t="s">
        <v>59</v>
      </c>
      <c r="B56" s="27" t="s">
        <v>235</v>
      </c>
      <c r="C56" s="28">
        <f>[9]С2!F13</f>
        <v>169640.22915965237</v>
      </c>
    </row>
    <row r="57" spans="1:3" ht="30">
      <c r="A57" s="49" t="s">
        <v>60</v>
      </c>
      <c r="B57" s="48" t="s">
        <v>236</v>
      </c>
      <c r="C57" s="28">
        <f>[9]С2!F14</f>
        <v>113455</v>
      </c>
    </row>
    <row r="58" spans="1:3" ht="15.75">
      <c r="A58" s="49" t="s">
        <v>61</v>
      </c>
      <c r="B58" s="50" t="s">
        <v>62</v>
      </c>
      <c r="C58" s="33">
        <f>[9]С2!F15</f>
        <v>1.071</v>
      </c>
    </row>
    <row r="59" spans="1:3" ht="15.75">
      <c r="A59" s="49" t="s">
        <v>63</v>
      </c>
      <c r="B59" s="50" t="s">
        <v>64</v>
      </c>
      <c r="C59" s="33">
        <f>[9]С2!F16</f>
        <v>1</v>
      </c>
    </row>
    <row r="60" spans="1:3" ht="17.25">
      <c r="A60" s="49" t="s">
        <v>65</v>
      </c>
      <c r="B60" s="48" t="s">
        <v>66</v>
      </c>
      <c r="C60" s="28">
        <f>[9]С2!F17</f>
        <v>1.01</v>
      </c>
    </row>
    <row r="61" spans="1:3" s="53" customFormat="1" ht="14.25">
      <c r="A61" s="49" t="s">
        <v>67</v>
      </c>
      <c r="B61" s="51" t="s">
        <v>68</v>
      </c>
      <c r="C61" s="52">
        <f>[9]С2!F33</f>
        <v>10</v>
      </c>
    </row>
    <row r="62" spans="1:3" ht="30">
      <c r="A62" s="49" t="s">
        <v>69</v>
      </c>
      <c r="B62" s="54" t="s">
        <v>70</v>
      </c>
      <c r="C62" s="28">
        <f>[9]С2!F26</f>
        <v>911.22846603392293</v>
      </c>
    </row>
    <row r="63" spans="1:3" ht="17.25">
      <c r="A63" s="49" t="s">
        <v>71</v>
      </c>
      <c r="B63" s="43" t="s">
        <v>237</v>
      </c>
      <c r="C63" s="28">
        <f>[9]С2!F27</f>
        <v>0.15695805999999998</v>
      </c>
    </row>
    <row r="64" spans="1:3" ht="17.25">
      <c r="A64" s="49" t="s">
        <v>72</v>
      </c>
      <c r="B64" s="48" t="s">
        <v>238</v>
      </c>
      <c r="C64" s="52">
        <f>[9]С2!F28</f>
        <v>4200</v>
      </c>
    </row>
    <row r="65" spans="1:3" ht="42.75">
      <c r="A65" s="49" t="s">
        <v>73</v>
      </c>
      <c r="B65" s="27" t="s">
        <v>239</v>
      </c>
      <c r="C65" s="28">
        <f>[9]С2!F22</f>
        <v>35717.748653137714</v>
      </c>
    </row>
    <row r="66" spans="1:3" ht="30">
      <c r="A66" s="49" t="s">
        <v>74</v>
      </c>
      <c r="B66" s="50" t="s">
        <v>240</v>
      </c>
      <c r="C66" s="28">
        <f>[9]С2!F23</f>
        <v>1990</v>
      </c>
    </row>
    <row r="67" spans="1:3" ht="30">
      <c r="A67" s="49" t="s">
        <v>75</v>
      </c>
      <c r="B67" s="43" t="s">
        <v>76</v>
      </c>
      <c r="C67" s="28">
        <f>[9]С2.1!E27</f>
        <v>14307.876789999998</v>
      </c>
    </row>
    <row r="68" spans="1:3" ht="38.25">
      <c r="A68" s="49" t="s">
        <v>77</v>
      </c>
      <c r="B68" s="55" t="s">
        <v>78</v>
      </c>
      <c r="C68" s="42">
        <f>[9]С2.3!E21</f>
        <v>0</v>
      </c>
    </row>
    <row r="69" spans="1:3" ht="25.5">
      <c r="A69" s="49" t="s">
        <v>79</v>
      </c>
      <c r="B69" s="56" t="s">
        <v>80</v>
      </c>
      <c r="C69" s="57">
        <f>[9]С2.3!E11</f>
        <v>9.89</v>
      </c>
    </row>
    <row r="70" spans="1:3" ht="25.5">
      <c r="A70" s="49" t="s">
        <v>81</v>
      </c>
      <c r="B70" s="56" t="s">
        <v>82</v>
      </c>
      <c r="C70" s="52">
        <f>[9]С2.3!E13</f>
        <v>300</v>
      </c>
    </row>
    <row r="71" spans="1:3" ht="25.5">
      <c r="A71" s="49" t="s">
        <v>83</v>
      </c>
      <c r="B71" s="55" t="s">
        <v>84</v>
      </c>
      <c r="C71" s="58">
        <f>IF([9]С2.3!E22&gt;0,[9]С2.3!E22,[9]С2.3!E14)</f>
        <v>61211</v>
      </c>
    </row>
    <row r="72" spans="1:3" ht="38.25">
      <c r="A72" s="49" t="s">
        <v>85</v>
      </c>
      <c r="B72" s="55" t="s">
        <v>86</v>
      </c>
      <c r="C72" s="58">
        <f>IF([9]С2.3!E23&gt;0,[9]С2.3!E23,[9]С2.3!E15)</f>
        <v>45675</v>
      </c>
    </row>
    <row r="73" spans="1:3" ht="30">
      <c r="A73" s="49" t="s">
        <v>87</v>
      </c>
      <c r="B73" s="43" t="s">
        <v>88</v>
      </c>
      <c r="C73" s="28">
        <f>[9]С2.1!E28</f>
        <v>9541.9567200000001</v>
      </c>
    </row>
    <row r="74" spans="1:3" ht="38.25">
      <c r="A74" s="49" t="s">
        <v>89</v>
      </c>
      <c r="B74" s="55" t="s">
        <v>90</v>
      </c>
      <c r="C74" s="42">
        <f>[9]С2.3!E25</f>
        <v>0</v>
      </c>
    </row>
    <row r="75" spans="1:3" ht="25.5">
      <c r="A75" s="49" t="s">
        <v>91</v>
      </c>
      <c r="B75" s="56" t="s">
        <v>92</v>
      </c>
      <c r="C75" s="57">
        <f>[9]С2.3!E12</f>
        <v>0.56000000000000005</v>
      </c>
    </row>
    <row r="76" spans="1:3" ht="25.5">
      <c r="A76" s="49" t="s">
        <v>93</v>
      </c>
      <c r="B76" s="56" t="s">
        <v>82</v>
      </c>
      <c r="C76" s="52">
        <f>[9]С2.3!E13</f>
        <v>300</v>
      </c>
    </row>
    <row r="77" spans="1:3" ht="25.5">
      <c r="A77" s="49" t="s">
        <v>94</v>
      </c>
      <c r="B77" s="59" t="s">
        <v>95</v>
      </c>
      <c r="C77" s="58">
        <f>IF([9]С2.3!E26&gt;0,[9]С2.3!E26,[9]С2.3!E16)</f>
        <v>65637</v>
      </c>
    </row>
    <row r="78" spans="1:3" ht="38.25">
      <c r="A78" s="49" t="s">
        <v>96</v>
      </c>
      <c r="B78" s="59" t="s">
        <v>97</v>
      </c>
      <c r="C78" s="58">
        <f>IF([9]С2.3!E27&gt;0,[9]С2.3!E27,[9]С2.3!E17)</f>
        <v>31684</v>
      </c>
    </row>
    <row r="79" spans="1:3" ht="17.25">
      <c r="A79" s="49" t="s">
        <v>98</v>
      </c>
      <c r="B79" s="27" t="s">
        <v>99</v>
      </c>
      <c r="C79" s="29">
        <f>[9]С2!F29</f>
        <v>0.128978033685065</v>
      </c>
    </row>
    <row r="80" spans="1:3" ht="30">
      <c r="A80" s="49" t="s">
        <v>100</v>
      </c>
      <c r="B80" s="43" t="s">
        <v>101</v>
      </c>
      <c r="C80" s="60">
        <f>[9]С2!F30</f>
        <v>0.11668498168498169</v>
      </c>
    </row>
    <row r="81" spans="1:3" ht="17.25">
      <c r="A81" s="49" t="s">
        <v>102</v>
      </c>
      <c r="B81" s="61" t="s">
        <v>103</v>
      </c>
      <c r="C81" s="29">
        <f>[9]С2!F31</f>
        <v>0.13880000000000001</v>
      </c>
    </row>
    <row r="82" spans="1:3" s="53" customFormat="1" ht="18" thickBot="1">
      <c r="A82" s="62" t="s">
        <v>104</v>
      </c>
      <c r="B82" s="63" t="s">
        <v>105</v>
      </c>
      <c r="C82" s="64">
        <f>[9]С2!F32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[9]С3!F14</f>
        <v>6988.6287956820188</v>
      </c>
    </row>
    <row r="86" spans="1:3" s="53" customFormat="1" ht="42.75">
      <c r="A86" s="67" t="s">
        <v>110</v>
      </c>
      <c r="B86" s="43" t="s">
        <v>111</v>
      </c>
      <c r="C86" s="68">
        <f>[9]С3!F15</f>
        <v>0.2</v>
      </c>
    </row>
    <row r="87" spans="1:3" s="53" customFormat="1" ht="14.25">
      <c r="A87" s="67" t="s">
        <v>112</v>
      </c>
      <c r="B87" s="69" t="s">
        <v>113</v>
      </c>
      <c r="C87" s="52">
        <f>[9]С3!F18</f>
        <v>15</v>
      </c>
    </row>
    <row r="88" spans="1:3" s="53" customFormat="1" ht="17.25">
      <c r="A88" s="67" t="s">
        <v>114</v>
      </c>
      <c r="B88" s="27" t="s">
        <v>115</v>
      </c>
      <c r="C88" s="28">
        <f>[9]С3!F19</f>
        <v>3487.1555421534131</v>
      </c>
    </row>
    <row r="89" spans="1:3" s="53" customFormat="1" ht="55.5">
      <c r="A89" s="67" t="s">
        <v>116</v>
      </c>
      <c r="B89" s="43" t="s">
        <v>117</v>
      </c>
      <c r="C89" s="70">
        <f>[9]С3!F20</f>
        <v>2.1999999999999999E-2</v>
      </c>
    </row>
    <row r="90" spans="1:3" s="53" customFormat="1" ht="14.25">
      <c r="A90" s="67" t="s">
        <v>118</v>
      </c>
      <c r="B90" s="48" t="s">
        <v>68</v>
      </c>
      <c r="C90" s="52">
        <f>[9]С3!F21</f>
        <v>10</v>
      </c>
    </row>
    <row r="91" spans="1:3" s="53" customFormat="1" ht="17.25">
      <c r="A91" s="67" t="s">
        <v>119</v>
      </c>
      <c r="B91" s="27" t="s">
        <v>120</v>
      </c>
      <c r="C91" s="28">
        <f>[9]С3!F22</f>
        <v>2.7336853981017688</v>
      </c>
    </row>
    <row r="92" spans="1:3" s="53" customFormat="1" ht="55.5">
      <c r="A92" s="67" t="s">
        <v>121</v>
      </c>
      <c r="B92" s="43" t="s">
        <v>122</v>
      </c>
      <c r="C92" s="70">
        <f>[9]С3!F23</f>
        <v>3.0000000000000001E-3</v>
      </c>
    </row>
    <row r="93" spans="1:3" s="53" customFormat="1" ht="27.75" thickBot="1">
      <c r="A93" s="71" t="s">
        <v>123</v>
      </c>
      <c r="B93" s="72" t="s">
        <v>241</v>
      </c>
      <c r="C93" s="73">
        <f>[9]С3!F24</f>
        <v>911.22846603392293</v>
      </c>
    </row>
    <row r="94" spans="1:3" ht="13.5" thickBot="1">
      <c r="A94" s="39"/>
      <c r="B94" s="65"/>
      <c r="C94" s="13"/>
    </row>
    <row r="95" spans="1:3" ht="30" customHeight="1">
      <c r="A95" s="74" t="s">
        <v>124</v>
      </c>
      <c r="B95" s="141" t="s">
        <v>125</v>
      </c>
      <c r="C95" s="141"/>
    </row>
    <row r="96" spans="1:3" ht="30">
      <c r="A96" s="49" t="s">
        <v>126</v>
      </c>
      <c r="B96" s="27" t="s">
        <v>242</v>
      </c>
      <c r="C96" s="28">
        <f>[9]С4!F16</f>
        <v>1652.5</v>
      </c>
    </row>
    <row r="97" spans="1:3" ht="30">
      <c r="A97" s="49" t="s">
        <v>127</v>
      </c>
      <c r="B97" s="48" t="s">
        <v>243</v>
      </c>
      <c r="C97" s="28">
        <f>[9]С4!F17</f>
        <v>73547</v>
      </c>
    </row>
    <row r="98" spans="1:3" ht="17.25">
      <c r="A98" s="49" t="s">
        <v>128</v>
      </c>
      <c r="B98" s="48" t="s">
        <v>129</v>
      </c>
      <c r="C98" s="33">
        <f>[9]С4!F18</f>
        <v>0.02</v>
      </c>
    </row>
    <row r="99" spans="1:3" ht="30">
      <c r="A99" s="49" t="s">
        <v>130</v>
      </c>
      <c r="B99" s="48" t="s">
        <v>131</v>
      </c>
      <c r="C99" s="28">
        <f>[9]С4!F19</f>
        <v>12104</v>
      </c>
    </row>
    <row r="100" spans="1:3" ht="31.5">
      <c r="A100" s="49" t="s">
        <v>132</v>
      </c>
      <c r="B100" s="48" t="s">
        <v>133</v>
      </c>
      <c r="C100" s="33">
        <f>[9]С4!F20</f>
        <v>1.4999999999999999E-2</v>
      </c>
    </row>
    <row r="101" spans="1:3" ht="30">
      <c r="A101" s="49" t="s">
        <v>134</v>
      </c>
      <c r="B101" s="27" t="s">
        <v>244</v>
      </c>
      <c r="C101" s="28">
        <f>[9]С4!F21</f>
        <v>1933.1949342509995</v>
      </c>
    </row>
    <row r="102" spans="1:3" ht="24" customHeight="1">
      <c r="A102" s="49" t="s">
        <v>135</v>
      </c>
      <c r="B102" s="43" t="s">
        <v>136</v>
      </c>
      <c r="C102" s="75">
        <f>IF([9]С4.2!F8="да",[9]С4.2!D21,[9]С4.2!D15)</f>
        <v>0</v>
      </c>
    </row>
    <row r="103" spans="1:3" ht="68.25">
      <c r="A103" s="49" t="s">
        <v>137</v>
      </c>
      <c r="B103" s="43" t="s">
        <v>138</v>
      </c>
      <c r="C103" s="28">
        <f>[9]С4!F22</f>
        <v>3.6112641666666665</v>
      </c>
    </row>
    <row r="104" spans="1:3" ht="30">
      <c r="A104" s="49" t="s">
        <v>139</v>
      </c>
      <c r="B104" s="48" t="s">
        <v>245</v>
      </c>
      <c r="C104" s="28">
        <f>[9]С4!F23</f>
        <v>180</v>
      </c>
    </row>
    <row r="105" spans="1:3" ht="14.25">
      <c r="A105" s="49" t="s">
        <v>140</v>
      </c>
      <c r="B105" s="43" t="s">
        <v>141</v>
      </c>
      <c r="C105" s="28">
        <f>[9]С4!F24</f>
        <v>8497.1999999999989</v>
      </c>
    </row>
    <row r="106" spans="1:3" ht="14.25">
      <c r="A106" s="49" t="s">
        <v>142</v>
      </c>
      <c r="B106" s="48" t="s">
        <v>143</v>
      </c>
      <c r="C106" s="33">
        <f>[9]С4!F25</f>
        <v>0.35</v>
      </c>
    </row>
    <row r="107" spans="1:3" ht="17.25">
      <c r="A107" s="49" t="s">
        <v>144</v>
      </c>
      <c r="B107" s="27" t="s">
        <v>145</v>
      </c>
      <c r="C107" s="28">
        <f>[9]С4!F26</f>
        <v>90.25748999999999</v>
      </c>
    </row>
    <row r="108" spans="1:3" ht="25.5">
      <c r="A108" s="49" t="s">
        <v>146</v>
      </c>
      <c r="B108" s="43" t="s">
        <v>78</v>
      </c>
      <c r="C108" s="75">
        <f>[9]С4.3!E16</f>
        <v>0</v>
      </c>
    </row>
    <row r="109" spans="1:3" ht="25.5">
      <c r="A109" s="49" t="s">
        <v>147</v>
      </c>
      <c r="B109" s="43" t="s">
        <v>148</v>
      </c>
      <c r="C109" s="28">
        <f>[9]С4.3!E17</f>
        <v>23.95</v>
      </c>
    </row>
    <row r="110" spans="1:3" ht="38.25">
      <c r="A110" s="49" t="s">
        <v>149</v>
      </c>
      <c r="B110" s="43" t="s">
        <v>90</v>
      </c>
      <c r="C110" s="75">
        <f>[9]С4.3!E18</f>
        <v>0</v>
      </c>
    </row>
    <row r="111" spans="1:3">
      <c r="A111" s="49" t="s">
        <v>150</v>
      </c>
      <c r="B111" s="43" t="s">
        <v>151</v>
      </c>
      <c r="C111" s="28">
        <f>[9]С4.3!E19</f>
        <v>30.71</v>
      </c>
    </row>
    <row r="112" spans="1:3">
      <c r="A112" s="49" t="s">
        <v>152</v>
      </c>
      <c r="B112" s="48" t="s">
        <v>153</v>
      </c>
      <c r="C112" s="28">
        <f>[9]С4.3!E11</f>
        <v>1871</v>
      </c>
    </row>
    <row r="113" spans="1:3">
      <c r="A113" s="49" t="s">
        <v>154</v>
      </c>
      <c r="B113" s="48" t="s">
        <v>155</v>
      </c>
      <c r="C113" s="42">
        <f>[9]С4.3!E12</f>
        <v>1636</v>
      </c>
    </row>
    <row r="114" spans="1:3">
      <c r="A114" s="49" t="s">
        <v>156</v>
      </c>
      <c r="B114" s="48" t="s">
        <v>157</v>
      </c>
      <c r="C114" s="42">
        <f>[9]С4.3!E13</f>
        <v>204</v>
      </c>
    </row>
    <row r="115" spans="1:3" ht="30">
      <c r="A115" s="49" t="s">
        <v>158</v>
      </c>
      <c r="B115" s="27" t="s">
        <v>246</v>
      </c>
      <c r="C115" s="28">
        <f>[9]С4!F27</f>
        <v>998.55949805489831</v>
      </c>
    </row>
    <row r="116" spans="1:3" ht="25.5">
      <c r="A116" s="49" t="s">
        <v>159</v>
      </c>
      <c r="B116" s="43" t="s">
        <v>247</v>
      </c>
      <c r="C116" s="28">
        <f>[9]С4!F28</f>
        <v>766.94277884400788</v>
      </c>
    </row>
    <row r="117" spans="1:3" ht="42.75">
      <c r="A117" s="49" t="s">
        <v>160</v>
      </c>
      <c r="B117" s="43" t="s">
        <v>161</v>
      </c>
      <c r="C117" s="28">
        <f>[9]С4!F29</f>
        <v>231.61671921089041</v>
      </c>
    </row>
    <row r="118" spans="1:3" ht="30">
      <c r="A118" s="49" t="s">
        <v>162</v>
      </c>
      <c r="B118" s="32" t="s">
        <v>163</v>
      </c>
      <c r="C118" s="28">
        <f>[9]С4!F30</f>
        <v>2196.4611539124585</v>
      </c>
    </row>
    <row r="119" spans="1:3" ht="42.75">
      <c r="A119" s="49" t="s">
        <v>248</v>
      </c>
      <c r="B119" s="76" t="s">
        <v>249</v>
      </c>
      <c r="C119" s="28">
        <f>[9]С4!F33</f>
        <v>1483.072594022681</v>
      </c>
    </row>
    <row r="120" spans="1:3" ht="30">
      <c r="A120" s="49" t="s">
        <v>250</v>
      </c>
      <c r="B120" s="122" t="s">
        <v>251</v>
      </c>
      <c r="C120" s="28">
        <f>[9]С4!F35</f>
        <v>17.040680999999999</v>
      </c>
    </row>
    <row r="121" spans="1:3" ht="14.25">
      <c r="A121" s="49" t="s">
        <v>252</v>
      </c>
      <c r="B121" s="46" t="s">
        <v>253</v>
      </c>
      <c r="C121" s="28">
        <f>[9]С4!F36</f>
        <v>14319.9</v>
      </c>
    </row>
    <row r="122" spans="1:3" ht="28.5" thickBot="1">
      <c r="A122" s="62" t="s">
        <v>254</v>
      </c>
      <c r="B122" s="123" t="s">
        <v>255</v>
      </c>
      <c r="C122" s="73">
        <f>[9]С4!F37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[9]С5!F17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[9]С2!F37</f>
        <v>20.818139999999996</v>
      </c>
    </row>
    <row r="136" spans="1:4" ht="14.25">
      <c r="A136" s="49" t="s">
        <v>183</v>
      </c>
      <c r="B136" s="129" t="s">
        <v>184</v>
      </c>
      <c r="C136" s="28">
        <f>[9]С2!F38</f>
        <v>7</v>
      </c>
    </row>
    <row r="137" spans="1:4" ht="17.25">
      <c r="A137" s="49" t="s">
        <v>185</v>
      </c>
      <c r="B137" s="129" t="s">
        <v>186</v>
      </c>
      <c r="C137" s="28">
        <f>[9]С2!F40</f>
        <v>0.97</v>
      </c>
    </row>
    <row r="138" spans="1:4" ht="15" thickBot="1">
      <c r="A138" s="62" t="s">
        <v>187</v>
      </c>
      <c r="B138" s="130" t="s">
        <v>188</v>
      </c>
      <c r="C138" s="38">
        <f>[9]С2!F42</f>
        <v>0.35</v>
      </c>
    </row>
    <row r="139" spans="1:4" s="77" customFormat="1" ht="13.5" thickBot="1">
      <c r="A139" s="39"/>
      <c r="B139" s="65"/>
      <c r="C139" s="13"/>
    </row>
    <row r="140" spans="1:4" ht="30">
      <c r="A140" s="74" t="s">
        <v>189</v>
      </c>
      <c r="B140" s="84" t="s">
        <v>258</v>
      </c>
      <c r="C140" s="131">
        <f>[9]С2!F35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[9]С2.5!$E$11</f>
        <v>-2.9000000000000026E-2</v>
      </c>
      <c r="D143" s="77"/>
    </row>
    <row r="144" spans="1:4">
      <c r="A144" s="85"/>
      <c r="B144" s="86">
        <f>B143+1</f>
        <v>2021</v>
      </c>
      <c r="C144" s="136">
        <f>[9]С2.5!$F$11</f>
        <v>0.245</v>
      </c>
      <c r="D144" s="77"/>
    </row>
    <row r="145" spans="1:4">
      <c r="A145" s="85"/>
      <c r="B145" s="86">
        <f t="shared" ref="B145:B208" si="0">B144+1</f>
        <v>2022</v>
      </c>
      <c r="C145" s="136">
        <f>[9]С2.5!$G$11</f>
        <v>0.121</v>
      </c>
      <c r="D145" s="77"/>
    </row>
    <row r="146" spans="1:4" ht="13.5" thickBot="1">
      <c r="A146" s="85"/>
      <c r="B146" s="87">
        <f t="shared" si="0"/>
        <v>2023</v>
      </c>
      <c r="C146" s="137">
        <f>[9]С2.5!$H$11</f>
        <v>0.02</v>
      </c>
      <c r="D146" s="77"/>
    </row>
    <row r="147" spans="1:4" hidden="1">
      <c r="A147" s="85"/>
      <c r="B147" s="138">
        <f t="shared" si="0"/>
        <v>2024</v>
      </c>
      <c r="C147" s="139">
        <f>[9]С2.5!$I$11</f>
        <v>-2.93E-2</v>
      </c>
      <c r="D147" s="77"/>
    </row>
    <row r="148" spans="1:4" hidden="1">
      <c r="A148" s="85"/>
      <c r="B148" s="86">
        <f t="shared" si="0"/>
        <v>2025</v>
      </c>
      <c r="C148" s="136">
        <f>[9]С2.5!$J$11</f>
        <v>0.21215960863291</v>
      </c>
      <c r="D148" s="77"/>
    </row>
    <row r="149" spans="1:4" hidden="1">
      <c r="A149" s="85"/>
      <c r="B149" s="86">
        <f t="shared" si="0"/>
        <v>2026</v>
      </c>
      <c r="C149" s="136">
        <f>[9]С2.5!$K$11</f>
        <v>3.5813361771260002E-2</v>
      </c>
      <c r="D149" s="77"/>
    </row>
    <row r="150" spans="1:4" hidden="1">
      <c r="A150" s="85"/>
      <c r="B150" s="86">
        <f t="shared" si="0"/>
        <v>2027</v>
      </c>
      <c r="C150" s="136">
        <f>[9]С2.5!$L$11</f>
        <v>3.2682303599220003E-2</v>
      </c>
      <c r="D150" s="77"/>
    </row>
    <row r="151" spans="1:4" hidden="1">
      <c r="A151" s="85"/>
      <c r="B151" s="86">
        <f t="shared" si="0"/>
        <v>2028</v>
      </c>
      <c r="C151" s="136">
        <f>[9]С2.5!$M$11</f>
        <v>0</v>
      </c>
      <c r="D151" s="77"/>
    </row>
    <row r="152" spans="1:4" hidden="1">
      <c r="A152" s="85"/>
      <c r="B152" s="86">
        <f t="shared" si="0"/>
        <v>2029</v>
      </c>
      <c r="C152" s="136">
        <f>[9]С2.5!$N$11</f>
        <v>0</v>
      </c>
      <c r="D152" s="77"/>
    </row>
    <row r="153" spans="1:4" hidden="1">
      <c r="A153" s="85"/>
      <c r="B153" s="86">
        <f t="shared" si="0"/>
        <v>2030</v>
      </c>
      <c r="C153" s="136">
        <f>[9]С2.5!$O$11</f>
        <v>0</v>
      </c>
      <c r="D153" s="77"/>
    </row>
    <row r="154" spans="1:4" hidden="1">
      <c r="A154" s="85"/>
      <c r="B154" s="86">
        <f t="shared" si="0"/>
        <v>2031</v>
      </c>
      <c r="C154" s="136">
        <f>[9]С2.5!$P$11</f>
        <v>0</v>
      </c>
      <c r="D154" s="77"/>
    </row>
    <row r="155" spans="1:4" hidden="1">
      <c r="A155" s="77"/>
      <c r="B155" s="86">
        <f t="shared" si="0"/>
        <v>2032</v>
      </c>
      <c r="C155" s="136">
        <f>[9]С2.5!$Q$11</f>
        <v>0</v>
      </c>
      <c r="D155" s="77"/>
    </row>
    <row r="156" spans="1:4" hidden="1">
      <c r="A156" s="77"/>
      <c r="B156" s="86">
        <f t="shared" si="0"/>
        <v>2033</v>
      </c>
      <c r="C156" s="136">
        <f>[9]С2.5!$R$11</f>
        <v>0</v>
      </c>
      <c r="D156" s="77"/>
    </row>
    <row r="157" spans="1:4" hidden="1">
      <c r="B157" s="86">
        <f t="shared" si="0"/>
        <v>2034</v>
      </c>
      <c r="C157" s="136">
        <f>[9]С2.5!$S$11</f>
        <v>0</v>
      </c>
    </row>
    <row r="158" spans="1:4" hidden="1">
      <c r="B158" s="86">
        <f t="shared" si="0"/>
        <v>2035</v>
      </c>
      <c r="C158" s="136">
        <f>[9]С2.5!$T$11</f>
        <v>0</v>
      </c>
    </row>
    <row r="159" spans="1:4" hidden="1">
      <c r="B159" s="86">
        <f t="shared" si="0"/>
        <v>2036</v>
      </c>
      <c r="C159" s="136">
        <f>[9]С2.5!$U$11</f>
        <v>0</v>
      </c>
    </row>
    <row r="160" spans="1:4" hidden="1">
      <c r="B160" s="86">
        <f t="shared" si="0"/>
        <v>2037</v>
      </c>
      <c r="C160" s="136">
        <f>[9]С2.5!$V$11</f>
        <v>0</v>
      </c>
    </row>
    <row r="161" spans="2:3" hidden="1">
      <c r="B161" s="86">
        <f t="shared" si="0"/>
        <v>2038</v>
      </c>
      <c r="C161" s="136">
        <f>[9]С2.5!$W$11</f>
        <v>0</v>
      </c>
    </row>
    <row r="162" spans="2:3" hidden="1">
      <c r="B162" s="86">
        <f t="shared" si="0"/>
        <v>2039</v>
      </c>
      <c r="C162" s="136">
        <f>[9]С2.5!$X$11</f>
        <v>0</v>
      </c>
    </row>
    <row r="163" spans="2:3" hidden="1">
      <c r="B163" s="86">
        <f t="shared" si="0"/>
        <v>2040</v>
      </c>
      <c r="C163" s="136">
        <f>[9]С2.5!$Y$11</f>
        <v>0</v>
      </c>
    </row>
    <row r="164" spans="2:3" hidden="1">
      <c r="B164" s="86">
        <f t="shared" si="0"/>
        <v>2041</v>
      </c>
      <c r="C164" s="136">
        <f>[9]С2.5!$Z$11</f>
        <v>0</v>
      </c>
    </row>
    <row r="165" spans="2:3" hidden="1">
      <c r="B165" s="86">
        <f t="shared" si="0"/>
        <v>2042</v>
      </c>
      <c r="C165" s="136">
        <f>[9]С2.5!$AA$11</f>
        <v>0</v>
      </c>
    </row>
    <row r="166" spans="2:3" hidden="1">
      <c r="B166" s="86">
        <f t="shared" si="0"/>
        <v>2043</v>
      </c>
      <c r="C166" s="136">
        <f>[9]С2.5!$AB$11</f>
        <v>0</v>
      </c>
    </row>
    <row r="167" spans="2:3" hidden="1">
      <c r="B167" s="86">
        <f t="shared" si="0"/>
        <v>2044</v>
      </c>
      <c r="C167" s="136">
        <f>[9]С2.5!$AC$11</f>
        <v>0</v>
      </c>
    </row>
    <row r="168" spans="2:3" hidden="1">
      <c r="B168" s="86">
        <f t="shared" si="0"/>
        <v>2045</v>
      </c>
      <c r="C168" s="136">
        <f>[9]С2.5!$AD$11</f>
        <v>0</v>
      </c>
    </row>
    <row r="169" spans="2:3" hidden="1">
      <c r="B169" s="86">
        <f t="shared" si="0"/>
        <v>2046</v>
      </c>
      <c r="C169" s="136">
        <f>[9]С2.5!$AE$11</f>
        <v>0</v>
      </c>
    </row>
    <row r="170" spans="2:3" hidden="1">
      <c r="B170" s="86">
        <f t="shared" si="0"/>
        <v>2047</v>
      </c>
      <c r="C170" s="136">
        <f>[9]С2.5!$AF$11</f>
        <v>0</v>
      </c>
    </row>
    <row r="171" spans="2:3" hidden="1">
      <c r="B171" s="86">
        <f t="shared" si="0"/>
        <v>2048</v>
      </c>
      <c r="C171" s="136">
        <f>[9]С2.5!$AG$11</f>
        <v>0</v>
      </c>
    </row>
    <row r="172" spans="2:3" hidden="1">
      <c r="B172" s="86">
        <f t="shared" si="0"/>
        <v>2049</v>
      </c>
      <c r="C172" s="136">
        <f>[9]С2.5!$AH$11</f>
        <v>0</v>
      </c>
    </row>
    <row r="173" spans="2:3" hidden="1">
      <c r="B173" s="86">
        <f t="shared" si="0"/>
        <v>2050</v>
      </c>
      <c r="C173" s="136">
        <f>[9]С2.5!$AI$11</f>
        <v>0</v>
      </c>
    </row>
    <row r="174" spans="2:3" hidden="1">
      <c r="B174" s="86">
        <f t="shared" si="0"/>
        <v>2051</v>
      </c>
      <c r="C174" s="136">
        <f>[9]С2.5!$AJ$11</f>
        <v>0</v>
      </c>
    </row>
    <row r="175" spans="2:3" hidden="1">
      <c r="B175" s="86">
        <f t="shared" si="0"/>
        <v>2052</v>
      </c>
      <c r="C175" s="136">
        <f>[9]С2.5!$AK$11</f>
        <v>0</v>
      </c>
    </row>
    <row r="176" spans="2:3" hidden="1">
      <c r="B176" s="86">
        <f t="shared" si="0"/>
        <v>2053</v>
      </c>
      <c r="C176" s="136">
        <f>[9]С2.5!$AL$11</f>
        <v>0</v>
      </c>
    </row>
    <row r="177" spans="2:3" hidden="1">
      <c r="B177" s="86">
        <f t="shared" si="0"/>
        <v>2054</v>
      </c>
      <c r="C177" s="136">
        <f>[9]С2.5!$AM$11</f>
        <v>0</v>
      </c>
    </row>
    <row r="178" spans="2:3" hidden="1">
      <c r="B178" s="86">
        <f t="shared" si="0"/>
        <v>2055</v>
      </c>
      <c r="C178" s="136">
        <f>[9]С2.5!$AN$11</f>
        <v>0</v>
      </c>
    </row>
    <row r="179" spans="2:3" hidden="1">
      <c r="B179" s="86">
        <f t="shared" si="0"/>
        <v>2056</v>
      </c>
      <c r="C179" s="136">
        <f>[9]С2.5!$AO$11</f>
        <v>0</v>
      </c>
    </row>
    <row r="180" spans="2:3" hidden="1">
      <c r="B180" s="86">
        <f t="shared" si="0"/>
        <v>2057</v>
      </c>
      <c r="C180" s="136">
        <f>[9]С2.5!$AP$11</f>
        <v>0</v>
      </c>
    </row>
    <row r="181" spans="2:3" hidden="1">
      <c r="B181" s="86">
        <f t="shared" si="0"/>
        <v>2058</v>
      </c>
      <c r="C181" s="136">
        <f>[9]С2.5!$AQ$11</f>
        <v>0</v>
      </c>
    </row>
    <row r="182" spans="2:3" hidden="1">
      <c r="B182" s="86">
        <f t="shared" si="0"/>
        <v>2059</v>
      </c>
      <c r="C182" s="136">
        <f>[9]С2.5!$AR$11</f>
        <v>0</v>
      </c>
    </row>
    <row r="183" spans="2:3" hidden="1">
      <c r="B183" s="86">
        <f t="shared" si="0"/>
        <v>2060</v>
      </c>
      <c r="C183" s="136">
        <f>[9]С2.5!$AS$11</f>
        <v>0</v>
      </c>
    </row>
    <row r="184" spans="2:3" hidden="1">
      <c r="B184" s="86">
        <f t="shared" si="0"/>
        <v>2061</v>
      </c>
      <c r="C184" s="136">
        <f>[9]С2.5!$AT$11</f>
        <v>0</v>
      </c>
    </row>
    <row r="185" spans="2:3" hidden="1">
      <c r="B185" s="86">
        <f t="shared" si="0"/>
        <v>2062</v>
      </c>
      <c r="C185" s="136">
        <f>[9]С2.5!$AU$11</f>
        <v>0</v>
      </c>
    </row>
    <row r="186" spans="2:3" hidden="1">
      <c r="B186" s="86">
        <f t="shared" si="0"/>
        <v>2063</v>
      </c>
      <c r="C186" s="136">
        <f>[9]С2.5!$AV$11</f>
        <v>0</v>
      </c>
    </row>
    <row r="187" spans="2:3" hidden="1">
      <c r="B187" s="86">
        <f t="shared" si="0"/>
        <v>2064</v>
      </c>
      <c r="C187" s="136">
        <f>[9]С2.5!$AW$11</f>
        <v>0</v>
      </c>
    </row>
    <row r="188" spans="2:3" hidden="1">
      <c r="B188" s="86">
        <f t="shared" si="0"/>
        <v>2065</v>
      </c>
      <c r="C188" s="136">
        <f>[9]С2.5!$AX$11</f>
        <v>0</v>
      </c>
    </row>
    <row r="189" spans="2:3" hidden="1">
      <c r="B189" s="86">
        <f t="shared" si="0"/>
        <v>2066</v>
      </c>
      <c r="C189" s="136">
        <f>[9]С2.5!$AY$11</f>
        <v>0</v>
      </c>
    </row>
    <row r="190" spans="2:3" hidden="1">
      <c r="B190" s="86">
        <f t="shared" si="0"/>
        <v>2067</v>
      </c>
      <c r="C190" s="136">
        <f>[9]С2.5!$AZ$11</f>
        <v>0</v>
      </c>
    </row>
    <row r="191" spans="2:3" hidden="1">
      <c r="B191" s="86">
        <f t="shared" si="0"/>
        <v>2068</v>
      </c>
      <c r="C191" s="136">
        <f>[9]С2.5!$BA$11</f>
        <v>0</v>
      </c>
    </row>
    <row r="192" spans="2:3" hidden="1">
      <c r="B192" s="86">
        <f t="shared" si="0"/>
        <v>2069</v>
      </c>
      <c r="C192" s="136">
        <f>[9]С2.5!$BB$11</f>
        <v>0</v>
      </c>
    </row>
    <row r="193" spans="2:3" hidden="1">
      <c r="B193" s="86">
        <f t="shared" si="0"/>
        <v>2070</v>
      </c>
      <c r="C193" s="136">
        <f>[9]С2.5!$BC$11</f>
        <v>0</v>
      </c>
    </row>
    <row r="194" spans="2:3" hidden="1">
      <c r="B194" s="86">
        <f t="shared" si="0"/>
        <v>2071</v>
      </c>
      <c r="C194" s="136">
        <f>[9]С2.5!$BD$11</f>
        <v>0</v>
      </c>
    </row>
    <row r="195" spans="2:3" hidden="1">
      <c r="B195" s="86">
        <f t="shared" si="0"/>
        <v>2072</v>
      </c>
      <c r="C195" s="136">
        <f>[9]С2.5!$BE$11</f>
        <v>0</v>
      </c>
    </row>
    <row r="196" spans="2:3" hidden="1">
      <c r="B196" s="86">
        <f t="shared" si="0"/>
        <v>2073</v>
      </c>
      <c r="C196" s="136">
        <f>[9]С2.5!$BF$11</f>
        <v>0</v>
      </c>
    </row>
    <row r="197" spans="2:3" hidden="1">
      <c r="B197" s="86">
        <f t="shared" si="0"/>
        <v>2074</v>
      </c>
      <c r="C197" s="136">
        <f>[9]С2.5!$BG$11</f>
        <v>0</v>
      </c>
    </row>
    <row r="198" spans="2:3" hidden="1">
      <c r="B198" s="86">
        <f t="shared" si="0"/>
        <v>2075</v>
      </c>
      <c r="C198" s="136">
        <f>[9]С2.5!$BH$11</f>
        <v>0</v>
      </c>
    </row>
    <row r="199" spans="2:3" hidden="1">
      <c r="B199" s="86">
        <f t="shared" si="0"/>
        <v>2076</v>
      </c>
      <c r="C199" s="136">
        <f>[9]С2.5!$BI$11</f>
        <v>0</v>
      </c>
    </row>
    <row r="200" spans="2:3" hidden="1">
      <c r="B200" s="86">
        <f t="shared" si="0"/>
        <v>2077</v>
      </c>
      <c r="C200" s="136">
        <f>[9]С2.5!$BJ$11</f>
        <v>0</v>
      </c>
    </row>
    <row r="201" spans="2:3" hidden="1">
      <c r="B201" s="86">
        <f t="shared" si="0"/>
        <v>2078</v>
      </c>
      <c r="C201" s="136">
        <f>[9]С2.5!$BK$11</f>
        <v>0</v>
      </c>
    </row>
    <row r="202" spans="2:3" hidden="1">
      <c r="B202" s="86">
        <f t="shared" si="0"/>
        <v>2079</v>
      </c>
      <c r="C202" s="136">
        <f>[9]С2.5!$BL$11</f>
        <v>0</v>
      </c>
    </row>
    <row r="203" spans="2:3" hidden="1">
      <c r="B203" s="86">
        <f t="shared" si="0"/>
        <v>2080</v>
      </c>
      <c r="C203" s="136">
        <f>[9]С2.5!$BM$11</f>
        <v>0</v>
      </c>
    </row>
    <row r="204" spans="2:3" hidden="1">
      <c r="B204" s="86">
        <f t="shared" si="0"/>
        <v>2081</v>
      </c>
      <c r="C204" s="136">
        <f>[9]С2.5!$BN$11</f>
        <v>0</v>
      </c>
    </row>
    <row r="205" spans="2:3" hidden="1">
      <c r="B205" s="86">
        <f t="shared" si="0"/>
        <v>2082</v>
      </c>
      <c r="C205" s="136">
        <f>[9]С2.5!$BO$11</f>
        <v>0</v>
      </c>
    </row>
    <row r="206" spans="2:3" hidden="1">
      <c r="B206" s="86">
        <f t="shared" si="0"/>
        <v>2083</v>
      </c>
      <c r="C206" s="136">
        <f>[9]С2.5!$BP$11</f>
        <v>0</v>
      </c>
    </row>
    <row r="207" spans="2:3" hidden="1">
      <c r="B207" s="86">
        <f t="shared" si="0"/>
        <v>2084</v>
      </c>
      <c r="C207" s="136">
        <f>[9]С2.5!$BQ$11</f>
        <v>0</v>
      </c>
    </row>
    <row r="208" spans="2:3" hidden="1">
      <c r="B208" s="86">
        <f t="shared" si="0"/>
        <v>2085</v>
      </c>
      <c r="C208" s="136">
        <f>[9]С2.5!$BR$11</f>
        <v>0</v>
      </c>
    </row>
    <row r="209" spans="2:3" hidden="1">
      <c r="B209" s="86">
        <f t="shared" ref="B209:B223" si="1">B208+1</f>
        <v>2086</v>
      </c>
      <c r="C209" s="136">
        <f>[9]С2.5!$BS$11</f>
        <v>0</v>
      </c>
    </row>
    <row r="210" spans="2:3" hidden="1">
      <c r="B210" s="86">
        <f t="shared" si="1"/>
        <v>2087</v>
      </c>
      <c r="C210" s="136">
        <f>[9]С2.5!$BT$11</f>
        <v>0</v>
      </c>
    </row>
    <row r="211" spans="2:3" hidden="1">
      <c r="B211" s="86">
        <f t="shared" si="1"/>
        <v>2088</v>
      </c>
      <c r="C211" s="136">
        <f>[9]С2.5!$BU$11</f>
        <v>0</v>
      </c>
    </row>
    <row r="212" spans="2:3" hidden="1">
      <c r="B212" s="86">
        <f t="shared" si="1"/>
        <v>2089</v>
      </c>
      <c r="C212" s="136">
        <f>[9]С2.5!$BV$11</f>
        <v>0</v>
      </c>
    </row>
    <row r="213" spans="2:3" hidden="1">
      <c r="B213" s="86">
        <f t="shared" si="1"/>
        <v>2090</v>
      </c>
      <c r="C213" s="136">
        <f>[9]С2.5!$BW$11</f>
        <v>0</v>
      </c>
    </row>
    <row r="214" spans="2:3" hidden="1">
      <c r="B214" s="86">
        <f t="shared" si="1"/>
        <v>2091</v>
      </c>
      <c r="C214" s="136">
        <f>[9]С2.5!$BX$11</f>
        <v>0</v>
      </c>
    </row>
    <row r="215" spans="2:3" hidden="1">
      <c r="B215" s="86">
        <f t="shared" si="1"/>
        <v>2092</v>
      </c>
      <c r="C215" s="136">
        <f>[9]С2.5!$BY$11</f>
        <v>0</v>
      </c>
    </row>
    <row r="216" spans="2:3" hidden="1">
      <c r="B216" s="86">
        <f t="shared" si="1"/>
        <v>2093</v>
      </c>
      <c r="C216" s="136">
        <f>[9]С2.5!$BZ$11</f>
        <v>0</v>
      </c>
    </row>
    <row r="217" spans="2:3" hidden="1">
      <c r="B217" s="86">
        <f t="shared" si="1"/>
        <v>2094</v>
      </c>
      <c r="C217" s="136">
        <f>[9]С2.5!$CA$11</f>
        <v>0</v>
      </c>
    </row>
    <row r="218" spans="2:3" hidden="1">
      <c r="B218" s="86">
        <f t="shared" si="1"/>
        <v>2095</v>
      </c>
      <c r="C218" s="136">
        <f>[9]С2.5!$CB$11</f>
        <v>0</v>
      </c>
    </row>
    <row r="219" spans="2:3" hidden="1">
      <c r="B219" s="86">
        <f t="shared" si="1"/>
        <v>2096</v>
      </c>
      <c r="C219" s="136">
        <f>[9]С2.5!$CC$11</f>
        <v>0</v>
      </c>
    </row>
    <row r="220" spans="2:3" hidden="1">
      <c r="B220" s="86">
        <f t="shared" si="1"/>
        <v>2097</v>
      </c>
      <c r="C220" s="136">
        <f>[9]С2.5!$CD$11</f>
        <v>0</v>
      </c>
    </row>
    <row r="221" spans="2:3" hidden="1">
      <c r="B221" s="86">
        <f t="shared" si="1"/>
        <v>2098</v>
      </c>
      <c r="C221" s="136">
        <f>[9]С2.5!$CE$11</f>
        <v>0</v>
      </c>
    </row>
    <row r="222" spans="2:3" hidden="1">
      <c r="B222" s="86">
        <f t="shared" si="1"/>
        <v>2099</v>
      </c>
      <c r="C222" s="136">
        <f>[9]С2.5!$CF$11</f>
        <v>0</v>
      </c>
    </row>
    <row r="223" spans="2:3" ht="13.5" hidden="1" thickBot="1">
      <c r="B223" s="87">
        <f t="shared" si="1"/>
        <v>2100</v>
      </c>
      <c r="C223" s="137">
        <f>[9]С2.5!$CG$11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5841"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0" sqref="E20"/>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[10]И1!D13</f>
        <v>Субъект Российской Федерации</v>
      </c>
      <c r="C4" s="8" t="str">
        <f>[10]И1!E13</f>
        <v>Новосибирская область</v>
      </c>
    </row>
    <row r="5" spans="1:3" ht="38.25">
      <c r="A5" s="6"/>
      <c r="B5" s="7" t="str">
        <f>[10]И1!D14</f>
        <v>Тип муниципального образования (выберите из списка)</v>
      </c>
      <c r="C5" s="8" t="str">
        <f>[10]И1!E14</f>
        <v>поселок Озеро-Карачи, Чановский муниципальный район</v>
      </c>
    </row>
    <row r="6" spans="1:3">
      <c r="A6" s="6"/>
      <c r="B6" s="7" t="str">
        <f>IF([10]И1!E15="","",[10]И1!D15)</f>
        <v/>
      </c>
      <c r="C6" s="8" t="str">
        <f>IF([10]И1!E15="","",[10]И1!E15)</f>
        <v/>
      </c>
    </row>
    <row r="7" spans="1:3">
      <c r="A7" s="6"/>
      <c r="B7" s="7" t="str">
        <f>[10]И1!D16</f>
        <v>Код ОКТМО</v>
      </c>
      <c r="C7" s="9" t="str">
        <f>[10]И1!E16</f>
        <v>50656413101</v>
      </c>
    </row>
    <row r="8" spans="1:3">
      <c r="A8" s="6"/>
      <c r="B8" s="10" t="str">
        <f>[10]И1!D17</f>
        <v>Система теплоснабжения</v>
      </c>
      <c r="C8" s="11">
        <f>[10]И1!E17</f>
        <v>0</v>
      </c>
    </row>
    <row r="9" spans="1:3">
      <c r="A9" s="6"/>
      <c r="B9" s="7" t="str">
        <f>[10]И1!D8</f>
        <v>Период регулирования (i)-й</v>
      </c>
      <c r="C9" s="12">
        <f>[10]И1!E8</f>
        <v>2023</v>
      </c>
    </row>
    <row r="10" spans="1:3">
      <c r="A10" s="6"/>
      <c r="B10" s="7" t="str">
        <f>[10]И1!D9</f>
        <v>Период регулирования (i-1)-й</v>
      </c>
      <c r="C10" s="12">
        <f>[10]И1!E9</f>
        <v>2022</v>
      </c>
    </row>
    <row r="11" spans="1:3">
      <c r="A11" s="6"/>
      <c r="B11" s="7" t="str">
        <f>[10]И1!D10</f>
        <v>Период регулирования (i-2)-й</v>
      </c>
      <c r="C11" s="12">
        <f>[10]И1!E10</f>
        <v>2021</v>
      </c>
    </row>
    <row r="12" spans="1:3">
      <c r="A12" s="6"/>
      <c r="B12" s="7" t="str">
        <f>[10]И1!D11</f>
        <v>Базовый год (б)</v>
      </c>
      <c r="C12" s="12">
        <f>[10]И1!E11</f>
        <v>2019</v>
      </c>
    </row>
    <row r="13" spans="1:3" ht="38.25">
      <c r="A13" s="6"/>
      <c r="B13" s="7" t="str">
        <f>[10]И1!D18</f>
        <v>Вид топлива, использование которого преобладает в системе теплоснабжения</v>
      </c>
      <c r="C13" s="13" t="str">
        <f>[10]С1.1!E13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4068.0239068534506</v>
      </c>
    </row>
    <row r="18" spans="1:3" ht="42.75">
      <c r="A18" s="16" t="s">
        <v>7</v>
      </c>
      <c r="B18" s="19" t="s">
        <v>8</v>
      </c>
      <c r="C18" s="20">
        <f>[10]С1!F12</f>
        <v>963.60271668959149</v>
      </c>
    </row>
    <row r="19" spans="1:3" ht="42.75">
      <c r="A19" s="16" t="s">
        <v>9</v>
      </c>
      <c r="B19" s="19" t="s">
        <v>10</v>
      </c>
      <c r="C19" s="20">
        <f>[10]С2!F12</f>
        <v>2104.1852054273977</v>
      </c>
    </row>
    <row r="20" spans="1:3" ht="30">
      <c r="A20" s="16" t="s">
        <v>11</v>
      </c>
      <c r="B20" s="19" t="s">
        <v>12</v>
      </c>
      <c r="C20" s="20">
        <f>[10]С3!F12</f>
        <v>503.33593794803642</v>
      </c>
    </row>
    <row r="21" spans="1:3" ht="42.75">
      <c r="A21" s="16" t="s">
        <v>13</v>
      </c>
      <c r="B21" s="19" t="s">
        <v>226</v>
      </c>
      <c r="C21" s="20">
        <f>[10]С4!F12</f>
        <v>417.13487214423975</v>
      </c>
    </row>
    <row r="22" spans="1:3" ht="30">
      <c r="A22" s="16" t="s">
        <v>14</v>
      </c>
      <c r="B22" s="19" t="s">
        <v>227</v>
      </c>
      <c r="C22" s="20">
        <f>[10]С5!F12</f>
        <v>79.765174644185308</v>
      </c>
    </row>
    <row r="23" spans="1:3" ht="43.5" thickBot="1">
      <c r="A23" s="21" t="s">
        <v>15</v>
      </c>
      <c r="B23" s="111" t="s">
        <v>228</v>
      </c>
      <c r="C23" s="22" t="str">
        <f>[10]С6!F12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[10]С1.1!E16</f>
        <v>5100</v>
      </c>
    </row>
    <row r="29" spans="1:3" ht="42.75">
      <c r="A29" s="16" t="s">
        <v>9</v>
      </c>
      <c r="B29" s="27" t="s">
        <v>230</v>
      </c>
      <c r="C29" s="28">
        <f>[10]С1.1!E27</f>
        <v>2590.9666666666667</v>
      </c>
    </row>
    <row r="30" spans="1:3" ht="17.25">
      <c r="A30" s="16" t="s">
        <v>11</v>
      </c>
      <c r="B30" s="27" t="s">
        <v>17</v>
      </c>
      <c r="C30" s="29">
        <f>[10]С1.1!E19</f>
        <v>0.59499999999999997</v>
      </c>
    </row>
    <row r="31" spans="1:3" ht="17.25">
      <c r="A31" s="16" t="s">
        <v>13</v>
      </c>
      <c r="B31" s="27" t="s">
        <v>18</v>
      </c>
      <c r="C31" s="29">
        <f>[10]С1.1!E20</f>
        <v>-0.113</v>
      </c>
    </row>
    <row r="32" spans="1:3" ht="30">
      <c r="A32" s="16" t="s">
        <v>14</v>
      </c>
      <c r="B32" s="30" t="s">
        <v>231</v>
      </c>
      <c r="C32" s="118">
        <f>[10]С1!F13</f>
        <v>176.4</v>
      </c>
    </row>
    <row r="33" spans="1:3">
      <c r="A33" s="16" t="s">
        <v>15</v>
      </c>
      <c r="B33" s="30" t="s">
        <v>19</v>
      </c>
      <c r="C33" s="31">
        <f>[10]С1!F16</f>
        <v>7000</v>
      </c>
    </row>
    <row r="34" spans="1:3" ht="14.25">
      <c r="A34" s="16" t="s">
        <v>20</v>
      </c>
      <c r="B34" s="32" t="s">
        <v>232</v>
      </c>
      <c r="C34" s="33">
        <f>[10]С1!F17</f>
        <v>0.72857142857142854</v>
      </c>
    </row>
    <row r="35" spans="1:3" ht="15.75">
      <c r="A35" s="119" t="s">
        <v>21</v>
      </c>
      <c r="B35" s="34" t="s">
        <v>22</v>
      </c>
      <c r="C35" s="33">
        <f>[10]С1!F20</f>
        <v>21.588411179999994</v>
      </c>
    </row>
    <row r="36" spans="1:3" ht="15.75">
      <c r="A36" s="119" t="s">
        <v>23</v>
      </c>
      <c r="B36" s="35" t="s">
        <v>24</v>
      </c>
      <c r="C36" s="33">
        <f>[10]С1!F21</f>
        <v>20.818139999999996</v>
      </c>
    </row>
    <row r="37" spans="1:3" ht="14.25">
      <c r="A37" s="119" t="s">
        <v>25</v>
      </c>
      <c r="B37" s="36" t="s">
        <v>26</v>
      </c>
      <c r="C37" s="33">
        <f>[10]С1!F22</f>
        <v>1.0369999999999999</v>
      </c>
    </row>
    <row r="38" spans="1:3" ht="53.25" thickBot="1">
      <c r="A38" s="21" t="s">
        <v>27</v>
      </c>
      <c r="B38" s="37" t="s">
        <v>28</v>
      </c>
      <c r="C38" s="38">
        <f>[10]С1!F23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[10]С2.1!E12</f>
        <v>V</v>
      </c>
    </row>
    <row r="42" spans="1:3" ht="25.5">
      <c r="A42" s="16" t="s">
        <v>33</v>
      </c>
      <c r="B42" s="27" t="s">
        <v>34</v>
      </c>
      <c r="C42" s="41" t="str">
        <f>[10]С2.1!E13</f>
        <v>6 и менее баллов</v>
      </c>
    </row>
    <row r="43" spans="1:3" ht="25.5">
      <c r="A43" s="16" t="s">
        <v>35</v>
      </c>
      <c r="B43" s="27" t="s">
        <v>233</v>
      </c>
      <c r="C43" s="41" t="str">
        <f>[10]С2.1!E14</f>
        <v>от 200 до 500</v>
      </c>
    </row>
    <row r="44" spans="1:3" ht="25.5">
      <c r="A44" s="16" t="s">
        <v>36</v>
      </c>
      <c r="B44" s="27" t="s">
        <v>234</v>
      </c>
      <c r="C44" s="42" t="str">
        <f>[10]С2.1!E15</f>
        <v>нет</v>
      </c>
    </row>
    <row r="45" spans="1:3" ht="30">
      <c r="A45" s="16" t="s">
        <v>37</v>
      </c>
      <c r="B45" s="27" t="s">
        <v>38</v>
      </c>
      <c r="C45" s="28">
        <f>[10]С2!F18</f>
        <v>32402.627334033532</v>
      </c>
    </row>
    <row r="46" spans="1:3" ht="30">
      <c r="A46" s="16" t="s">
        <v>39</v>
      </c>
      <c r="B46" s="43" t="s">
        <v>40</v>
      </c>
      <c r="C46" s="28">
        <f>IF([10]С2!F19&gt;0,[10]С2!F19,[10]С2!F20)</f>
        <v>23441.524932855718</v>
      </c>
    </row>
    <row r="47" spans="1:3" ht="25.5">
      <c r="A47" s="16" t="s">
        <v>41</v>
      </c>
      <c r="B47" s="44" t="s">
        <v>42</v>
      </c>
      <c r="C47" s="28">
        <f>[10]С2.1!E19</f>
        <v>-38</v>
      </c>
    </row>
    <row r="48" spans="1:3" ht="25.5">
      <c r="A48" s="16" t="s">
        <v>43</v>
      </c>
      <c r="B48" s="44" t="s">
        <v>44</v>
      </c>
      <c r="C48" s="28" t="str">
        <f>[10]С2.1!E22</f>
        <v>нет</v>
      </c>
    </row>
    <row r="49" spans="1:3" ht="38.25">
      <c r="A49" s="16" t="s">
        <v>45</v>
      </c>
      <c r="B49" s="45" t="s">
        <v>46</v>
      </c>
      <c r="C49" s="28">
        <f>[10]С2.2!E10</f>
        <v>1287</v>
      </c>
    </row>
    <row r="50" spans="1:3" ht="25.5">
      <c r="A50" s="16" t="s">
        <v>47</v>
      </c>
      <c r="B50" s="46" t="s">
        <v>48</v>
      </c>
      <c r="C50" s="28">
        <f>[10]С2.2!E12</f>
        <v>5.97</v>
      </c>
    </row>
    <row r="51" spans="1:3" ht="52.5">
      <c r="A51" s="16" t="s">
        <v>49</v>
      </c>
      <c r="B51" s="47" t="s">
        <v>50</v>
      </c>
      <c r="C51" s="28">
        <f>[10]С2.2!E13</f>
        <v>1</v>
      </c>
    </row>
    <row r="52" spans="1:3" ht="27.75">
      <c r="A52" s="16" t="s">
        <v>51</v>
      </c>
      <c r="B52" s="46" t="s">
        <v>52</v>
      </c>
      <c r="C52" s="28">
        <f>[10]С2.2!E14</f>
        <v>12104</v>
      </c>
    </row>
    <row r="53" spans="1:3" ht="25.5">
      <c r="A53" s="16" t="s">
        <v>53</v>
      </c>
      <c r="B53" s="47" t="s">
        <v>54</v>
      </c>
      <c r="C53" s="29">
        <f>[10]С2.2!E15</f>
        <v>4.8000000000000001E-2</v>
      </c>
    </row>
    <row r="54" spans="1:3">
      <c r="A54" s="16" t="s">
        <v>55</v>
      </c>
      <c r="B54" s="47" t="s">
        <v>56</v>
      </c>
      <c r="C54" s="28">
        <f>[10]С2.2!E16</f>
        <v>1</v>
      </c>
    </row>
    <row r="55" spans="1:3" ht="15.75">
      <c r="A55" s="16" t="s">
        <v>57</v>
      </c>
      <c r="B55" s="48" t="s">
        <v>58</v>
      </c>
      <c r="C55" s="28">
        <f>[10]С2!F21</f>
        <v>1</v>
      </c>
    </row>
    <row r="56" spans="1:3" ht="30">
      <c r="A56" s="49" t="s">
        <v>59</v>
      </c>
      <c r="B56" s="27" t="s">
        <v>235</v>
      </c>
      <c r="C56" s="28">
        <f>[10]С2!F13</f>
        <v>169640.22915965237</v>
      </c>
    </row>
    <row r="57" spans="1:3" ht="30">
      <c r="A57" s="49" t="s">
        <v>60</v>
      </c>
      <c r="B57" s="48" t="s">
        <v>236</v>
      </c>
      <c r="C57" s="28">
        <f>[10]С2!F14</f>
        <v>113455</v>
      </c>
    </row>
    <row r="58" spans="1:3" ht="15.75">
      <c r="A58" s="49" t="s">
        <v>61</v>
      </c>
      <c r="B58" s="50" t="s">
        <v>62</v>
      </c>
      <c r="C58" s="33">
        <f>[10]С2!F15</f>
        <v>1.071</v>
      </c>
    </row>
    <row r="59" spans="1:3" ht="15.75">
      <c r="A59" s="49" t="s">
        <v>63</v>
      </c>
      <c r="B59" s="50" t="s">
        <v>64</v>
      </c>
      <c r="C59" s="33">
        <f>[10]С2!F16</f>
        <v>1</v>
      </c>
    </row>
    <row r="60" spans="1:3" ht="17.25">
      <c r="A60" s="49" t="s">
        <v>65</v>
      </c>
      <c r="B60" s="48" t="s">
        <v>66</v>
      </c>
      <c r="C60" s="28">
        <f>[10]С2!F17</f>
        <v>1.01</v>
      </c>
    </row>
    <row r="61" spans="1:3" s="53" customFormat="1" ht="14.25">
      <c r="A61" s="49" t="s">
        <v>67</v>
      </c>
      <c r="B61" s="51" t="s">
        <v>68</v>
      </c>
      <c r="C61" s="52">
        <f>[10]С2!F33</f>
        <v>10</v>
      </c>
    </row>
    <row r="62" spans="1:3" ht="30">
      <c r="A62" s="49" t="s">
        <v>69</v>
      </c>
      <c r="B62" s="54" t="s">
        <v>70</v>
      </c>
      <c r="C62" s="28">
        <f>[10]С2!F26</f>
        <v>911.22846603392293</v>
      </c>
    </row>
    <row r="63" spans="1:3" ht="17.25">
      <c r="A63" s="49" t="s">
        <v>71</v>
      </c>
      <c r="B63" s="43" t="s">
        <v>237</v>
      </c>
      <c r="C63" s="28">
        <f>[10]С2!F27</f>
        <v>0.15695805999999998</v>
      </c>
    </row>
    <row r="64" spans="1:3" ht="17.25">
      <c r="A64" s="49" t="s">
        <v>72</v>
      </c>
      <c r="B64" s="48" t="s">
        <v>238</v>
      </c>
      <c r="C64" s="52">
        <f>[10]С2!F28</f>
        <v>4200</v>
      </c>
    </row>
    <row r="65" spans="1:3" ht="42.75">
      <c r="A65" s="49" t="s">
        <v>73</v>
      </c>
      <c r="B65" s="27" t="s">
        <v>239</v>
      </c>
      <c r="C65" s="28">
        <f>[10]С2!F22</f>
        <v>35717.748653137714</v>
      </c>
    </row>
    <row r="66" spans="1:3" ht="30">
      <c r="A66" s="49" t="s">
        <v>74</v>
      </c>
      <c r="B66" s="50" t="s">
        <v>240</v>
      </c>
      <c r="C66" s="28">
        <f>[10]С2!F23</f>
        <v>1990</v>
      </c>
    </row>
    <row r="67" spans="1:3" ht="30">
      <c r="A67" s="49" t="s">
        <v>75</v>
      </c>
      <c r="B67" s="43" t="s">
        <v>76</v>
      </c>
      <c r="C67" s="28">
        <f>[10]С2.1!E27</f>
        <v>14307.876789999998</v>
      </c>
    </row>
    <row r="68" spans="1:3" ht="38.25">
      <c r="A68" s="49" t="s">
        <v>77</v>
      </c>
      <c r="B68" s="55" t="s">
        <v>78</v>
      </c>
      <c r="C68" s="42">
        <f>[10]С2.3!E21</f>
        <v>0</v>
      </c>
    </row>
    <row r="69" spans="1:3" ht="25.5">
      <c r="A69" s="49" t="s">
        <v>79</v>
      </c>
      <c r="B69" s="56" t="s">
        <v>80</v>
      </c>
      <c r="C69" s="57">
        <f>[10]С2.3!E11</f>
        <v>9.89</v>
      </c>
    </row>
    <row r="70" spans="1:3" ht="25.5">
      <c r="A70" s="49" t="s">
        <v>81</v>
      </c>
      <c r="B70" s="56" t="s">
        <v>82</v>
      </c>
      <c r="C70" s="52">
        <f>[10]С2.3!E13</f>
        <v>300</v>
      </c>
    </row>
    <row r="71" spans="1:3" ht="25.5">
      <c r="A71" s="49" t="s">
        <v>83</v>
      </c>
      <c r="B71" s="55" t="s">
        <v>84</v>
      </c>
      <c r="C71" s="58">
        <f>IF([10]С2.3!E22&gt;0,[10]С2.3!E22,[10]С2.3!E14)</f>
        <v>61211</v>
      </c>
    </row>
    <row r="72" spans="1:3" ht="38.25">
      <c r="A72" s="49" t="s">
        <v>85</v>
      </c>
      <c r="B72" s="55" t="s">
        <v>86</v>
      </c>
      <c r="C72" s="58">
        <f>IF([10]С2.3!E23&gt;0,[10]С2.3!E23,[10]С2.3!E15)</f>
        <v>45675</v>
      </c>
    </row>
    <row r="73" spans="1:3" ht="30">
      <c r="A73" s="49" t="s">
        <v>87</v>
      </c>
      <c r="B73" s="43" t="s">
        <v>88</v>
      </c>
      <c r="C73" s="28">
        <f>[10]С2.1!E28</f>
        <v>9541.9567200000001</v>
      </c>
    </row>
    <row r="74" spans="1:3" ht="38.25">
      <c r="A74" s="49" t="s">
        <v>89</v>
      </c>
      <c r="B74" s="55" t="s">
        <v>90</v>
      </c>
      <c r="C74" s="42">
        <f>[10]С2.3!E25</f>
        <v>0</v>
      </c>
    </row>
    <row r="75" spans="1:3" ht="25.5">
      <c r="A75" s="49" t="s">
        <v>91</v>
      </c>
      <c r="B75" s="56" t="s">
        <v>92</v>
      </c>
      <c r="C75" s="57">
        <f>[10]С2.3!E12</f>
        <v>0.56000000000000005</v>
      </c>
    </row>
    <row r="76" spans="1:3" ht="25.5">
      <c r="A76" s="49" t="s">
        <v>93</v>
      </c>
      <c r="B76" s="56" t="s">
        <v>82</v>
      </c>
      <c r="C76" s="52">
        <f>[10]С2.3!E13</f>
        <v>300</v>
      </c>
    </row>
    <row r="77" spans="1:3" ht="25.5">
      <c r="A77" s="49" t="s">
        <v>94</v>
      </c>
      <c r="B77" s="59" t="s">
        <v>95</v>
      </c>
      <c r="C77" s="58">
        <f>IF([10]С2.3!E26&gt;0,[10]С2.3!E26,[10]С2.3!E16)</f>
        <v>65637</v>
      </c>
    </row>
    <row r="78" spans="1:3" ht="38.25">
      <c r="A78" s="49" t="s">
        <v>96</v>
      </c>
      <c r="B78" s="59" t="s">
        <v>97</v>
      </c>
      <c r="C78" s="58">
        <f>IF([10]С2.3!E27&gt;0,[10]С2.3!E27,[10]С2.3!E17)</f>
        <v>31684</v>
      </c>
    </row>
    <row r="79" spans="1:3" ht="17.25">
      <c r="A79" s="49" t="s">
        <v>98</v>
      </c>
      <c r="B79" s="27" t="s">
        <v>99</v>
      </c>
      <c r="C79" s="29">
        <f>[10]С2!F29</f>
        <v>0.128978033685065</v>
      </c>
    </row>
    <row r="80" spans="1:3" ht="30">
      <c r="A80" s="49" t="s">
        <v>100</v>
      </c>
      <c r="B80" s="43" t="s">
        <v>101</v>
      </c>
      <c r="C80" s="60">
        <f>[10]С2!F30</f>
        <v>0.11668498168498169</v>
      </c>
    </row>
    <row r="81" spans="1:3" ht="17.25">
      <c r="A81" s="49" t="s">
        <v>102</v>
      </c>
      <c r="B81" s="61" t="s">
        <v>103</v>
      </c>
      <c r="C81" s="29">
        <f>[10]С2!F31</f>
        <v>0.13880000000000001</v>
      </c>
    </row>
    <row r="82" spans="1:3" s="53" customFormat="1" ht="18" thickBot="1">
      <c r="A82" s="62" t="s">
        <v>104</v>
      </c>
      <c r="B82" s="63" t="s">
        <v>105</v>
      </c>
      <c r="C82" s="64">
        <f>[10]С2!F32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[10]С3!F14</f>
        <v>6988.6287956820188</v>
      </c>
    </row>
    <row r="86" spans="1:3" s="53" customFormat="1" ht="42.75">
      <c r="A86" s="67" t="s">
        <v>110</v>
      </c>
      <c r="B86" s="43" t="s">
        <v>111</v>
      </c>
      <c r="C86" s="68">
        <f>[10]С3!F15</f>
        <v>0.2</v>
      </c>
    </row>
    <row r="87" spans="1:3" s="53" customFormat="1" ht="14.25">
      <c r="A87" s="67" t="s">
        <v>112</v>
      </c>
      <c r="B87" s="69" t="s">
        <v>113</v>
      </c>
      <c r="C87" s="52">
        <f>[10]С3!F18</f>
        <v>15</v>
      </c>
    </row>
    <row r="88" spans="1:3" s="53" customFormat="1" ht="17.25">
      <c r="A88" s="67" t="s">
        <v>114</v>
      </c>
      <c r="B88" s="27" t="s">
        <v>115</v>
      </c>
      <c r="C88" s="28">
        <f>[10]С3!F19</f>
        <v>3487.1555421534131</v>
      </c>
    </row>
    <row r="89" spans="1:3" s="53" customFormat="1" ht="55.5">
      <c r="A89" s="67" t="s">
        <v>116</v>
      </c>
      <c r="B89" s="43" t="s">
        <v>117</v>
      </c>
      <c r="C89" s="70">
        <f>[10]С3!F20</f>
        <v>2.1999999999999999E-2</v>
      </c>
    </row>
    <row r="90" spans="1:3" s="53" customFormat="1" ht="14.25">
      <c r="A90" s="67" t="s">
        <v>118</v>
      </c>
      <c r="B90" s="48" t="s">
        <v>68</v>
      </c>
      <c r="C90" s="52">
        <f>[10]С3!F21</f>
        <v>10</v>
      </c>
    </row>
    <row r="91" spans="1:3" s="53" customFormat="1" ht="17.25">
      <c r="A91" s="67" t="s">
        <v>119</v>
      </c>
      <c r="B91" s="27" t="s">
        <v>120</v>
      </c>
      <c r="C91" s="28">
        <f>[10]С3!F22</f>
        <v>2.7336853981017688</v>
      </c>
    </row>
    <row r="92" spans="1:3" s="53" customFormat="1" ht="55.5">
      <c r="A92" s="67" t="s">
        <v>121</v>
      </c>
      <c r="B92" s="43" t="s">
        <v>122</v>
      </c>
      <c r="C92" s="70">
        <f>[10]С3!F23</f>
        <v>3.0000000000000001E-3</v>
      </c>
    </row>
    <row r="93" spans="1:3" s="53" customFormat="1" ht="27.75" thickBot="1">
      <c r="A93" s="71" t="s">
        <v>123</v>
      </c>
      <c r="B93" s="72" t="s">
        <v>241</v>
      </c>
      <c r="C93" s="73">
        <f>[10]С3!F24</f>
        <v>911.22846603392293</v>
      </c>
    </row>
    <row r="94" spans="1:3" ht="13.5" thickBot="1">
      <c r="A94" s="39"/>
      <c r="B94" s="65"/>
      <c r="C94" s="13"/>
    </row>
    <row r="95" spans="1:3" ht="30" customHeight="1">
      <c r="A95" s="74" t="s">
        <v>124</v>
      </c>
      <c r="B95" s="141" t="s">
        <v>125</v>
      </c>
      <c r="C95" s="141"/>
    </row>
    <row r="96" spans="1:3" ht="30">
      <c r="A96" s="49" t="s">
        <v>126</v>
      </c>
      <c r="B96" s="27" t="s">
        <v>242</v>
      </c>
      <c r="C96" s="28">
        <f>[10]С4!F16</f>
        <v>1652.5</v>
      </c>
    </row>
    <row r="97" spans="1:3" ht="30">
      <c r="A97" s="49" t="s">
        <v>127</v>
      </c>
      <c r="B97" s="48" t="s">
        <v>243</v>
      </c>
      <c r="C97" s="28">
        <f>[10]С4!F17</f>
        <v>73547</v>
      </c>
    </row>
    <row r="98" spans="1:3" ht="17.25">
      <c r="A98" s="49" t="s">
        <v>128</v>
      </c>
      <c r="B98" s="48" t="s">
        <v>129</v>
      </c>
      <c r="C98" s="33">
        <f>[10]С4!F18</f>
        <v>0.02</v>
      </c>
    </row>
    <row r="99" spans="1:3" ht="30">
      <c r="A99" s="49" t="s">
        <v>130</v>
      </c>
      <c r="B99" s="48" t="s">
        <v>131</v>
      </c>
      <c r="C99" s="28">
        <f>[10]С4!F19</f>
        <v>12104</v>
      </c>
    </row>
    <row r="100" spans="1:3" ht="31.5">
      <c r="A100" s="49" t="s">
        <v>132</v>
      </c>
      <c r="B100" s="48" t="s">
        <v>133</v>
      </c>
      <c r="C100" s="33">
        <f>[10]С4!F20</f>
        <v>1.4999999999999999E-2</v>
      </c>
    </row>
    <row r="101" spans="1:3" ht="30">
      <c r="A101" s="49" t="s">
        <v>134</v>
      </c>
      <c r="B101" s="27" t="s">
        <v>244</v>
      </c>
      <c r="C101" s="28">
        <f>[10]С4!F21</f>
        <v>1933.1949342509995</v>
      </c>
    </row>
    <row r="102" spans="1:3" ht="24" customHeight="1">
      <c r="A102" s="49" t="s">
        <v>135</v>
      </c>
      <c r="B102" s="43" t="s">
        <v>136</v>
      </c>
      <c r="C102" s="75">
        <f>IF([10]С4.2!F8="да",[10]С4.2!D21,[10]С4.2!D15)</f>
        <v>0</v>
      </c>
    </row>
    <row r="103" spans="1:3" ht="68.25">
      <c r="A103" s="49" t="s">
        <v>137</v>
      </c>
      <c r="B103" s="43" t="s">
        <v>138</v>
      </c>
      <c r="C103" s="28">
        <f>[10]С4!F22</f>
        <v>3.6112641666666665</v>
      </c>
    </row>
    <row r="104" spans="1:3" ht="30">
      <c r="A104" s="49" t="s">
        <v>139</v>
      </c>
      <c r="B104" s="48" t="s">
        <v>245</v>
      </c>
      <c r="C104" s="28">
        <f>[10]С4!F23</f>
        <v>180</v>
      </c>
    </row>
    <row r="105" spans="1:3" ht="14.25">
      <c r="A105" s="49" t="s">
        <v>140</v>
      </c>
      <c r="B105" s="43" t="s">
        <v>141</v>
      </c>
      <c r="C105" s="28">
        <f>[10]С4!F24</f>
        <v>8497.1999999999989</v>
      </c>
    </row>
    <row r="106" spans="1:3" ht="14.25">
      <c r="A106" s="49" t="s">
        <v>142</v>
      </c>
      <c r="B106" s="48" t="s">
        <v>143</v>
      </c>
      <c r="C106" s="33">
        <f>[10]С4!F25</f>
        <v>0.35</v>
      </c>
    </row>
    <row r="107" spans="1:3" ht="17.25">
      <c r="A107" s="49" t="s">
        <v>144</v>
      </c>
      <c r="B107" s="27" t="s">
        <v>145</v>
      </c>
      <c r="C107" s="28">
        <f>[10]С4!F26</f>
        <v>150.78858000000002</v>
      </c>
    </row>
    <row r="108" spans="1:3" ht="25.5">
      <c r="A108" s="49" t="s">
        <v>146</v>
      </c>
      <c r="B108" s="43" t="s">
        <v>78</v>
      </c>
      <c r="C108" s="75">
        <f>[10]С4.3!E16</f>
        <v>0</v>
      </c>
    </row>
    <row r="109" spans="1:3" ht="25.5">
      <c r="A109" s="49" t="s">
        <v>147</v>
      </c>
      <c r="B109" s="43" t="s">
        <v>148</v>
      </c>
      <c r="C109" s="28">
        <f>[10]С4.3!E17</f>
        <v>41.06</v>
      </c>
    </row>
    <row r="110" spans="1:3" ht="38.25">
      <c r="A110" s="49" t="s">
        <v>149</v>
      </c>
      <c r="B110" s="43" t="s">
        <v>90</v>
      </c>
      <c r="C110" s="75">
        <f>[10]С4.3!E18</f>
        <v>0</v>
      </c>
    </row>
    <row r="111" spans="1:3">
      <c r="A111" s="49" t="s">
        <v>150</v>
      </c>
      <c r="B111" s="43" t="s">
        <v>151</v>
      </c>
      <c r="C111" s="28">
        <f>[10]С4.3!E19</f>
        <v>33.29</v>
      </c>
    </row>
    <row r="112" spans="1:3">
      <c r="A112" s="49" t="s">
        <v>152</v>
      </c>
      <c r="B112" s="48" t="s">
        <v>153</v>
      </c>
      <c r="C112" s="28">
        <f>[10]С4.3!E11</f>
        <v>1871</v>
      </c>
    </row>
    <row r="113" spans="1:3">
      <c r="A113" s="49" t="s">
        <v>154</v>
      </c>
      <c r="B113" s="48" t="s">
        <v>155</v>
      </c>
      <c r="C113" s="42">
        <f>[10]С4.3!E12</f>
        <v>1636</v>
      </c>
    </row>
    <row r="114" spans="1:3">
      <c r="A114" s="49" t="s">
        <v>156</v>
      </c>
      <c r="B114" s="48" t="s">
        <v>157</v>
      </c>
      <c r="C114" s="42">
        <f>[10]С4.3!E13</f>
        <v>204</v>
      </c>
    </row>
    <row r="115" spans="1:3" ht="30">
      <c r="A115" s="49" t="s">
        <v>158</v>
      </c>
      <c r="B115" s="27" t="s">
        <v>246</v>
      </c>
      <c r="C115" s="28">
        <f>[10]С4!F27</f>
        <v>998.55949805489831</v>
      </c>
    </row>
    <row r="116" spans="1:3" ht="25.5">
      <c r="A116" s="49" t="s">
        <v>159</v>
      </c>
      <c r="B116" s="43" t="s">
        <v>247</v>
      </c>
      <c r="C116" s="28">
        <f>[10]С4!F28</f>
        <v>766.94277884400788</v>
      </c>
    </row>
    <row r="117" spans="1:3" ht="42.75">
      <c r="A117" s="49" t="s">
        <v>160</v>
      </c>
      <c r="B117" s="43" t="s">
        <v>161</v>
      </c>
      <c r="C117" s="28">
        <f>[10]С4!F29</f>
        <v>231.61671921089041</v>
      </c>
    </row>
    <row r="118" spans="1:3" ht="30">
      <c r="A118" s="49" t="s">
        <v>162</v>
      </c>
      <c r="B118" s="32" t="s">
        <v>163</v>
      </c>
      <c r="C118" s="28">
        <f>[10]С4!F30</f>
        <v>2138.841908896251</v>
      </c>
    </row>
    <row r="119" spans="1:3" ht="42.75">
      <c r="A119" s="49" t="s">
        <v>248</v>
      </c>
      <c r="B119" s="76" t="s">
        <v>249</v>
      </c>
      <c r="C119" s="28">
        <f>[10]С4!F33</f>
        <v>1421.2698192296975</v>
      </c>
    </row>
    <row r="120" spans="1:3" ht="30">
      <c r="A120" s="49" t="s">
        <v>250</v>
      </c>
      <c r="B120" s="122" t="s">
        <v>251</v>
      </c>
      <c r="C120" s="28">
        <f>[10]С4!F35</f>
        <v>17.040680999999999</v>
      </c>
    </row>
    <row r="121" spans="1:3" ht="14.25">
      <c r="A121" s="49" t="s">
        <v>252</v>
      </c>
      <c r="B121" s="46" t="s">
        <v>253</v>
      </c>
      <c r="C121" s="28">
        <f>[10]С4!F36</f>
        <v>14319.9</v>
      </c>
    </row>
    <row r="122" spans="1:3" ht="28.5" thickBot="1">
      <c r="A122" s="62" t="s">
        <v>254</v>
      </c>
      <c r="B122" s="123" t="s">
        <v>255</v>
      </c>
      <c r="C122" s="73">
        <f>[10]С4!F37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[10]С5!F17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[10]С2!F37</f>
        <v>20.818139999999996</v>
      </c>
    </row>
    <row r="136" spans="1:4" ht="14.25">
      <c r="A136" s="49" t="s">
        <v>183</v>
      </c>
      <c r="B136" s="129" t="s">
        <v>184</v>
      </c>
      <c r="C136" s="28">
        <f>[10]С2!F38</f>
        <v>7</v>
      </c>
    </row>
    <row r="137" spans="1:4" ht="17.25">
      <c r="A137" s="49" t="s">
        <v>185</v>
      </c>
      <c r="B137" s="129" t="s">
        <v>186</v>
      </c>
      <c r="C137" s="28">
        <f>[10]С2!F40</f>
        <v>0.97</v>
      </c>
    </row>
    <row r="138" spans="1:4" ht="15" thickBot="1">
      <c r="A138" s="62" t="s">
        <v>187</v>
      </c>
      <c r="B138" s="130" t="s">
        <v>188</v>
      </c>
      <c r="C138" s="38">
        <f>[10]С2!F42</f>
        <v>0.35</v>
      </c>
    </row>
    <row r="139" spans="1:4" s="77" customFormat="1" ht="13.5" thickBot="1">
      <c r="A139" s="39"/>
      <c r="B139" s="65"/>
      <c r="C139" s="13"/>
    </row>
    <row r="140" spans="1:4" ht="30">
      <c r="A140" s="74" t="s">
        <v>189</v>
      </c>
      <c r="B140" s="84" t="s">
        <v>258</v>
      </c>
      <c r="C140" s="131">
        <f>[10]С2!F35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[10]С2.5!$E$11</f>
        <v>-2.9000000000000026E-2</v>
      </c>
      <c r="D143" s="77"/>
    </row>
    <row r="144" spans="1:4">
      <c r="A144" s="85"/>
      <c r="B144" s="86">
        <f>B143+1</f>
        <v>2021</v>
      </c>
      <c r="C144" s="136">
        <f>[10]С2.5!$F$11</f>
        <v>0.245</v>
      </c>
      <c r="D144" s="77"/>
    </row>
    <row r="145" spans="1:4">
      <c r="A145" s="85"/>
      <c r="B145" s="86">
        <f t="shared" ref="B145:B208" si="0">B144+1</f>
        <v>2022</v>
      </c>
      <c r="C145" s="136">
        <f>[10]С2.5!$G$11</f>
        <v>0.121</v>
      </c>
      <c r="D145" s="77"/>
    </row>
    <row r="146" spans="1:4" ht="13.5" thickBot="1">
      <c r="A146" s="85"/>
      <c r="B146" s="87">
        <f t="shared" si="0"/>
        <v>2023</v>
      </c>
      <c r="C146" s="137">
        <f>[10]С2.5!$H$11</f>
        <v>0.02</v>
      </c>
      <c r="D146" s="77"/>
    </row>
    <row r="147" spans="1:4" hidden="1">
      <c r="A147" s="85"/>
      <c r="B147" s="138">
        <f t="shared" si="0"/>
        <v>2024</v>
      </c>
      <c r="C147" s="139">
        <f>[10]С2.5!$I$11</f>
        <v>-2.93E-2</v>
      </c>
      <c r="D147" s="77"/>
    </row>
    <row r="148" spans="1:4" hidden="1">
      <c r="A148" s="85"/>
      <c r="B148" s="86">
        <f t="shared" si="0"/>
        <v>2025</v>
      </c>
      <c r="C148" s="136">
        <f>[10]С2.5!$J$11</f>
        <v>0.21215960863291</v>
      </c>
      <c r="D148" s="77"/>
    </row>
    <row r="149" spans="1:4" hidden="1">
      <c r="A149" s="85"/>
      <c r="B149" s="86">
        <f t="shared" si="0"/>
        <v>2026</v>
      </c>
      <c r="C149" s="136">
        <f>[10]С2.5!$K$11</f>
        <v>3.5813361771260002E-2</v>
      </c>
      <c r="D149" s="77"/>
    </row>
    <row r="150" spans="1:4" hidden="1">
      <c r="A150" s="85"/>
      <c r="B150" s="86">
        <f t="shared" si="0"/>
        <v>2027</v>
      </c>
      <c r="C150" s="136">
        <f>[10]С2.5!$L$11</f>
        <v>3.2682303599220003E-2</v>
      </c>
      <c r="D150" s="77"/>
    </row>
    <row r="151" spans="1:4" hidden="1">
      <c r="A151" s="85"/>
      <c r="B151" s="86">
        <f t="shared" si="0"/>
        <v>2028</v>
      </c>
      <c r="C151" s="136">
        <f>[10]С2.5!$M$11</f>
        <v>0</v>
      </c>
      <c r="D151" s="77"/>
    </row>
    <row r="152" spans="1:4" hidden="1">
      <c r="A152" s="85"/>
      <c r="B152" s="86">
        <f t="shared" si="0"/>
        <v>2029</v>
      </c>
      <c r="C152" s="136">
        <f>[10]С2.5!$N$11</f>
        <v>0</v>
      </c>
      <c r="D152" s="77"/>
    </row>
    <row r="153" spans="1:4" hidden="1">
      <c r="A153" s="85"/>
      <c r="B153" s="86">
        <f t="shared" si="0"/>
        <v>2030</v>
      </c>
      <c r="C153" s="136">
        <f>[10]С2.5!$O$11</f>
        <v>0</v>
      </c>
      <c r="D153" s="77"/>
    </row>
    <row r="154" spans="1:4" hidden="1">
      <c r="A154" s="85"/>
      <c r="B154" s="86">
        <f t="shared" si="0"/>
        <v>2031</v>
      </c>
      <c r="C154" s="136">
        <f>[10]С2.5!$P$11</f>
        <v>0</v>
      </c>
      <c r="D154" s="77"/>
    </row>
    <row r="155" spans="1:4" hidden="1">
      <c r="A155" s="77"/>
      <c r="B155" s="86">
        <f t="shared" si="0"/>
        <v>2032</v>
      </c>
      <c r="C155" s="136">
        <f>[10]С2.5!$Q$11</f>
        <v>0</v>
      </c>
      <c r="D155" s="77"/>
    </row>
    <row r="156" spans="1:4" hidden="1">
      <c r="A156" s="77"/>
      <c r="B156" s="86">
        <f t="shared" si="0"/>
        <v>2033</v>
      </c>
      <c r="C156" s="136">
        <f>[10]С2.5!$R$11</f>
        <v>0</v>
      </c>
      <c r="D156" s="77"/>
    </row>
    <row r="157" spans="1:4" hidden="1">
      <c r="B157" s="86">
        <f t="shared" si="0"/>
        <v>2034</v>
      </c>
      <c r="C157" s="136">
        <f>[10]С2.5!$S$11</f>
        <v>0</v>
      </c>
    </row>
    <row r="158" spans="1:4" hidden="1">
      <c r="B158" s="86">
        <f t="shared" si="0"/>
        <v>2035</v>
      </c>
      <c r="C158" s="136">
        <f>[10]С2.5!$T$11</f>
        <v>0</v>
      </c>
    </row>
    <row r="159" spans="1:4" hidden="1">
      <c r="B159" s="86">
        <f t="shared" si="0"/>
        <v>2036</v>
      </c>
      <c r="C159" s="136">
        <f>[10]С2.5!$U$11</f>
        <v>0</v>
      </c>
    </row>
    <row r="160" spans="1:4" hidden="1">
      <c r="B160" s="86">
        <f t="shared" si="0"/>
        <v>2037</v>
      </c>
      <c r="C160" s="136">
        <f>[10]С2.5!$V$11</f>
        <v>0</v>
      </c>
    </row>
    <row r="161" spans="2:3" hidden="1">
      <c r="B161" s="86">
        <f t="shared" si="0"/>
        <v>2038</v>
      </c>
      <c r="C161" s="136">
        <f>[10]С2.5!$W$11</f>
        <v>0</v>
      </c>
    </row>
    <row r="162" spans="2:3" hidden="1">
      <c r="B162" s="86">
        <f t="shared" si="0"/>
        <v>2039</v>
      </c>
      <c r="C162" s="136">
        <f>[10]С2.5!$X$11</f>
        <v>0</v>
      </c>
    </row>
    <row r="163" spans="2:3" hidden="1">
      <c r="B163" s="86">
        <f t="shared" si="0"/>
        <v>2040</v>
      </c>
      <c r="C163" s="136">
        <f>[10]С2.5!$Y$11</f>
        <v>0</v>
      </c>
    </row>
    <row r="164" spans="2:3" hidden="1">
      <c r="B164" s="86">
        <f t="shared" si="0"/>
        <v>2041</v>
      </c>
      <c r="C164" s="136">
        <f>[10]С2.5!$Z$11</f>
        <v>0</v>
      </c>
    </row>
    <row r="165" spans="2:3" hidden="1">
      <c r="B165" s="86">
        <f t="shared" si="0"/>
        <v>2042</v>
      </c>
      <c r="C165" s="136">
        <f>[10]С2.5!$AA$11</f>
        <v>0</v>
      </c>
    </row>
    <row r="166" spans="2:3" hidden="1">
      <c r="B166" s="86">
        <f t="shared" si="0"/>
        <v>2043</v>
      </c>
      <c r="C166" s="136">
        <f>[10]С2.5!$AB$11</f>
        <v>0</v>
      </c>
    </row>
    <row r="167" spans="2:3" hidden="1">
      <c r="B167" s="86">
        <f t="shared" si="0"/>
        <v>2044</v>
      </c>
      <c r="C167" s="136">
        <f>[10]С2.5!$AC$11</f>
        <v>0</v>
      </c>
    </row>
    <row r="168" spans="2:3" hidden="1">
      <c r="B168" s="86">
        <f t="shared" si="0"/>
        <v>2045</v>
      </c>
      <c r="C168" s="136">
        <f>[10]С2.5!$AD$11</f>
        <v>0</v>
      </c>
    </row>
    <row r="169" spans="2:3" hidden="1">
      <c r="B169" s="86">
        <f t="shared" si="0"/>
        <v>2046</v>
      </c>
      <c r="C169" s="136">
        <f>[10]С2.5!$AE$11</f>
        <v>0</v>
      </c>
    </row>
    <row r="170" spans="2:3" hidden="1">
      <c r="B170" s="86">
        <f t="shared" si="0"/>
        <v>2047</v>
      </c>
      <c r="C170" s="136">
        <f>[10]С2.5!$AF$11</f>
        <v>0</v>
      </c>
    </row>
    <row r="171" spans="2:3" hidden="1">
      <c r="B171" s="86">
        <f t="shared" si="0"/>
        <v>2048</v>
      </c>
      <c r="C171" s="136">
        <f>[10]С2.5!$AG$11</f>
        <v>0</v>
      </c>
    </row>
    <row r="172" spans="2:3" hidden="1">
      <c r="B172" s="86">
        <f t="shared" si="0"/>
        <v>2049</v>
      </c>
      <c r="C172" s="136">
        <f>[10]С2.5!$AH$11</f>
        <v>0</v>
      </c>
    </row>
    <row r="173" spans="2:3" hidden="1">
      <c r="B173" s="86">
        <f t="shared" si="0"/>
        <v>2050</v>
      </c>
      <c r="C173" s="136">
        <f>[10]С2.5!$AI$11</f>
        <v>0</v>
      </c>
    </row>
    <row r="174" spans="2:3" hidden="1">
      <c r="B174" s="86">
        <f t="shared" si="0"/>
        <v>2051</v>
      </c>
      <c r="C174" s="136">
        <f>[10]С2.5!$AJ$11</f>
        <v>0</v>
      </c>
    </row>
    <row r="175" spans="2:3" hidden="1">
      <c r="B175" s="86">
        <f t="shared" si="0"/>
        <v>2052</v>
      </c>
      <c r="C175" s="136">
        <f>[10]С2.5!$AK$11</f>
        <v>0</v>
      </c>
    </row>
    <row r="176" spans="2:3" hidden="1">
      <c r="B176" s="86">
        <f t="shared" si="0"/>
        <v>2053</v>
      </c>
      <c r="C176" s="136">
        <f>[10]С2.5!$AL$11</f>
        <v>0</v>
      </c>
    </row>
    <row r="177" spans="2:3" hidden="1">
      <c r="B177" s="86">
        <f t="shared" si="0"/>
        <v>2054</v>
      </c>
      <c r="C177" s="136">
        <f>[10]С2.5!$AM$11</f>
        <v>0</v>
      </c>
    </row>
    <row r="178" spans="2:3" hidden="1">
      <c r="B178" s="86">
        <f t="shared" si="0"/>
        <v>2055</v>
      </c>
      <c r="C178" s="136">
        <f>[10]С2.5!$AN$11</f>
        <v>0</v>
      </c>
    </row>
    <row r="179" spans="2:3" hidden="1">
      <c r="B179" s="86">
        <f t="shared" si="0"/>
        <v>2056</v>
      </c>
      <c r="C179" s="136">
        <f>[10]С2.5!$AO$11</f>
        <v>0</v>
      </c>
    </row>
    <row r="180" spans="2:3" hidden="1">
      <c r="B180" s="86">
        <f t="shared" si="0"/>
        <v>2057</v>
      </c>
      <c r="C180" s="136">
        <f>[10]С2.5!$AP$11</f>
        <v>0</v>
      </c>
    </row>
    <row r="181" spans="2:3" hidden="1">
      <c r="B181" s="86">
        <f t="shared" si="0"/>
        <v>2058</v>
      </c>
      <c r="C181" s="136">
        <f>[10]С2.5!$AQ$11</f>
        <v>0</v>
      </c>
    </row>
    <row r="182" spans="2:3" hidden="1">
      <c r="B182" s="86">
        <f t="shared" si="0"/>
        <v>2059</v>
      </c>
      <c r="C182" s="136">
        <f>[10]С2.5!$AR$11</f>
        <v>0</v>
      </c>
    </row>
    <row r="183" spans="2:3" hidden="1">
      <c r="B183" s="86">
        <f t="shared" si="0"/>
        <v>2060</v>
      </c>
      <c r="C183" s="136">
        <f>[10]С2.5!$AS$11</f>
        <v>0</v>
      </c>
    </row>
    <row r="184" spans="2:3" hidden="1">
      <c r="B184" s="86">
        <f t="shared" si="0"/>
        <v>2061</v>
      </c>
      <c r="C184" s="136">
        <f>[10]С2.5!$AT$11</f>
        <v>0</v>
      </c>
    </row>
    <row r="185" spans="2:3" hidden="1">
      <c r="B185" s="86">
        <f t="shared" si="0"/>
        <v>2062</v>
      </c>
      <c r="C185" s="136">
        <f>[10]С2.5!$AU$11</f>
        <v>0</v>
      </c>
    </row>
    <row r="186" spans="2:3" hidden="1">
      <c r="B186" s="86">
        <f t="shared" si="0"/>
        <v>2063</v>
      </c>
      <c r="C186" s="136">
        <f>[10]С2.5!$AV$11</f>
        <v>0</v>
      </c>
    </row>
    <row r="187" spans="2:3" hidden="1">
      <c r="B187" s="86">
        <f t="shared" si="0"/>
        <v>2064</v>
      </c>
      <c r="C187" s="136">
        <f>[10]С2.5!$AW$11</f>
        <v>0</v>
      </c>
    </row>
    <row r="188" spans="2:3" hidden="1">
      <c r="B188" s="86">
        <f t="shared" si="0"/>
        <v>2065</v>
      </c>
      <c r="C188" s="136">
        <f>[10]С2.5!$AX$11</f>
        <v>0</v>
      </c>
    </row>
    <row r="189" spans="2:3" hidden="1">
      <c r="B189" s="86">
        <f t="shared" si="0"/>
        <v>2066</v>
      </c>
      <c r="C189" s="136">
        <f>[10]С2.5!$AY$11</f>
        <v>0</v>
      </c>
    </row>
    <row r="190" spans="2:3" hidden="1">
      <c r="B190" s="86">
        <f t="shared" si="0"/>
        <v>2067</v>
      </c>
      <c r="C190" s="136">
        <f>[10]С2.5!$AZ$11</f>
        <v>0</v>
      </c>
    </row>
    <row r="191" spans="2:3" hidden="1">
      <c r="B191" s="86">
        <f t="shared" si="0"/>
        <v>2068</v>
      </c>
      <c r="C191" s="136">
        <f>[10]С2.5!$BA$11</f>
        <v>0</v>
      </c>
    </row>
    <row r="192" spans="2:3" hidden="1">
      <c r="B192" s="86">
        <f t="shared" si="0"/>
        <v>2069</v>
      </c>
      <c r="C192" s="136">
        <f>[10]С2.5!$BB$11</f>
        <v>0</v>
      </c>
    </row>
    <row r="193" spans="2:3" hidden="1">
      <c r="B193" s="86">
        <f t="shared" si="0"/>
        <v>2070</v>
      </c>
      <c r="C193" s="136">
        <f>[10]С2.5!$BC$11</f>
        <v>0</v>
      </c>
    </row>
    <row r="194" spans="2:3" hidden="1">
      <c r="B194" s="86">
        <f t="shared" si="0"/>
        <v>2071</v>
      </c>
      <c r="C194" s="136">
        <f>[10]С2.5!$BD$11</f>
        <v>0</v>
      </c>
    </row>
    <row r="195" spans="2:3" hidden="1">
      <c r="B195" s="86">
        <f t="shared" si="0"/>
        <v>2072</v>
      </c>
      <c r="C195" s="136">
        <f>[10]С2.5!$BE$11</f>
        <v>0</v>
      </c>
    </row>
    <row r="196" spans="2:3" hidden="1">
      <c r="B196" s="86">
        <f t="shared" si="0"/>
        <v>2073</v>
      </c>
      <c r="C196" s="136">
        <f>[10]С2.5!$BF$11</f>
        <v>0</v>
      </c>
    </row>
    <row r="197" spans="2:3" hidden="1">
      <c r="B197" s="86">
        <f t="shared" si="0"/>
        <v>2074</v>
      </c>
      <c r="C197" s="136">
        <f>[10]С2.5!$BG$11</f>
        <v>0</v>
      </c>
    </row>
    <row r="198" spans="2:3" hidden="1">
      <c r="B198" s="86">
        <f t="shared" si="0"/>
        <v>2075</v>
      </c>
      <c r="C198" s="136">
        <f>[10]С2.5!$BH$11</f>
        <v>0</v>
      </c>
    </row>
    <row r="199" spans="2:3" hidden="1">
      <c r="B199" s="86">
        <f t="shared" si="0"/>
        <v>2076</v>
      </c>
      <c r="C199" s="136">
        <f>[10]С2.5!$BI$11</f>
        <v>0</v>
      </c>
    </row>
    <row r="200" spans="2:3" hidden="1">
      <c r="B200" s="86">
        <f t="shared" si="0"/>
        <v>2077</v>
      </c>
      <c r="C200" s="136">
        <f>[10]С2.5!$BJ$11</f>
        <v>0</v>
      </c>
    </row>
    <row r="201" spans="2:3" hidden="1">
      <c r="B201" s="86">
        <f t="shared" si="0"/>
        <v>2078</v>
      </c>
      <c r="C201" s="136">
        <f>[10]С2.5!$BK$11</f>
        <v>0</v>
      </c>
    </row>
    <row r="202" spans="2:3" hidden="1">
      <c r="B202" s="86">
        <f t="shared" si="0"/>
        <v>2079</v>
      </c>
      <c r="C202" s="136">
        <f>[10]С2.5!$BL$11</f>
        <v>0</v>
      </c>
    </row>
    <row r="203" spans="2:3" hidden="1">
      <c r="B203" s="86">
        <f t="shared" si="0"/>
        <v>2080</v>
      </c>
      <c r="C203" s="136">
        <f>[10]С2.5!$BM$11</f>
        <v>0</v>
      </c>
    </row>
    <row r="204" spans="2:3" hidden="1">
      <c r="B204" s="86">
        <f t="shared" si="0"/>
        <v>2081</v>
      </c>
      <c r="C204" s="136">
        <f>[10]С2.5!$BN$11</f>
        <v>0</v>
      </c>
    </row>
    <row r="205" spans="2:3" hidden="1">
      <c r="B205" s="86">
        <f t="shared" si="0"/>
        <v>2082</v>
      </c>
      <c r="C205" s="136">
        <f>[10]С2.5!$BO$11</f>
        <v>0</v>
      </c>
    </row>
    <row r="206" spans="2:3" hidden="1">
      <c r="B206" s="86">
        <f t="shared" si="0"/>
        <v>2083</v>
      </c>
      <c r="C206" s="136">
        <f>[10]С2.5!$BP$11</f>
        <v>0</v>
      </c>
    </row>
    <row r="207" spans="2:3" hidden="1">
      <c r="B207" s="86">
        <f t="shared" si="0"/>
        <v>2084</v>
      </c>
      <c r="C207" s="136">
        <f>[10]С2.5!$BQ$11</f>
        <v>0</v>
      </c>
    </row>
    <row r="208" spans="2:3" hidden="1">
      <c r="B208" s="86">
        <f t="shared" si="0"/>
        <v>2085</v>
      </c>
      <c r="C208" s="136">
        <f>[10]С2.5!$BR$11</f>
        <v>0</v>
      </c>
    </row>
    <row r="209" spans="2:3" hidden="1">
      <c r="B209" s="86">
        <f t="shared" ref="B209:B223" si="1">B208+1</f>
        <v>2086</v>
      </c>
      <c r="C209" s="136">
        <f>[10]С2.5!$BS$11</f>
        <v>0</v>
      </c>
    </row>
    <row r="210" spans="2:3" hidden="1">
      <c r="B210" s="86">
        <f t="shared" si="1"/>
        <v>2087</v>
      </c>
      <c r="C210" s="136">
        <f>[10]С2.5!$BT$11</f>
        <v>0</v>
      </c>
    </row>
    <row r="211" spans="2:3" hidden="1">
      <c r="B211" s="86">
        <f t="shared" si="1"/>
        <v>2088</v>
      </c>
      <c r="C211" s="136">
        <f>[10]С2.5!$BU$11</f>
        <v>0</v>
      </c>
    </row>
    <row r="212" spans="2:3" hidden="1">
      <c r="B212" s="86">
        <f t="shared" si="1"/>
        <v>2089</v>
      </c>
      <c r="C212" s="136">
        <f>[10]С2.5!$BV$11</f>
        <v>0</v>
      </c>
    </row>
    <row r="213" spans="2:3" hidden="1">
      <c r="B213" s="86">
        <f t="shared" si="1"/>
        <v>2090</v>
      </c>
      <c r="C213" s="136">
        <f>[10]С2.5!$BW$11</f>
        <v>0</v>
      </c>
    </row>
    <row r="214" spans="2:3" hidden="1">
      <c r="B214" s="86">
        <f t="shared" si="1"/>
        <v>2091</v>
      </c>
      <c r="C214" s="136">
        <f>[10]С2.5!$BX$11</f>
        <v>0</v>
      </c>
    </row>
    <row r="215" spans="2:3" hidden="1">
      <c r="B215" s="86">
        <f t="shared" si="1"/>
        <v>2092</v>
      </c>
      <c r="C215" s="136">
        <f>[10]С2.5!$BY$11</f>
        <v>0</v>
      </c>
    </row>
    <row r="216" spans="2:3" hidden="1">
      <c r="B216" s="86">
        <f t="shared" si="1"/>
        <v>2093</v>
      </c>
      <c r="C216" s="136">
        <f>[10]С2.5!$BZ$11</f>
        <v>0</v>
      </c>
    </row>
    <row r="217" spans="2:3" hidden="1">
      <c r="B217" s="86">
        <f t="shared" si="1"/>
        <v>2094</v>
      </c>
      <c r="C217" s="136">
        <f>[10]С2.5!$CA$11</f>
        <v>0</v>
      </c>
    </row>
    <row r="218" spans="2:3" hidden="1">
      <c r="B218" s="86">
        <f t="shared" si="1"/>
        <v>2095</v>
      </c>
      <c r="C218" s="136">
        <f>[10]С2.5!$CB$11</f>
        <v>0</v>
      </c>
    </row>
    <row r="219" spans="2:3" hidden="1">
      <c r="B219" s="86">
        <f t="shared" si="1"/>
        <v>2096</v>
      </c>
      <c r="C219" s="136">
        <f>[10]С2.5!$CC$11</f>
        <v>0</v>
      </c>
    </row>
    <row r="220" spans="2:3" hidden="1">
      <c r="B220" s="86">
        <f t="shared" si="1"/>
        <v>2097</v>
      </c>
      <c r="C220" s="136">
        <f>[10]С2.5!$CD$11</f>
        <v>0</v>
      </c>
    </row>
    <row r="221" spans="2:3" hidden="1">
      <c r="B221" s="86">
        <f t="shared" si="1"/>
        <v>2098</v>
      </c>
      <c r="C221" s="136">
        <f>[10]С2.5!$CE$11</f>
        <v>0</v>
      </c>
    </row>
    <row r="222" spans="2:3" hidden="1">
      <c r="B222" s="86">
        <f t="shared" si="1"/>
        <v>2099</v>
      </c>
      <c r="C222" s="136">
        <f>[10]С2.5!$CF$11</f>
        <v>0</v>
      </c>
    </row>
    <row r="223" spans="2:3" ht="13.5" hidden="1" thickBot="1">
      <c r="B223" s="87">
        <f t="shared" si="1"/>
        <v>2100</v>
      </c>
      <c r="C223" s="137">
        <f>[10]С2.5!$CG$11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6865"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1" sqref="E21"/>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[11]И1!D13</f>
        <v>Субъект Российской Федерации</v>
      </c>
      <c r="C4" s="8" t="str">
        <f>[11]И1!E13</f>
        <v>Новосибирская область</v>
      </c>
    </row>
    <row r="5" spans="1:3" ht="38.25">
      <c r="A5" s="6"/>
      <c r="B5" s="7" t="str">
        <f>[11]И1!D14</f>
        <v>Тип муниципального образования (выберите из списка)</v>
      </c>
      <c r="C5" s="8" t="str">
        <f>[11]И1!E14</f>
        <v>село Отреченское, Чановский муниципальный район</v>
      </c>
    </row>
    <row r="6" spans="1:3">
      <c r="A6" s="6"/>
      <c r="B6" s="7" t="str">
        <f>IF([11]И1!E15="","",[11]И1!D15)</f>
        <v/>
      </c>
      <c r="C6" s="8" t="str">
        <f>IF([11]И1!E15="","",[11]И1!E15)</f>
        <v/>
      </c>
    </row>
    <row r="7" spans="1:3">
      <c r="A7" s="6"/>
      <c r="B7" s="7" t="str">
        <f>[11]И1!D16</f>
        <v>Код ОКТМО</v>
      </c>
      <c r="C7" s="9" t="str">
        <f>[11]И1!E16</f>
        <v>50656416101</v>
      </c>
    </row>
    <row r="8" spans="1:3">
      <c r="A8" s="6"/>
      <c r="B8" s="10" t="str">
        <f>[11]И1!D17</f>
        <v>Система теплоснабжения</v>
      </c>
      <c r="C8" s="11">
        <f>[11]И1!E17</f>
        <v>0</v>
      </c>
    </row>
    <row r="9" spans="1:3">
      <c r="A9" s="6"/>
      <c r="B9" s="7" t="str">
        <f>[11]И1!D8</f>
        <v>Период регулирования (i)-й</v>
      </c>
      <c r="C9" s="12">
        <f>[11]И1!E8</f>
        <v>2023</v>
      </c>
    </row>
    <row r="10" spans="1:3">
      <c r="A10" s="6"/>
      <c r="B10" s="7" t="str">
        <f>[11]И1!D9</f>
        <v>Период регулирования (i-1)-й</v>
      </c>
      <c r="C10" s="12">
        <f>[11]И1!E9</f>
        <v>2022</v>
      </c>
    </row>
    <row r="11" spans="1:3">
      <c r="A11" s="6"/>
      <c r="B11" s="7" t="str">
        <f>[11]И1!D10</f>
        <v>Период регулирования (i-2)-й</v>
      </c>
      <c r="C11" s="12">
        <f>[11]И1!E10</f>
        <v>2021</v>
      </c>
    </row>
    <row r="12" spans="1:3">
      <c r="A12" s="6"/>
      <c r="B12" s="7" t="str">
        <f>[11]И1!D11</f>
        <v>Базовый год (б)</v>
      </c>
      <c r="C12" s="12">
        <f>[11]И1!E11</f>
        <v>2019</v>
      </c>
    </row>
    <row r="13" spans="1:3" ht="38.25">
      <c r="A13" s="6"/>
      <c r="B13" s="7" t="str">
        <f>[11]И1!D18</f>
        <v>Вид топлива, использование которого преобладает в системе теплоснабжения</v>
      </c>
      <c r="C13" s="13" t="str">
        <f>[11]С1.1!E13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4140.5666888274545</v>
      </c>
    </row>
    <row r="18" spans="1:3" ht="42.75">
      <c r="A18" s="16" t="s">
        <v>7</v>
      </c>
      <c r="B18" s="19" t="s">
        <v>8</v>
      </c>
      <c r="C18" s="20">
        <f>[11]С1!F12</f>
        <v>1033.7012842965503</v>
      </c>
    </row>
    <row r="19" spans="1:3" ht="42.75">
      <c r="A19" s="16" t="s">
        <v>9</v>
      </c>
      <c r="B19" s="19" t="s">
        <v>10</v>
      </c>
      <c r="C19" s="20">
        <f>[11]С2!F12</f>
        <v>2104.1852054273977</v>
      </c>
    </row>
    <row r="20" spans="1:3" ht="30">
      <c r="A20" s="16" t="s">
        <v>11</v>
      </c>
      <c r="B20" s="19" t="s">
        <v>12</v>
      </c>
      <c r="C20" s="20">
        <f>[11]С3!F12</f>
        <v>503.33593794803642</v>
      </c>
    </row>
    <row r="21" spans="1:3" ht="42.75">
      <c r="A21" s="16" t="s">
        <v>13</v>
      </c>
      <c r="B21" s="19" t="s">
        <v>226</v>
      </c>
      <c r="C21" s="20">
        <f>[11]С4!F12</f>
        <v>418.15667902159856</v>
      </c>
    </row>
    <row r="22" spans="1:3" ht="30">
      <c r="A22" s="16" t="s">
        <v>14</v>
      </c>
      <c r="B22" s="19" t="s">
        <v>227</v>
      </c>
      <c r="C22" s="20">
        <f>[11]С5!F12</f>
        <v>81.187582133871658</v>
      </c>
    </row>
    <row r="23" spans="1:3" ht="43.5" thickBot="1">
      <c r="A23" s="21" t="s">
        <v>15</v>
      </c>
      <c r="B23" s="111" t="s">
        <v>228</v>
      </c>
      <c r="C23" s="22" t="str">
        <f>[11]С6!F12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[11]С1.1!E16</f>
        <v>5100</v>
      </c>
    </row>
    <row r="29" spans="1:3" ht="42.75">
      <c r="A29" s="16" t="s">
        <v>9</v>
      </c>
      <c r="B29" s="27" t="s">
        <v>230</v>
      </c>
      <c r="C29" s="28">
        <f>[11]С1.1!E27</f>
        <v>2779.4500000000003</v>
      </c>
    </row>
    <row r="30" spans="1:3" ht="17.25">
      <c r="A30" s="16" t="s">
        <v>11</v>
      </c>
      <c r="B30" s="27" t="s">
        <v>17</v>
      </c>
      <c r="C30" s="29">
        <f>[11]С1.1!E19</f>
        <v>0.59499999999999997</v>
      </c>
    </row>
    <row r="31" spans="1:3" ht="17.25">
      <c r="A31" s="16" t="s">
        <v>13</v>
      </c>
      <c r="B31" s="27" t="s">
        <v>18</v>
      </c>
      <c r="C31" s="29">
        <f>[11]С1.1!E20</f>
        <v>-0.113</v>
      </c>
    </row>
    <row r="32" spans="1:3" ht="30">
      <c r="A32" s="16" t="s">
        <v>14</v>
      </c>
      <c r="B32" s="30" t="s">
        <v>231</v>
      </c>
      <c r="C32" s="118">
        <f>[11]С1!F13</f>
        <v>176.4</v>
      </c>
    </row>
    <row r="33" spans="1:3">
      <c r="A33" s="16" t="s">
        <v>15</v>
      </c>
      <c r="B33" s="30" t="s">
        <v>19</v>
      </c>
      <c r="C33" s="31">
        <f>[11]С1!F16</f>
        <v>7000</v>
      </c>
    </row>
    <row r="34" spans="1:3" ht="14.25">
      <c r="A34" s="16" t="s">
        <v>20</v>
      </c>
      <c r="B34" s="32" t="s">
        <v>232</v>
      </c>
      <c r="C34" s="33">
        <f>[11]С1!F17</f>
        <v>0.72857142857142854</v>
      </c>
    </row>
    <row r="35" spans="1:3" ht="15.75">
      <c r="A35" s="119" t="s">
        <v>21</v>
      </c>
      <c r="B35" s="34" t="s">
        <v>22</v>
      </c>
      <c r="C35" s="33">
        <f>[11]С1!F20</f>
        <v>21.588411179999994</v>
      </c>
    </row>
    <row r="36" spans="1:3" ht="15.75">
      <c r="A36" s="119" t="s">
        <v>23</v>
      </c>
      <c r="B36" s="35" t="s">
        <v>24</v>
      </c>
      <c r="C36" s="33">
        <f>[11]С1!F21</f>
        <v>20.818139999999996</v>
      </c>
    </row>
    <row r="37" spans="1:3" ht="14.25">
      <c r="A37" s="119" t="s">
        <v>25</v>
      </c>
      <c r="B37" s="36" t="s">
        <v>26</v>
      </c>
      <c r="C37" s="33">
        <f>[11]С1!F22</f>
        <v>1.0369999999999999</v>
      </c>
    </row>
    <row r="38" spans="1:3" ht="53.25" thickBot="1">
      <c r="A38" s="21" t="s">
        <v>27</v>
      </c>
      <c r="B38" s="37" t="s">
        <v>28</v>
      </c>
      <c r="C38" s="38">
        <f>[11]С1!F23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[11]С2.1!E12</f>
        <v>V</v>
      </c>
    </row>
    <row r="42" spans="1:3" ht="25.5">
      <c r="A42" s="16" t="s">
        <v>33</v>
      </c>
      <c r="B42" s="27" t="s">
        <v>34</v>
      </c>
      <c r="C42" s="41" t="str">
        <f>[11]С2.1!E13</f>
        <v>6 и менее баллов</v>
      </c>
    </row>
    <row r="43" spans="1:3" ht="25.5">
      <c r="A43" s="16" t="s">
        <v>35</v>
      </c>
      <c r="B43" s="27" t="s">
        <v>233</v>
      </c>
      <c r="C43" s="41" t="str">
        <f>[11]С2.1!E14</f>
        <v>от 200 до 500</v>
      </c>
    </row>
    <row r="44" spans="1:3" ht="25.5">
      <c r="A44" s="16" t="s">
        <v>36</v>
      </c>
      <c r="B44" s="27" t="s">
        <v>234</v>
      </c>
      <c r="C44" s="42" t="str">
        <f>[11]С2.1!E15</f>
        <v>нет</v>
      </c>
    </row>
    <row r="45" spans="1:3" ht="30">
      <c r="A45" s="16" t="s">
        <v>37</v>
      </c>
      <c r="B45" s="27" t="s">
        <v>38</v>
      </c>
      <c r="C45" s="28">
        <f>[11]С2!F18</f>
        <v>32402.627334033532</v>
      </c>
    </row>
    <row r="46" spans="1:3" ht="30">
      <c r="A46" s="16" t="s">
        <v>39</v>
      </c>
      <c r="B46" s="43" t="s">
        <v>40</v>
      </c>
      <c r="C46" s="28">
        <f>IF([11]С2!F19&gt;0,[11]С2!F19,[11]С2!F20)</f>
        <v>23441.524932855718</v>
      </c>
    </row>
    <row r="47" spans="1:3" ht="25.5">
      <c r="A47" s="16" t="s">
        <v>41</v>
      </c>
      <c r="B47" s="44" t="s">
        <v>42</v>
      </c>
      <c r="C47" s="28">
        <f>[11]С2.1!E19</f>
        <v>-38</v>
      </c>
    </row>
    <row r="48" spans="1:3" ht="25.5">
      <c r="A48" s="16" t="s">
        <v>43</v>
      </c>
      <c r="B48" s="44" t="s">
        <v>44</v>
      </c>
      <c r="C48" s="28" t="str">
        <f>[11]С2.1!E22</f>
        <v>нет</v>
      </c>
    </row>
    <row r="49" spans="1:3" ht="38.25">
      <c r="A49" s="16" t="s">
        <v>45</v>
      </c>
      <c r="B49" s="45" t="s">
        <v>46</v>
      </c>
      <c r="C49" s="28">
        <f>[11]С2.2!E10</f>
        <v>1287</v>
      </c>
    </row>
    <row r="50" spans="1:3" ht="25.5">
      <c r="A50" s="16" t="s">
        <v>47</v>
      </c>
      <c r="B50" s="46" t="s">
        <v>48</v>
      </c>
      <c r="C50" s="28">
        <f>[11]С2.2!E12</f>
        <v>5.97</v>
      </c>
    </row>
    <row r="51" spans="1:3" ht="52.5">
      <c r="A51" s="16" t="s">
        <v>49</v>
      </c>
      <c r="B51" s="47" t="s">
        <v>50</v>
      </c>
      <c r="C51" s="28">
        <f>[11]С2.2!E13</f>
        <v>1</v>
      </c>
    </row>
    <row r="52" spans="1:3" ht="27.75">
      <c r="A52" s="16" t="s">
        <v>51</v>
      </c>
      <c r="B52" s="46" t="s">
        <v>52</v>
      </c>
      <c r="C52" s="28">
        <f>[11]С2.2!E14</f>
        <v>12104</v>
      </c>
    </row>
    <row r="53" spans="1:3" ht="25.5">
      <c r="A53" s="16" t="s">
        <v>53</v>
      </c>
      <c r="B53" s="47" t="s">
        <v>54</v>
      </c>
      <c r="C53" s="29">
        <f>[11]С2.2!E15</f>
        <v>4.8000000000000001E-2</v>
      </c>
    </row>
    <row r="54" spans="1:3">
      <c r="A54" s="16" t="s">
        <v>55</v>
      </c>
      <c r="B54" s="47" t="s">
        <v>56</v>
      </c>
      <c r="C54" s="28">
        <f>[11]С2.2!E16</f>
        <v>1</v>
      </c>
    </row>
    <row r="55" spans="1:3" ht="15.75">
      <c r="A55" s="16" t="s">
        <v>57</v>
      </c>
      <c r="B55" s="48" t="s">
        <v>58</v>
      </c>
      <c r="C55" s="28">
        <f>[11]С2!F21</f>
        <v>1</v>
      </c>
    </row>
    <row r="56" spans="1:3" ht="30">
      <c r="A56" s="49" t="s">
        <v>59</v>
      </c>
      <c r="B56" s="27" t="s">
        <v>235</v>
      </c>
      <c r="C56" s="28">
        <f>[11]С2!F13</f>
        <v>169640.22915965237</v>
      </c>
    </row>
    <row r="57" spans="1:3" ht="30">
      <c r="A57" s="49" t="s">
        <v>60</v>
      </c>
      <c r="B57" s="48" t="s">
        <v>236</v>
      </c>
      <c r="C57" s="28">
        <f>[11]С2!F14</f>
        <v>113455</v>
      </c>
    </row>
    <row r="58" spans="1:3" ht="15.75">
      <c r="A58" s="49" t="s">
        <v>61</v>
      </c>
      <c r="B58" s="50" t="s">
        <v>62</v>
      </c>
      <c r="C58" s="33">
        <f>[11]С2!F15</f>
        <v>1.071</v>
      </c>
    </row>
    <row r="59" spans="1:3" ht="15.75">
      <c r="A59" s="49" t="s">
        <v>63</v>
      </c>
      <c r="B59" s="50" t="s">
        <v>64</v>
      </c>
      <c r="C59" s="33">
        <f>[11]С2!F16</f>
        <v>1</v>
      </c>
    </row>
    <row r="60" spans="1:3" ht="17.25">
      <c r="A60" s="49" t="s">
        <v>65</v>
      </c>
      <c r="B60" s="48" t="s">
        <v>66</v>
      </c>
      <c r="C60" s="28">
        <f>[11]С2!F17</f>
        <v>1.01</v>
      </c>
    </row>
    <row r="61" spans="1:3" s="53" customFormat="1" ht="14.25">
      <c r="A61" s="49" t="s">
        <v>67</v>
      </c>
      <c r="B61" s="51" t="s">
        <v>68</v>
      </c>
      <c r="C61" s="52">
        <f>[11]С2!F33</f>
        <v>10</v>
      </c>
    </row>
    <row r="62" spans="1:3" ht="30">
      <c r="A62" s="49" t="s">
        <v>69</v>
      </c>
      <c r="B62" s="54" t="s">
        <v>70</v>
      </c>
      <c r="C62" s="28">
        <f>[11]С2!F26</f>
        <v>911.22846603392293</v>
      </c>
    </row>
    <row r="63" spans="1:3" ht="17.25">
      <c r="A63" s="49" t="s">
        <v>71</v>
      </c>
      <c r="B63" s="43" t="s">
        <v>237</v>
      </c>
      <c r="C63" s="28">
        <f>[11]С2!F27</f>
        <v>0.15695805999999998</v>
      </c>
    </row>
    <row r="64" spans="1:3" ht="17.25">
      <c r="A64" s="49" t="s">
        <v>72</v>
      </c>
      <c r="B64" s="48" t="s">
        <v>238</v>
      </c>
      <c r="C64" s="52">
        <f>[11]С2!F28</f>
        <v>4200</v>
      </c>
    </row>
    <row r="65" spans="1:3" ht="42.75">
      <c r="A65" s="49" t="s">
        <v>73</v>
      </c>
      <c r="B65" s="27" t="s">
        <v>239</v>
      </c>
      <c r="C65" s="28">
        <f>[11]С2!F22</f>
        <v>35717.748653137714</v>
      </c>
    </row>
    <row r="66" spans="1:3" ht="30">
      <c r="A66" s="49" t="s">
        <v>74</v>
      </c>
      <c r="B66" s="50" t="s">
        <v>240</v>
      </c>
      <c r="C66" s="28">
        <f>[11]С2!F23</f>
        <v>1990</v>
      </c>
    </row>
    <row r="67" spans="1:3" ht="30">
      <c r="A67" s="49" t="s">
        <v>75</v>
      </c>
      <c r="B67" s="43" t="s">
        <v>76</v>
      </c>
      <c r="C67" s="28">
        <f>[11]С2.1!E27</f>
        <v>14307.876789999998</v>
      </c>
    </row>
    <row r="68" spans="1:3" ht="38.25">
      <c r="A68" s="49" t="s">
        <v>77</v>
      </c>
      <c r="B68" s="55" t="s">
        <v>78</v>
      </c>
      <c r="C68" s="42">
        <f>[11]С2.3!E21</f>
        <v>0</v>
      </c>
    </row>
    <row r="69" spans="1:3" ht="25.5">
      <c r="A69" s="49" t="s">
        <v>79</v>
      </c>
      <c r="B69" s="56" t="s">
        <v>80</v>
      </c>
      <c r="C69" s="57">
        <f>[11]С2.3!E11</f>
        <v>9.89</v>
      </c>
    </row>
    <row r="70" spans="1:3" ht="25.5">
      <c r="A70" s="49" t="s">
        <v>81</v>
      </c>
      <c r="B70" s="56" t="s">
        <v>82</v>
      </c>
      <c r="C70" s="52">
        <f>[11]С2.3!E13</f>
        <v>300</v>
      </c>
    </row>
    <row r="71" spans="1:3" ht="25.5">
      <c r="A71" s="49" t="s">
        <v>83</v>
      </c>
      <c r="B71" s="55" t="s">
        <v>84</v>
      </c>
      <c r="C71" s="58">
        <f>IF([11]С2.3!E22&gt;0,[11]С2.3!E22,[11]С2.3!E14)</f>
        <v>61211</v>
      </c>
    </row>
    <row r="72" spans="1:3" ht="38.25">
      <c r="A72" s="49" t="s">
        <v>85</v>
      </c>
      <c r="B72" s="55" t="s">
        <v>86</v>
      </c>
      <c r="C72" s="58">
        <f>IF([11]С2.3!E23&gt;0,[11]С2.3!E23,[11]С2.3!E15)</f>
        <v>45675</v>
      </c>
    </row>
    <row r="73" spans="1:3" ht="30">
      <c r="A73" s="49" t="s">
        <v>87</v>
      </c>
      <c r="B73" s="43" t="s">
        <v>88</v>
      </c>
      <c r="C73" s="28">
        <f>[11]С2.1!E28</f>
        <v>9541.9567200000001</v>
      </c>
    </row>
    <row r="74" spans="1:3" ht="38.25">
      <c r="A74" s="49" t="s">
        <v>89</v>
      </c>
      <c r="B74" s="55" t="s">
        <v>90</v>
      </c>
      <c r="C74" s="42">
        <f>[11]С2.3!E25</f>
        <v>0</v>
      </c>
    </row>
    <row r="75" spans="1:3" ht="25.5">
      <c r="A75" s="49" t="s">
        <v>91</v>
      </c>
      <c r="B75" s="56" t="s">
        <v>92</v>
      </c>
      <c r="C75" s="57">
        <f>[11]С2.3!E12</f>
        <v>0.56000000000000005</v>
      </c>
    </row>
    <row r="76" spans="1:3" ht="25.5">
      <c r="A76" s="49" t="s">
        <v>93</v>
      </c>
      <c r="B76" s="56" t="s">
        <v>82</v>
      </c>
      <c r="C76" s="52">
        <f>[11]С2.3!E13</f>
        <v>300</v>
      </c>
    </row>
    <row r="77" spans="1:3" ht="25.5">
      <c r="A77" s="49" t="s">
        <v>94</v>
      </c>
      <c r="B77" s="59" t="s">
        <v>95</v>
      </c>
      <c r="C77" s="58">
        <f>IF([11]С2.3!E26&gt;0,[11]С2.3!E26,[11]С2.3!E16)</f>
        <v>65637</v>
      </c>
    </row>
    <row r="78" spans="1:3" ht="38.25">
      <c r="A78" s="49" t="s">
        <v>96</v>
      </c>
      <c r="B78" s="59" t="s">
        <v>97</v>
      </c>
      <c r="C78" s="58">
        <f>IF([11]С2.3!E27&gt;0,[11]С2.3!E27,[11]С2.3!E17)</f>
        <v>31684</v>
      </c>
    </row>
    <row r="79" spans="1:3" ht="17.25">
      <c r="A79" s="49" t="s">
        <v>98</v>
      </c>
      <c r="B79" s="27" t="s">
        <v>99</v>
      </c>
      <c r="C79" s="29">
        <f>[11]С2!F29</f>
        <v>0.128978033685065</v>
      </c>
    </row>
    <row r="80" spans="1:3" ht="30">
      <c r="A80" s="49" t="s">
        <v>100</v>
      </c>
      <c r="B80" s="43" t="s">
        <v>101</v>
      </c>
      <c r="C80" s="60">
        <f>[11]С2!F30</f>
        <v>0.11668498168498169</v>
      </c>
    </row>
    <row r="81" spans="1:3" ht="17.25">
      <c r="A81" s="49" t="s">
        <v>102</v>
      </c>
      <c r="B81" s="61" t="s">
        <v>103</v>
      </c>
      <c r="C81" s="29">
        <f>[11]С2!F31</f>
        <v>0.13880000000000001</v>
      </c>
    </row>
    <row r="82" spans="1:3" s="53" customFormat="1" ht="18" thickBot="1">
      <c r="A82" s="62" t="s">
        <v>104</v>
      </c>
      <c r="B82" s="63" t="s">
        <v>105</v>
      </c>
      <c r="C82" s="64">
        <f>[11]С2!F32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[11]С3!F14</f>
        <v>6988.6287956820188</v>
      </c>
    </row>
    <row r="86" spans="1:3" s="53" customFormat="1" ht="42.75">
      <c r="A86" s="67" t="s">
        <v>110</v>
      </c>
      <c r="B86" s="43" t="s">
        <v>111</v>
      </c>
      <c r="C86" s="68">
        <f>[11]С3!F15</f>
        <v>0.2</v>
      </c>
    </row>
    <row r="87" spans="1:3" s="53" customFormat="1" ht="14.25">
      <c r="A87" s="67" t="s">
        <v>112</v>
      </c>
      <c r="B87" s="69" t="s">
        <v>113</v>
      </c>
      <c r="C87" s="52">
        <f>[11]С3!F18</f>
        <v>15</v>
      </c>
    </row>
    <row r="88" spans="1:3" s="53" customFormat="1" ht="17.25">
      <c r="A88" s="67" t="s">
        <v>114</v>
      </c>
      <c r="B88" s="27" t="s">
        <v>115</v>
      </c>
      <c r="C88" s="28">
        <f>[11]С3!F19</f>
        <v>3487.1555421534131</v>
      </c>
    </row>
    <row r="89" spans="1:3" s="53" customFormat="1" ht="55.5">
      <c r="A89" s="67" t="s">
        <v>116</v>
      </c>
      <c r="B89" s="43" t="s">
        <v>117</v>
      </c>
      <c r="C89" s="70">
        <f>[11]С3!F20</f>
        <v>2.1999999999999999E-2</v>
      </c>
    </row>
    <row r="90" spans="1:3" s="53" customFormat="1" ht="14.25">
      <c r="A90" s="67" t="s">
        <v>118</v>
      </c>
      <c r="B90" s="48" t="s">
        <v>68</v>
      </c>
      <c r="C90" s="52">
        <f>[11]С3!F21</f>
        <v>10</v>
      </c>
    </row>
    <row r="91" spans="1:3" s="53" customFormat="1" ht="17.25">
      <c r="A91" s="67" t="s">
        <v>119</v>
      </c>
      <c r="B91" s="27" t="s">
        <v>120</v>
      </c>
      <c r="C91" s="28">
        <f>[11]С3!F22</f>
        <v>2.7336853981017688</v>
      </c>
    </row>
    <row r="92" spans="1:3" s="53" customFormat="1" ht="55.5">
      <c r="A92" s="67" t="s">
        <v>121</v>
      </c>
      <c r="B92" s="43" t="s">
        <v>122</v>
      </c>
      <c r="C92" s="70">
        <f>[11]С3!F23</f>
        <v>3.0000000000000001E-3</v>
      </c>
    </row>
    <row r="93" spans="1:3" s="53" customFormat="1" ht="27.75" thickBot="1">
      <c r="A93" s="71" t="s">
        <v>123</v>
      </c>
      <c r="B93" s="72" t="s">
        <v>241</v>
      </c>
      <c r="C93" s="73">
        <f>[11]С3!F24</f>
        <v>911.22846603392293</v>
      </c>
    </row>
    <row r="94" spans="1:3" ht="13.5" thickBot="1">
      <c r="A94" s="39"/>
      <c r="B94" s="65"/>
      <c r="C94" s="13"/>
    </row>
    <row r="95" spans="1:3" ht="30" customHeight="1">
      <c r="A95" s="74" t="s">
        <v>124</v>
      </c>
      <c r="B95" s="141" t="s">
        <v>125</v>
      </c>
      <c r="C95" s="141"/>
    </row>
    <row r="96" spans="1:3" ht="30">
      <c r="A96" s="49" t="s">
        <v>126</v>
      </c>
      <c r="B96" s="27" t="s">
        <v>242</v>
      </c>
      <c r="C96" s="28">
        <f>[11]С4!F16</f>
        <v>1652.5</v>
      </c>
    </row>
    <row r="97" spans="1:3" ht="30">
      <c r="A97" s="49" t="s">
        <v>127</v>
      </c>
      <c r="B97" s="48" t="s">
        <v>243</v>
      </c>
      <c r="C97" s="28">
        <f>[11]С4!F17</f>
        <v>73547</v>
      </c>
    </row>
    <row r="98" spans="1:3" ht="17.25">
      <c r="A98" s="49" t="s">
        <v>128</v>
      </c>
      <c r="B98" s="48" t="s">
        <v>129</v>
      </c>
      <c r="C98" s="33">
        <f>[11]С4!F18</f>
        <v>0.02</v>
      </c>
    </row>
    <row r="99" spans="1:3" ht="30">
      <c r="A99" s="49" t="s">
        <v>130</v>
      </c>
      <c r="B99" s="48" t="s">
        <v>131</v>
      </c>
      <c r="C99" s="28">
        <f>[11]С4!F19</f>
        <v>12104</v>
      </c>
    </row>
    <row r="100" spans="1:3" ht="31.5">
      <c r="A100" s="49" t="s">
        <v>132</v>
      </c>
      <c r="B100" s="48" t="s">
        <v>133</v>
      </c>
      <c r="C100" s="33">
        <f>[11]С4!F20</f>
        <v>1.4999999999999999E-2</v>
      </c>
    </row>
    <row r="101" spans="1:3" ht="30">
      <c r="A101" s="49" t="s">
        <v>134</v>
      </c>
      <c r="B101" s="27" t="s">
        <v>244</v>
      </c>
      <c r="C101" s="28">
        <f>[11]С4!F21</f>
        <v>1933.1949342509995</v>
      </c>
    </row>
    <row r="102" spans="1:3" ht="24" customHeight="1">
      <c r="A102" s="49" t="s">
        <v>135</v>
      </c>
      <c r="B102" s="43" t="s">
        <v>136</v>
      </c>
      <c r="C102" s="75">
        <f>IF([11]С4.2!F8="да",[11]С4.2!D21,[11]С4.2!D15)</f>
        <v>0</v>
      </c>
    </row>
    <row r="103" spans="1:3" ht="68.25">
      <c r="A103" s="49" t="s">
        <v>137</v>
      </c>
      <c r="B103" s="43" t="s">
        <v>138</v>
      </c>
      <c r="C103" s="28">
        <f>[11]С4!F22</f>
        <v>3.6112641666666665</v>
      </c>
    </row>
    <row r="104" spans="1:3" ht="30">
      <c r="A104" s="49" t="s">
        <v>139</v>
      </c>
      <c r="B104" s="48" t="s">
        <v>245</v>
      </c>
      <c r="C104" s="28">
        <f>[11]С4!F23</f>
        <v>180</v>
      </c>
    </row>
    <row r="105" spans="1:3" ht="14.25">
      <c r="A105" s="49" t="s">
        <v>140</v>
      </c>
      <c r="B105" s="43" t="s">
        <v>141</v>
      </c>
      <c r="C105" s="28">
        <f>[11]С4!F24</f>
        <v>8497.1999999999989</v>
      </c>
    </row>
    <row r="106" spans="1:3" ht="14.25">
      <c r="A106" s="49" t="s">
        <v>142</v>
      </c>
      <c r="B106" s="48" t="s">
        <v>143</v>
      </c>
      <c r="C106" s="33">
        <f>[11]С4!F25</f>
        <v>0.35</v>
      </c>
    </row>
    <row r="107" spans="1:3" ht="17.25">
      <c r="A107" s="49" t="s">
        <v>144</v>
      </c>
      <c r="B107" s="27" t="s">
        <v>145</v>
      </c>
      <c r="C107" s="28">
        <f>[11]С4!F26</f>
        <v>95.062350000000009</v>
      </c>
    </row>
    <row r="108" spans="1:3" ht="25.5">
      <c r="A108" s="49" t="s">
        <v>146</v>
      </c>
      <c r="B108" s="43" t="s">
        <v>78</v>
      </c>
      <c r="C108" s="75">
        <f>[11]С4.3!E16</f>
        <v>0</v>
      </c>
    </row>
    <row r="109" spans="1:3" ht="25.5">
      <c r="A109" s="49" t="s">
        <v>147</v>
      </c>
      <c r="B109" s="43" t="s">
        <v>148</v>
      </c>
      <c r="C109" s="28">
        <f>[11]С4.3!E17</f>
        <v>25.17</v>
      </c>
    </row>
    <row r="110" spans="1:3" ht="38.25">
      <c r="A110" s="49" t="s">
        <v>149</v>
      </c>
      <c r="B110" s="43" t="s">
        <v>90</v>
      </c>
      <c r="C110" s="75">
        <f>[11]С4.3!E18</f>
        <v>0</v>
      </c>
    </row>
    <row r="111" spans="1:3">
      <c r="A111" s="49" t="s">
        <v>150</v>
      </c>
      <c r="B111" s="43" t="s">
        <v>151</v>
      </c>
      <c r="C111" s="28">
        <f>[11]С4.3!E19</f>
        <v>33.29</v>
      </c>
    </row>
    <row r="112" spans="1:3">
      <c r="A112" s="49" t="s">
        <v>152</v>
      </c>
      <c r="B112" s="48" t="s">
        <v>153</v>
      </c>
      <c r="C112" s="28">
        <f>[11]С4.3!E11</f>
        <v>1871</v>
      </c>
    </row>
    <row r="113" spans="1:3">
      <c r="A113" s="49" t="s">
        <v>154</v>
      </c>
      <c r="B113" s="48" t="s">
        <v>155</v>
      </c>
      <c r="C113" s="42">
        <f>[11]С4.3!E12</f>
        <v>1636</v>
      </c>
    </row>
    <row r="114" spans="1:3">
      <c r="A114" s="49" t="s">
        <v>156</v>
      </c>
      <c r="B114" s="48" t="s">
        <v>157</v>
      </c>
      <c r="C114" s="42">
        <f>[11]С4.3!E13</f>
        <v>204</v>
      </c>
    </row>
    <row r="115" spans="1:3" ht="30">
      <c r="A115" s="49" t="s">
        <v>158</v>
      </c>
      <c r="B115" s="27" t="s">
        <v>246</v>
      </c>
      <c r="C115" s="28">
        <f>[11]С4!F27</f>
        <v>998.55949805489831</v>
      </c>
    </row>
    <row r="116" spans="1:3" ht="25.5">
      <c r="A116" s="49" t="s">
        <v>159</v>
      </c>
      <c r="B116" s="43" t="s">
        <v>247</v>
      </c>
      <c r="C116" s="28">
        <f>[11]С4!F28</f>
        <v>766.94277884400788</v>
      </c>
    </row>
    <row r="117" spans="1:3" ht="42.75">
      <c r="A117" s="49" t="s">
        <v>160</v>
      </c>
      <c r="B117" s="43" t="s">
        <v>161</v>
      </c>
      <c r="C117" s="28">
        <f>[11]С4!F29</f>
        <v>231.61671921089041</v>
      </c>
    </row>
    <row r="118" spans="1:3" ht="30">
      <c r="A118" s="49" t="s">
        <v>162</v>
      </c>
      <c r="B118" s="32" t="s">
        <v>163</v>
      </c>
      <c r="C118" s="28">
        <f>[11]С4!F30</f>
        <v>2237.1429865421273</v>
      </c>
    </row>
    <row r="119" spans="1:3" ht="42.75">
      <c r="A119" s="49" t="s">
        <v>248</v>
      </c>
      <c r="B119" s="76" t="s">
        <v>249</v>
      </c>
      <c r="C119" s="28">
        <f>[11]С4!F33</f>
        <v>1523.4223448265768</v>
      </c>
    </row>
    <row r="120" spans="1:3" ht="30">
      <c r="A120" s="49" t="s">
        <v>250</v>
      </c>
      <c r="B120" s="122" t="s">
        <v>251</v>
      </c>
      <c r="C120" s="28">
        <f>[11]С4!F35</f>
        <v>17.040680999999999</v>
      </c>
    </row>
    <row r="121" spans="1:3" ht="14.25">
      <c r="A121" s="49" t="s">
        <v>252</v>
      </c>
      <c r="B121" s="46" t="s">
        <v>253</v>
      </c>
      <c r="C121" s="28">
        <f>[11]С4!F36</f>
        <v>14319.9</v>
      </c>
    </row>
    <row r="122" spans="1:3" ht="28.5" thickBot="1">
      <c r="A122" s="62" t="s">
        <v>254</v>
      </c>
      <c r="B122" s="123" t="s">
        <v>255</v>
      </c>
      <c r="C122" s="73">
        <f>[11]С4!F37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[11]С5!F17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[11]С2!F37</f>
        <v>20.818139999999996</v>
      </c>
    </row>
    <row r="136" spans="1:4" ht="14.25">
      <c r="A136" s="49" t="s">
        <v>183</v>
      </c>
      <c r="B136" s="129" t="s">
        <v>184</v>
      </c>
      <c r="C136" s="28">
        <f>[11]С2!F38</f>
        <v>7</v>
      </c>
    </row>
    <row r="137" spans="1:4" ht="17.25">
      <c r="A137" s="49" t="s">
        <v>185</v>
      </c>
      <c r="B137" s="129" t="s">
        <v>186</v>
      </c>
      <c r="C137" s="28">
        <f>[11]С2!F40</f>
        <v>0.97</v>
      </c>
    </row>
    <row r="138" spans="1:4" ht="15" thickBot="1">
      <c r="A138" s="62" t="s">
        <v>187</v>
      </c>
      <c r="B138" s="130" t="s">
        <v>188</v>
      </c>
      <c r="C138" s="38">
        <f>[11]С2!F42</f>
        <v>0.35</v>
      </c>
    </row>
    <row r="139" spans="1:4" s="77" customFormat="1" ht="13.5" thickBot="1">
      <c r="A139" s="39"/>
      <c r="B139" s="65"/>
      <c r="C139" s="13"/>
    </row>
    <row r="140" spans="1:4" ht="30">
      <c r="A140" s="74" t="s">
        <v>189</v>
      </c>
      <c r="B140" s="84" t="s">
        <v>258</v>
      </c>
      <c r="C140" s="131">
        <f>[11]С2!F35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[11]С2.5!$E$11</f>
        <v>-2.9000000000000026E-2</v>
      </c>
      <c r="D143" s="77"/>
    </row>
    <row r="144" spans="1:4">
      <c r="A144" s="85"/>
      <c r="B144" s="86">
        <f>B143+1</f>
        <v>2021</v>
      </c>
      <c r="C144" s="136">
        <f>[11]С2.5!$F$11</f>
        <v>0.245</v>
      </c>
      <c r="D144" s="77"/>
    </row>
    <row r="145" spans="1:4">
      <c r="A145" s="85"/>
      <c r="B145" s="86">
        <f t="shared" ref="B145:B208" si="0">B144+1</f>
        <v>2022</v>
      </c>
      <c r="C145" s="136">
        <f>[11]С2.5!$G$11</f>
        <v>0.121</v>
      </c>
      <c r="D145" s="77"/>
    </row>
    <row r="146" spans="1:4" ht="13.5" thickBot="1">
      <c r="A146" s="85"/>
      <c r="B146" s="87">
        <f t="shared" si="0"/>
        <v>2023</v>
      </c>
      <c r="C146" s="137">
        <f>[11]С2.5!$H$11</f>
        <v>0.02</v>
      </c>
      <c r="D146" s="77"/>
    </row>
    <row r="147" spans="1:4" hidden="1">
      <c r="A147" s="85"/>
      <c r="B147" s="138">
        <f t="shared" si="0"/>
        <v>2024</v>
      </c>
      <c r="C147" s="139">
        <f>[11]С2.5!$I$11</f>
        <v>-2.93E-2</v>
      </c>
      <c r="D147" s="77"/>
    </row>
    <row r="148" spans="1:4" hidden="1">
      <c r="A148" s="85"/>
      <c r="B148" s="86">
        <f t="shared" si="0"/>
        <v>2025</v>
      </c>
      <c r="C148" s="136">
        <f>[11]С2.5!$J$11</f>
        <v>0.21215960863291</v>
      </c>
      <c r="D148" s="77"/>
    </row>
    <row r="149" spans="1:4" hidden="1">
      <c r="A149" s="85"/>
      <c r="B149" s="86">
        <f t="shared" si="0"/>
        <v>2026</v>
      </c>
      <c r="C149" s="136">
        <f>[11]С2.5!$K$11</f>
        <v>3.5813361771260002E-2</v>
      </c>
      <c r="D149" s="77"/>
    </row>
    <row r="150" spans="1:4" hidden="1">
      <c r="A150" s="85"/>
      <c r="B150" s="86">
        <f t="shared" si="0"/>
        <v>2027</v>
      </c>
      <c r="C150" s="136">
        <f>[11]С2.5!$L$11</f>
        <v>3.2682303599220003E-2</v>
      </c>
      <c r="D150" s="77"/>
    </row>
    <row r="151" spans="1:4" hidden="1">
      <c r="A151" s="85"/>
      <c r="B151" s="86">
        <f t="shared" si="0"/>
        <v>2028</v>
      </c>
      <c r="C151" s="136">
        <f>[11]С2.5!$M$11</f>
        <v>0</v>
      </c>
      <c r="D151" s="77"/>
    </row>
    <row r="152" spans="1:4" hidden="1">
      <c r="A152" s="85"/>
      <c r="B152" s="86">
        <f t="shared" si="0"/>
        <v>2029</v>
      </c>
      <c r="C152" s="136">
        <f>[11]С2.5!$N$11</f>
        <v>0</v>
      </c>
      <c r="D152" s="77"/>
    </row>
    <row r="153" spans="1:4" hidden="1">
      <c r="A153" s="85"/>
      <c r="B153" s="86">
        <f t="shared" si="0"/>
        <v>2030</v>
      </c>
      <c r="C153" s="136">
        <f>[11]С2.5!$O$11</f>
        <v>0</v>
      </c>
      <c r="D153" s="77"/>
    </row>
    <row r="154" spans="1:4" hidden="1">
      <c r="A154" s="85"/>
      <c r="B154" s="86">
        <f t="shared" si="0"/>
        <v>2031</v>
      </c>
      <c r="C154" s="136">
        <f>[11]С2.5!$P$11</f>
        <v>0</v>
      </c>
      <c r="D154" s="77"/>
    </row>
    <row r="155" spans="1:4" hidden="1">
      <c r="A155" s="77"/>
      <c r="B155" s="86">
        <f t="shared" si="0"/>
        <v>2032</v>
      </c>
      <c r="C155" s="136">
        <f>[11]С2.5!$Q$11</f>
        <v>0</v>
      </c>
      <c r="D155" s="77"/>
    </row>
    <row r="156" spans="1:4" hidden="1">
      <c r="A156" s="77"/>
      <c r="B156" s="86">
        <f t="shared" si="0"/>
        <v>2033</v>
      </c>
      <c r="C156" s="136">
        <f>[11]С2.5!$R$11</f>
        <v>0</v>
      </c>
      <c r="D156" s="77"/>
    </row>
    <row r="157" spans="1:4" hidden="1">
      <c r="B157" s="86">
        <f t="shared" si="0"/>
        <v>2034</v>
      </c>
      <c r="C157" s="136">
        <f>[11]С2.5!$S$11</f>
        <v>0</v>
      </c>
    </row>
    <row r="158" spans="1:4" hidden="1">
      <c r="B158" s="86">
        <f t="shared" si="0"/>
        <v>2035</v>
      </c>
      <c r="C158" s="136">
        <f>[11]С2.5!$T$11</f>
        <v>0</v>
      </c>
    </row>
    <row r="159" spans="1:4" hidden="1">
      <c r="B159" s="86">
        <f t="shared" si="0"/>
        <v>2036</v>
      </c>
      <c r="C159" s="136">
        <f>[11]С2.5!$U$11</f>
        <v>0</v>
      </c>
    </row>
    <row r="160" spans="1:4" hidden="1">
      <c r="B160" s="86">
        <f t="shared" si="0"/>
        <v>2037</v>
      </c>
      <c r="C160" s="136">
        <f>[11]С2.5!$V$11</f>
        <v>0</v>
      </c>
    </row>
    <row r="161" spans="2:3" hidden="1">
      <c r="B161" s="86">
        <f t="shared" si="0"/>
        <v>2038</v>
      </c>
      <c r="C161" s="136">
        <f>[11]С2.5!$W$11</f>
        <v>0</v>
      </c>
    </row>
    <row r="162" spans="2:3" hidden="1">
      <c r="B162" s="86">
        <f t="shared" si="0"/>
        <v>2039</v>
      </c>
      <c r="C162" s="136">
        <f>[11]С2.5!$X$11</f>
        <v>0</v>
      </c>
    </row>
    <row r="163" spans="2:3" hidden="1">
      <c r="B163" s="86">
        <f t="shared" si="0"/>
        <v>2040</v>
      </c>
      <c r="C163" s="136">
        <f>[11]С2.5!$Y$11</f>
        <v>0</v>
      </c>
    </row>
    <row r="164" spans="2:3" hidden="1">
      <c r="B164" s="86">
        <f t="shared" si="0"/>
        <v>2041</v>
      </c>
      <c r="C164" s="136">
        <f>[11]С2.5!$Z$11</f>
        <v>0</v>
      </c>
    </row>
    <row r="165" spans="2:3" hidden="1">
      <c r="B165" s="86">
        <f t="shared" si="0"/>
        <v>2042</v>
      </c>
      <c r="C165" s="136">
        <f>[11]С2.5!$AA$11</f>
        <v>0</v>
      </c>
    </row>
    <row r="166" spans="2:3" hidden="1">
      <c r="B166" s="86">
        <f t="shared" si="0"/>
        <v>2043</v>
      </c>
      <c r="C166" s="136">
        <f>[11]С2.5!$AB$11</f>
        <v>0</v>
      </c>
    </row>
    <row r="167" spans="2:3" hidden="1">
      <c r="B167" s="86">
        <f t="shared" si="0"/>
        <v>2044</v>
      </c>
      <c r="C167" s="136">
        <f>[11]С2.5!$AC$11</f>
        <v>0</v>
      </c>
    </row>
    <row r="168" spans="2:3" hidden="1">
      <c r="B168" s="86">
        <f t="shared" si="0"/>
        <v>2045</v>
      </c>
      <c r="C168" s="136">
        <f>[11]С2.5!$AD$11</f>
        <v>0</v>
      </c>
    </row>
    <row r="169" spans="2:3" hidden="1">
      <c r="B169" s="86">
        <f t="shared" si="0"/>
        <v>2046</v>
      </c>
      <c r="C169" s="136">
        <f>[11]С2.5!$AE$11</f>
        <v>0</v>
      </c>
    </row>
    <row r="170" spans="2:3" hidden="1">
      <c r="B170" s="86">
        <f t="shared" si="0"/>
        <v>2047</v>
      </c>
      <c r="C170" s="136">
        <f>[11]С2.5!$AF$11</f>
        <v>0</v>
      </c>
    </row>
    <row r="171" spans="2:3" hidden="1">
      <c r="B171" s="86">
        <f t="shared" si="0"/>
        <v>2048</v>
      </c>
      <c r="C171" s="136">
        <f>[11]С2.5!$AG$11</f>
        <v>0</v>
      </c>
    </row>
    <row r="172" spans="2:3" hidden="1">
      <c r="B172" s="86">
        <f t="shared" si="0"/>
        <v>2049</v>
      </c>
      <c r="C172" s="136">
        <f>[11]С2.5!$AH$11</f>
        <v>0</v>
      </c>
    </row>
    <row r="173" spans="2:3" hidden="1">
      <c r="B173" s="86">
        <f t="shared" si="0"/>
        <v>2050</v>
      </c>
      <c r="C173" s="136">
        <f>[11]С2.5!$AI$11</f>
        <v>0</v>
      </c>
    </row>
    <row r="174" spans="2:3" hidden="1">
      <c r="B174" s="86">
        <f t="shared" si="0"/>
        <v>2051</v>
      </c>
      <c r="C174" s="136">
        <f>[11]С2.5!$AJ$11</f>
        <v>0</v>
      </c>
    </row>
    <row r="175" spans="2:3" hidden="1">
      <c r="B175" s="86">
        <f t="shared" si="0"/>
        <v>2052</v>
      </c>
      <c r="C175" s="136">
        <f>[11]С2.5!$AK$11</f>
        <v>0</v>
      </c>
    </row>
    <row r="176" spans="2:3" hidden="1">
      <c r="B176" s="86">
        <f t="shared" si="0"/>
        <v>2053</v>
      </c>
      <c r="C176" s="136">
        <f>[11]С2.5!$AL$11</f>
        <v>0</v>
      </c>
    </row>
    <row r="177" spans="2:3" hidden="1">
      <c r="B177" s="86">
        <f t="shared" si="0"/>
        <v>2054</v>
      </c>
      <c r="C177" s="136">
        <f>[11]С2.5!$AM$11</f>
        <v>0</v>
      </c>
    </row>
    <row r="178" spans="2:3" hidden="1">
      <c r="B178" s="86">
        <f t="shared" si="0"/>
        <v>2055</v>
      </c>
      <c r="C178" s="136">
        <f>[11]С2.5!$AN$11</f>
        <v>0</v>
      </c>
    </row>
    <row r="179" spans="2:3" hidden="1">
      <c r="B179" s="86">
        <f t="shared" si="0"/>
        <v>2056</v>
      </c>
      <c r="C179" s="136">
        <f>[11]С2.5!$AO$11</f>
        <v>0</v>
      </c>
    </row>
    <row r="180" spans="2:3" hidden="1">
      <c r="B180" s="86">
        <f t="shared" si="0"/>
        <v>2057</v>
      </c>
      <c r="C180" s="136">
        <f>[11]С2.5!$AP$11</f>
        <v>0</v>
      </c>
    </row>
    <row r="181" spans="2:3" hidden="1">
      <c r="B181" s="86">
        <f t="shared" si="0"/>
        <v>2058</v>
      </c>
      <c r="C181" s="136">
        <f>[11]С2.5!$AQ$11</f>
        <v>0</v>
      </c>
    </row>
    <row r="182" spans="2:3" hidden="1">
      <c r="B182" s="86">
        <f t="shared" si="0"/>
        <v>2059</v>
      </c>
      <c r="C182" s="136">
        <f>[11]С2.5!$AR$11</f>
        <v>0</v>
      </c>
    </row>
    <row r="183" spans="2:3" hidden="1">
      <c r="B183" s="86">
        <f t="shared" si="0"/>
        <v>2060</v>
      </c>
      <c r="C183" s="136">
        <f>[11]С2.5!$AS$11</f>
        <v>0</v>
      </c>
    </row>
    <row r="184" spans="2:3" hidden="1">
      <c r="B184" s="86">
        <f t="shared" si="0"/>
        <v>2061</v>
      </c>
      <c r="C184" s="136">
        <f>[11]С2.5!$AT$11</f>
        <v>0</v>
      </c>
    </row>
    <row r="185" spans="2:3" hidden="1">
      <c r="B185" s="86">
        <f t="shared" si="0"/>
        <v>2062</v>
      </c>
      <c r="C185" s="136">
        <f>[11]С2.5!$AU$11</f>
        <v>0</v>
      </c>
    </row>
    <row r="186" spans="2:3" hidden="1">
      <c r="B186" s="86">
        <f t="shared" si="0"/>
        <v>2063</v>
      </c>
      <c r="C186" s="136">
        <f>[11]С2.5!$AV$11</f>
        <v>0</v>
      </c>
    </row>
    <row r="187" spans="2:3" hidden="1">
      <c r="B187" s="86">
        <f t="shared" si="0"/>
        <v>2064</v>
      </c>
      <c r="C187" s="136">
        <f>[11]С2.5!$AW$11</f>
        <v>0</v>
      </c>
    </row>
    <row r="188" spans="2:3" hidden="1">
      <c r="B188" s="86">
        <f t="shared" si="0"/>
        <v>2065</v>
      </c>
      <c r="C188" s="136">
        <f>[11]С2.5!$AX$11</f>
        <v>0</v>
      </c>
    </row>
    <row r="189" spans="2:3" hidden="1">
      <c r="B189" s="86">
        <f t="shared" si="0"/>
        <v>2066</v>
      </c>
      <c r="C189" s="136">
        <f>[11]С2.5!$AY$11</f>
        <v>0</v>
      </c>
    </row>
    <row r="190" spans="2:3" hidden="1">
      <c r="B190" s="86">
        <f t="shared" si="0"/>
        <v>2067</v>
      </c>
      <c r="C190" s="136">
        <f>[11]С2.5!$AZ$11</f>
        <v>0</v>
      </c>
    </row>
    <row r="191" spans="2:3" hidden="1">
      <c r="B191" s="86">
        <f t="shared" si="0"/>
        <v>2068</v>
      </c>
      <c r="C191" s="136">
        <f>[11]С2.5!$BA$11</f>
        <v>0</v>
      </c>
    </row>
    <row r="192" spans="2:3" hidden="1">
      <c r="B192" s="86">
        <f t="shared" si="0"/>
        <v>2069</v>
      </c>
      <c r="C192" s="136">
        <f>[11]С2.5!$BB$11</f>
        <v>0</v>
      </c>
    </row>
    <row r="193" spans="2:3" hidden="1">
      <c r="B193" s="86">
        <f t="shared" si="0"/>
        <v>2070</v>
      </c>
      <c r="C193" s="136">
        <f>[11]С2.5!$BC$11</f>
        <v>0</v>
      </c>
    </row>
    <row r="194" spans="2:3" hidden="1">
      <c r="B194" s="86">
        <f t="shared" si="0"/>
        <v>2071</v>
      </c>
      <c r="C194" s="136">
        <f>[11]С2.5!$BD$11</f>
        <v>0</v>
      </c>
    </row>
    <row r="195" spans="2:3" hidden="1">
      <c r="B195" s="86">
        <f t="shared" si="0"/>
        <v>2072</v>
      </c>
      <c r="C195" s="136">
        <f>[11]С2.5!$BE$11</f>
        <v>0</v>
      </c>
    </row>
    <row r="196" spans="2:3" hidden="1">
      <c r="B196" s="86">
        <f t="shared" si="0"/>
        <v>2073</v>
      </c>
      <c r="C196" s="136">
        <f>[11]С2.5!$BF$11</f>
        <v>0</v>
      </c>
    </row>
    <row r="197" spans="2:3" hidden="1">
      <c r="B197" s="86">
        <f t="shared" si="0"/>
        <v>2074</v>
      </c>
      <c r="C197" s="136">
        <f>[11]С2.5!$BG$11</f>
        <v>0</v>
      </c>
    </row>
    <row r="198" spans="2:3" hidden="1">
      <c r="B198" s="86">
        <f t="shared" si="0"/>
        <v>2075</v>
      </c>
      <c r="C198" s="136">
        <f>[11]С2.5!$BH$11</f>
        <v>0</v>
      </c>
    </row>
    <row r="199" spans="2:3" hidden="1">
      <c r="B199" s="86">
        <f t="shared" si="0"/>
        <v>2076</v>
      </c>
      <c r="C199" s="136">
        <f>[11]С2.5!$BI$11</f>
        <v>0</v>
      </c>
    </row>
    <row r="200" spans="2:3" hidden="1">
      <c r="B200" s="86">
        <f t="shared" si="0"/>
        <v>2077</v>
      </c>
      <c r="C200" s="136">
        <f>[11]С2.5!$BJ$11</f>
        <v>0</v>
      </c>
    </row>
    <row r="201" spans="2:3" hidden="1">
      <c r="B201" s="86">
        <f t="shared" si="0"/>
        <v>2078</v>
      </c>
      <c r="C201" s="136">
        <f>[11]С2.5!$BK$11</f>
        <v>0</v>
      </c>
    </row>
    <row r="202" spans="2:3" hidden="1">
      <c r="B202" s="86">
        <f t="shared" si="0"/>
        <v>2079</v>
      </c>
      <c r="C202" s="136">
        <f>[11]С2.5!$BL$11</f>
        <v>0</v>
      </c>
    </row>
    <row r="203" spans="2:3" hidden="1">
      <c r="B203" s="86">
        <f t="shared" si="0"/>
        <v>2080</v>
      </c>
      <c r="C203" s="136">
        <f>[11]С2.5!$BM$11</f>
        <v>0</v>
      </c>
    </row>
    <row r="204" spans="2:3" hidden="1">
      <c r="B204" s="86">
        <f t="shared" si="0"/>
        <v>2081</v>
      </c>
      <c r="C204" s="136">
        <f>[11]С2.5!$BN$11</f>
        <v>0</v>
      </c>
    </row>
    <row r="205" spans="2:3" hidden="1">
      <c r="B205" s="86">
        <f t="shared" si="0"/>
        <v>2082</v>
      </c>
      <c r="C205" s="136">
        <f>[11]С2.5!$BO$11</f>
        <v>0</v>
      </c>
    </row>
    <row r="206" spans="2:3" hidden="1">
      <c r="B206" s="86">
        <f t="shared" si="0"/>
        <v>2083</v>
      </c>
      <c r="C206" s="136">
        <f>[11]С2.5!$BP$11</f>
        <v>0</v>
      </c>
    </row>
    <row r="207" spans="2:3" hidden="1">
      <c r="B207" s="86">
        <f t="shared" si="0"/>
        <v>2084</v>
      </c>
      <c r="C207" s="136">
        <f>[11]С2.5!$BQ$11</f>
        <v>0</v>
      </c>
    </row>
    <row r="208" spans="2:3" hidden="1">
      <c r="B208" s="86">
        <f t="shared" si="0"/>
        <v>2085</v>
      </c>
      <c r="C208" s="136">
        <f>[11]С2.5!$BR$11</f>
        <v>0</v>
      </c>
    </row>
    <row r="209" spans="2:3" hidden="1">
      <c r="B209" s="86">
        <f t="shared" ref="B209:B223" si="1">B208+1</f>
        <v>2086</v>
      </c>
      <c r="C209" s="136">
        <f>[11]С2.5!$BS$11</f>
        <v>0</v>
      </c>
    </row>
    <row r="210" spans="2:3" hidden="1">
      <c r="B210" s="86">
        <f t="shared" si="1"/>
        <v>2087</v>
      </c>
      <c r="C210" s="136">
        <f>[11]С2.5!$BT$11</f>
        <v>0</v>
      </c>
    </row>
    <row r="211" spans="2:3" hidden="1">
      <c r="B211" s="86">
        <f t="shared" si="1"/>
        <v>2088</v>
      </c>
      <c r="C211" s="136">
        <f>[11]С2.5!$BU$11</f>
        <v>0</v>
      </c>
    </row>
    <row r="212" spans="2:3" hidden="1">
      <c r="B212" s="86">
        <f t="shared" si="1"/>
        <v>2089</v>
      </c>
      <c r="C212" s="136">
        <f>[11]С2.5!$BV$11</f>
        <v>0</v>
      </c>
    </row>
    <row r="213" spans="2:3" hidden="1">
      <c r="B213" s="86">
        <f t="shared" si="1"/>
        <v>2090</v>
      </c>
      <c r="C213" s="136">
        <f>[11]С2.5!$BW$11</f>
        <v>0</v>
      </c>
    </row>
    <row r="214" spans="2:3" hidden="1">
      <c r="B214" s="86">
        <f t="shared" si="1"/>
        <v>2091</v>
      </c>
      <c r="C214" s="136">
        <f>[11]С2.5!$BX$11</f>
        <v>0</v>
      </c>
    </row>
    <row r="215" spans="2:3" hidden="1">
      <c r="B215" s="86">
        <f t="shared" si="1"/>
        <v>2092</v>
      </c>
      <c r="C215" s="136">
        <f>[11]С2.5!$BY$11</f>
        <v>0</v>
      </c>
    </row>
    <row r="216" spans="2:3" hidden="1">
      <c r="B216" s="86">
        <f t="shared" si="1"/>
        <v>2093</v>
      </c>
      <c r="C216" s="136">
        <f>[11]С2.5!$BZ$11</f>
        <v>0</v>
      </c>
    </row>
    <row r="217" spans="2:3" hidden="1">
      <c r="B217" s="86">
        <f t="shared" si="1"/>
        <v>2094</v>
      </c>
      <c r="C217" s="136">
        <f>[11]С2.5!$CA$11</f>
        <v>0</v>
      </c>
    </row>
    <row r="218" spans="2:3" hidden="1">
      <c r="B218" s="86">
        <f t="shared" si="1"/>
        <v>2095</v>
      </c>
      <c r="C218" s="136">
        <f>[11]С2.5!$CB$11</f>
        <v>0</v>
      </c>
    </row>
    <row r="219" spans="2:3" hidden="1">
      <c r="B219" s="86">
        <f t="shared" si="1"/>
        <v>2096</v>
      </c>
      <c r="C219" s="136">
        <f>[11]С2.5!$CC$11</f>
        <v>0</v>
      </c>
    </row>
    <row r="220" spans="2:3" hidden="1">
      <c r="B220" s="86">
        <f t="shared" si="1"/>
        <v>2097</v>
      </c>
      <c r="C220" s="136">
        <f>[11]С2.5!$CD$11</f>
        <v>0</v>
      </c>
    </row>
    <row r="221" spans="2:3" hidden="1">
      <c r="B221" s="86">
        <f t="shared" si="1"/>
        <v>2098</v>
      </c>
      <c r="C221" s="136">
        <f>[11]С2.5!$CE$11</f>
        <v>0</v>
      </c>
    </row>
    <row r="222" spans="2:3" hidden="1">
      <c r="B222" s="86">
        <f t="shared" si="1"/>
        <v>2099</v>
      </c>
      <c r="C222" s="136">
        <f>[11]С2.5!$CF$11</f>
        <v>0</v>
      </c>
    </row>
    <row r="223" spans="2:3" ht="13.5" hidden="1" thickBot="1">
      <c r="B223" s="87">
        <f t="shared" si="1"/>
        <v>2100</v>
      </c>
      <c r="C223" s="137">
        <f>[11]С2.5!$CG$11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7889"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F21" sqref="F21"/>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[12]И1!D13</f>
        <v>Субъект Российской Федерации</v>
      </c>
      <c r="C4" s="8" t="str">
        <f>[12]И1!E13</f>
        <v>Новосибирская область</v>
      </c>
    </row>
    <row r="5" spans="1:3" ht="38.25">
      <c r="A5" s="6"/>
      <c r="B5" s="7" t="str">
        <f>[12]И1!D14</f>
        <v>Тип муниципального образования (выберите из списка)</v>
      </c>
      <c r="C5" s="8" t="str">
        <f>[12]И1!E14</f>
        <v>деревня Погорелка, Чановский муниципальный район</v>
      </c>
    </row>
    <row r="6" spans="1:3">
      <c r="A6" s="6"/>
      <c r="B6" s="7" t="str">
        <f>IF([12]И1!E15="","",[12]И1!D15)</f>
        <v/>
      </c>
      <c r="C6" s="8" t="str">
        <f>IF([12]И1!E15="","",[12]И1!E15)</f>
        <v/>
      </c>
    </row>
    <row r="7" spans="1:3">
      <c r="A7" s="6"/>
      <c r="B7" s="7" t="str">
        <f>[12]И1!D16</f>
        <v>Код ОКТМО</v>
      </c>
      <c r="C7" s="9" t="str">
        <f>[12]И1!E16</f>
        <v>50656419101</v>
      </c>
    </row>
    <row r="8" spans="1:3">
      <c r="A8" s="6"/>
      <c r="B8" s="10" t="str">
        <f>[12]И1!D17</f>
        <v>Система теплоснабжения</v>
      </c>
      <c r="C8" s="11">
        <f>[12]И1!E17</f>
        <v>0</v>
      </c>
    </row>
    <row r="9" spans="1:3">
      <c r="A9" s="6"/>
      <c r="B9" s="7" t="str">
        <f>[12]И1!D8</f>
        <v>Период регулирования (i)-й</v>
      </c>
      <c r="C9" s="12">
        <f>[12]И1!E8</f>
        <v>2023</v>
      </c>
    </row>
    <row r="10" spans="1:3">
      <c r="A10" s="6"/>
      <c r="B10" s="7" t="str">
        <f>[12]И1!D9</f>
        <v>Период регулирования (i-1)-й</v>
      </c>
      <c r="C10" s="12">
        <f>[12]И1!E9</f>
        <v>2022</v>
      </c>
    </row>
    <row r="11" spans="1:3">
      <c r="A11" s="6"/>
      <c r="B11" s="7" t="str">
        <f>[12]И1!D10</f>
        <v>Период регулирования (i-2)-й</v>
      </c>
      <c r="C11" s="12">
        <f>[12]И1!E10</f>
        <v>2021</v>
      </c>
    </row>
    <row r="12" spans="1:3">
      <c r="A12" s="6"/>
      <c r="B12" s="7" t="str">
        <f>[12]И1!D11</f>
        <v>Базовый год (б)</v>
      </c>
      <c r="C12" s="12">
        <f>[12]И1!E11</f>
        <v>2019</v>
      </c>
    </row>
    <row r="13" spans="1:3" ht="38.25">
      <c r="A13" s="6"/>
      <c r="B13" s="7" t="str">
        <f>[12]И1!D18</f>
        <v>Вид топлива, использование которого преобладает в системе теплоснабжения</v>
      </c>
      <c r="C13" s="13" t="str">
        <f>[12]С1.1!E13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4110.0805116464917</v>
      </c>
    </row>
    <row r="18" spans="1:3" ht="42.75">
      <c r="A18" s="16" t="s">
        <v>7</v>
      </c>
      <c r="B18" s="19" t="s">
        <v>8</v>
      </c>
      <c r="C18" s="20">
        <f>[12]С1!F12</f>
        <v>1006.0126910079939</v>
      </c>
    </row>
    <row r="19" spans="1:3" ht="42.75">
      <c r="A19" s="16" t="s">
        <v>9</v>
      </c>
      <c r="B19" s="19" t="s">
        <v>10</v>
      </c>
      <c r="C19" s="20">
        <f>[12]С2!F12</f>
        <v>2104.1852054273977</v>
      </c>
    </row>
    <row r="20" spans="1:3" ht="30">
      <c r="A20" s="16" t="s">
        <v>11</v>
      </c>
      <c r="B20" s="19" t="s">
        <v>12</v>
      </c>
      <c r="C20" s="20">
        <f>[12]С3!F12</f>
        <v>503.33593794803642</v>
      </c>
    </row>
    <row r="21" spans="1:3" ht="42.75">
      <c r="A21" s="16" t="s">
        <v>13</v>
      </c>
      <c r="B21" s="19" t="s">
        <v>226</v>
      </c>
      <c r="C21" s="20">
        <f>[12]С4!F12</f>
        <v>415.95686330921029</v>
      </c>
    </row>
    <row r="22" spans="1:3" ht="30">
      <c r="A22" s="16" t="s">
        <v>14</v>
      </c>
      <c r="B22" s="19" t="s">
        <v>227</v>
      </c>
      <c r="C22" s="20">
        <f>[12]С5!F12</f>
        <v>80.589813953852769</v>
      </c>
    </row>
    <row r="23" spans="1:3" ht="43.5" thickBot="1">
      <c r="A23" s="21" t="s">
        <v>15</v>
      </c>
      <c r="B23" s="111" t="s">
        <v>228</v>
      </c>
      <c r="C23" s="22" t="str">
        <f>[12]С6!F12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[12]С1.1!E16</f>
        <v>5100</v>
      </c>
    </row>
    <row r="29" spans="1:3" ht="42.75">
      <c r="A29" s="16" t="s">
        <v>9</v>
      </c>
      <c r="B29" s="27" t="s">
        <v>230</v>
      </c>
      <c r="C29" s="28">
        <f>[12]С1.1!E27</f>
        <v>2705</v>
      </c>
    </row>
    <row r="30" spans="1:3" ht="17.25">
      <c r="A30" s="16" t="s">
        <v>11</v>
      </c>
      <c r="B30" s="27" t="s">
        <v>17</v>
      </c>
      <c r="C30" s="29">
        <f>[12]С1.1!E19</f>
        <v>0.59499999999999997</v>
      </c>
    </row>
    <row r="31" spans="1:3" ht="17.25">
      <c r="A31" s="16" t="s">
        <v>13</v>
      </c>
      <c r="B31" s="27" t="s">
        <v>18</v>
      </c>
      <c r="C31" s="29">
        <f>[12]С1.1!E20</f>
        <v>-0.113</v>
      </c>
    </row>
    <row r="32" spans="1:3" ht="30">
      <c r="A32" s="16" t="s">
        <v>14</v>
      </c>
      <c r="B32" s="30" t="s">
        <v>231</v>
      </c>
      <c r="C32" s="118">
        <f>[12]С1!F13</f>
        <v>176.4</v>
      </c>
    </row>
    <row r="33" spans="1:3">
      <c r="A33" s="16" t="s">
        <v>15</v>
      </c>
      <c r="B33" s="30" t="s">
        <v>19</v>
      </c>
      <c r="C33" s="31">
        <f>[12]С1!F16</f>
        <v>7000</v>
      </c>
    </row>
    <row r="34" spans="1:3" ht="14.25">
      <c r="A34" s="16" t="s">
        <v>20</v>
      </c>
      <c r="B34" s="32" t="s">
        <v>232</v>
      </c>
      <c r="C34" s="33">
        <f>[12]С1!F17</f>
        <v>0.72857142857142854</v>
      </c>
    </row>
    <row r="35" spans="1:3" ht="15.75">
      <c r="A35" s="119" t="s">
        <v>21</v>
      </c>
      <c r="B35" s="34" t="s">
        <v>22</v>
      </c>
      <c r="C35" s="33">
        <f>[12]С1!F20</f>
        <v>21.588411179999994</v>
      </c>
    </row>
    <row r="36" spans="1:3" ht="15.75">
      <c r="A36" s="119" t="s">
        <v>23</v>
      </c>
      <c r="B36" s="35" t="s">
        <v>24</v>
      </c>
      <c r="C36" s="33">
        <f>[12]С1!F21</f>
        <v>20.818139999999996</v>
      </c>
    </row>
    <row r="37" spans="1:3" ht="14.25">
      <c r="A37" s="119" t="s">
        <v>25</v>
      </c>
      <c r="B37" s="36" t="s">
        <v>26</v>
      </c>
      <c r="C37" s="33">
        <f>[12]С1!F22</f>
        <v>1.0369999999999999</v>
      </c>
    </row>
    <row r="38" spans="1:3" ht="53.25" thickBot="1">
      <c r="A38" s="21" t="s">
        <v>27</v>
      </c>
      <c r="B38" s="37" t="s">
        <v>28</v>
      </c>
      <c r="C38" s="38">
        <f>[12]С1!F23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[12]С2.1!E12</f>
        <v>V</v>
      </c>
    </row>
    <row r="42" spans="1:3" ht="25.5">
      <c r="A42" s="16" t="s">
        <v>33</v>
      </c>
      <c r="B42" s="27" t="s">
        <v>34</v>
      </c>
      <c r="C42" s="41" t="str">
        <f>[12]С2.1!E13</f>
        <v>6 и менее баллов</v>
      </c>
    </row>
    <row r="43" spans="1:3" ht="25.5">
      <c r="A43" s="16" t="s">
        <v>35</v>
      </c>
      <c r="B43" s="27" t="s">
        <v>233</v>
      </c>
      <c r="C43" s="41" t="str">
        <f>[12]С2.1!E14</f>
        <v>от 200 до 500</v>
      </c>
    </row>
    <row r="44" spans="1:3" ht="25.5">
      <c r="A44" s="16" t="s">
        <v>36</v>
      </c>
      <c r="B44" s="27" t="s">
        <v>234</v>
      </c>
      <c r="C44" s="42" t="str">
        <f>[12]С2.1!E15</f>
        <v>нет</v>
      </c>
    </row>
    <row r="45" spans="1:3" ht="30">
      <c r="A45" s="16" t="s">
        <v>37</v>
      </c>
      <c r="B45" s="27" t="s">
        <v>38</v>
      </c>
      <c r="C45" s="28">
        <f>[12]С2!F18</f>
        <v>32402.627334033532</v>
      </c>
    </row>
    <row r="46" spans="1:3" ht="30">
      <c r="A46" s="16" t="s">
        <v>39</v>
      </c>
      <c r="B46" s="43" t="s">
        <v>40</v>
      </c>
      <c r="C46" s="28">
        <f>IF([12]С2!F19&gt;0,[12]С2!F19,[12]С2!F20)</f>
        <v>23441.524932855718</v>
      </c>
    </row>
    <row r="47" spans="1:3" ht="25.5">
      <c r="A47" s="16" t="s">
        <v>41</v>
      </c>
      <c r="B47" s="44" t="s">
        <v>42</v>
      </c>
      <c r="C47" s="28">
        <f>[12]С2.1!E19</f>
        <v>-38</v>
      </c>
    </row>
    <row r="48" spans="1:3" ht="25.5">
      <c r="A48" s="16" t="s">
        <v>43</v>
      </c>
      <c r="B48" s="44" t="s">
        <v>44</v>
      </c>
      <c r="C48" s="28" t="str">
        <f>[12]С2.1!E22</f>
        <v>нет</v>
      </c>
    </row>
    <row r="49" spans="1:3" ht="38.25">
      <c r="A49" s="16" t="s">
        <v>45</v>
      </c>
      <c r="B49" s="45" t="s">
        <v>46</v>
      </c>
      <c r="C49" s="28">
        <f>[12]С2.2!E10</f>
        <v>1287</v>
      </c>
    </row>
    <row r="50" spans="1:3" ht="25.5">
      <c r="A50" s="16" t="s">
        <v>47</v>
      </c>
      <c r="B50" s="46" t="s">
        <v>48</v>
      </c>
      <c r="C50" s="28">
        <f>[12]С2.2!E12</f>
        <v>5.97</v>
      </c>
    </row>
    <row r="51" spans="1:3" ht="52.5">
      <c r="A51" s="16" t="s">
        <v>49</v>
      </c>
      <c r="B51" s="47" t="s">
        <v>50</v>
      </c>
      <c r="C51" s="28">
        <f>[12]С2.2!E13</f>
        <v>1</v>
      </c>
    </row>
    <row r="52" spans="1:3" ht="27.75">
      <c r="A52" s="16" t="s">
        <v>51</v>
      </c>
      <c r="B52" s="46" t="s">
        <v>52</v>
      </c>
      <c r="C52" s="28">
        <f>[12]С2.2!E14</f>
        <v>12104</v>
      </c>
    </row>
    <row r="53" spans="1:3" ht="25.5">
      <c r="A53" s="16" t="s">
        <v>53</v>
      </c>
      <c r="B53" s="47" t="s">
        <v>54</v>
      </c>
      <c r="C53" s="29">
        <f>[12]С2.2!E15</f>
        <v>4.8000000000000001E-2</v>
      </c>
    </row>
    <row r="54" spans="1:3">
      <c r="A54" s="16" t="s">
        <v>55</v>
      </c>
      <c r="B54" s="47" t="s">
        <v>56</v>
      </c>
      <c r="C54" s="28">
        <f>[12]С2.2!E16</f>
        <v>1</v>
      </c>
    </row>
    <row r="55" spans="1:3" ht="15.75">
      <c r="A55" s="16" t="s">
        <v>57</v>
      </c>
      <c r="B55" s="48" t="s">
        <v>58</v>
      </c>
      <c r="C55" s="28">
        <f>[12]С2!F21</f>
        <v>1</v>
      </c>
    </row>
    <row r="56" spans="1:3" ht="30">
      <c r="A56" s="49" t="s">
        <v>59</v>
      </c>
      <c r="B56" s="27" t="s">
        <v>235</v>
      </c>
      <c r="C56" s="28">
        <f>[12]С2!F13</f>
        <v>169640.22915965237</v>
      </c>
    </row>
    <row r="57" spans="1:3" ht="30">
      <c r="A57" s="49" t="s">
        <v>60</v>
      </c>
      <c r="B57" s="48" t="s">
        <v>236</v>
      </c>
      <c r="C57" s="28">
        <f>[12]С2!F14</f>
        <v>113455</v>
      </c>
    </row>
    <row r="58" spans="1:3" ht="15.75">
      <c r="A58" s="49" t="s">
        <v>61</v>
      </c>
      <c r="B58" s="50" t="s">
        <v>62</v>
      </c>
      <c r="C58" s="33">
        <f>[12]С2!F15</f>
        <v>1.071</v>
      </c>
    </row>
    <row r="59" spans="1:3" ht="15.75">
      <c r="A59" s="49" t="s">
        <v>63</v>
      </c>
      <c r="B59" s="50" t="s">
        <v>64</v>
      </c>
      <c r="C59" s="33">
        <f>[12]С2!F16</f>
        <v>1</v>
      </c>
    </row>
    <row r="60" spans="1:3" ht="17.25">
      <c r="A60" s="49" t="s">
        <v>65</v>
      </c>
      <c r="B60" s="48" t="s">
        <v>66</v>
      </c>
      <c r="C60" s="28">
        <f>[12]С2!F17</f>
        <v>1.01</v>
      </c>
    </row>
    <row r="61" spans="1:3" s="53" customFormat="1" ht="14.25">
      <c r="A61" s="49" t="s">
        <v>67</v>
      </c>
      <c r="B61" s="51" t="s">
        <v>68</v>
      </c>
      <c r="C61" s="52">
        <f>[12]С2!F33</f>
        <v>10</v>
      </c>
    </row>
    <row r="62" spans="1:3" ht="30">
      <c r="A62" s="49" t="s">
        <v>69</v>
      </c>
      <c r="B62" s="54" t="s">
        <v>70</v>
      </c>
      <c r="C62" s="28">
        <f>[12]С2!F26</f>
        <v>911.22846603392293</v>
      </c>
    </row>
    <row r="63" spans="1:3" ht="17.25">
      <c r="A63" s="49" t="s">
        <v>71</v>
      </c>
      <c r="B63" s="43" t="s">
        <v>237</v>
      </c>
      <c r="C63" s="28">
        <f>[12]С2!F27</f>
        <v>0.15695805999999998</v>
      </c>
    </row>
    <row r="64" spans="1:3" ht="17.25">
      <c r="A64" s="49" t="s">
        <v>72</v>
      </c>
      <c r="B64" s="48" t="s">
        <v>238</v>
      </c>
      <c r="C64" s="52">
        <f>[12]С2!F28</f>
        <v>4200</v>
      </c>
    </row>
    <row r="65" spans="1:3" ht="42.75">
      <c r="A65" s="49" t="s">
        <v>73</v>
      </c>
      <c r="B65" s="27" t="s">
        <v>239</v>
      </c>
      <c r="C65" s="28">
        <f>[12]С2!F22</f>
        <v>35717.748653137714</v>
      </c>
    </row>
    <row r="66" spans="1:3" ht="30">
      <c r="A66" s="49" t="s">
        <v>74</v>
      </c>
      <c r="B66" s="50" t="s">
        <v>240</v>
      </c>
      <c r="C66" s="28">
        <f>[12]С2!F23</f>
        <v>1990</v>
      </c>
    </row>
    <row r="67" spans="1:3" ht="30">
      <c r="A67" s="49" t="s">
        <v>75</v>
      </c>
      <c r="B67" s="43" t="s">
        <v>76</v>
      </c>
      <c r="C67" s="28">
        <f>[12]С2.1!E27</f>
        <v>14307.876789999998</v>
      </c>
    </row>
    <row r="68" spans="1:3" ht="38.25">
      <c r="A68" s="49" t="s">
        <v>77</v>
      </c>
      <c r="B68" s="55" t="s">
        <v>78</v>
      </c>
      <c r="C68" s="42">
        <f>[12]С2.3!E21</f>
        <v>0</v>
      </c>
    </row>
    <row r="69" spans="1:3" ht="25.5">
      <c r="A69" s="49" t="s">
        <v>79</v>
      </c>
      <c r="B69" s="56" t="s">
        <v>80</v>
      </c>
      <c r="C69" s="57">
        <f>[12]С2.3!E11</f>
        <v>9.89</v>
      </c>
    </row>
    <row r="70" spans="1:3" ht="25.5">
      <c r="A70" s="49" t="s">
        <v>81</v>
      </c>
      <c r="B70" s="56" t="s">
        <v>82</v>
      </c>
      <c r="C70" s="52">
        <f>[12]С2.3!E13</f>
        <v>300</v>
      </c>
    </row>
    <row r="71" spans="1:3" ht="25.5">
      <c r="A71" s="49" t="s">
        <v>83</v>
      </c>
      <c r="B71" s="55" t="s">
        <v>84</v>
      </c>
      <c r="C71" s="58">
        <f>IF([12]С2.3!E22&gt;0,[12]С2.3!E22,[12]С2.3!E14)</f>
        <v>61211</v>
      </c>
    </row>
    <row r="72" spans="1:3" ht="38.25">
      <c r="A72" s="49" t="s">
        <v>85</v>
      </c>
      <c r="B72" s="55" t="s">
        <v>86</v>
      </c>
      <c r="C72" s="58">
        <f>IF([12]С2.3!E23&gt;0,[12]С2.3!E23,[12]С2.3!E15)</f>
        <v>45675</v>
      </c>
    </row>
    <row r="73" spans="1:3" ht="30">
      <c r="A73" s="49" t="s">
        <v>87</v>
      </c>
      <c r="B73" s="43" t="s">
        <v>88</v>
      </c>
      <c r="C73" s="28">
        <f>[12]С2.1!E28</f>
        <v>9541.9567200000001</v>
      </c>
    </row>
    <row r="74" spans="1:3" ht="38.25">
      <c r="A74" s="49" t="s">
        <v>89</v>
      </c>
      <c r="B74" s="55" t="s">
        <v>90</v>
      </c>
      <c r="C74" s="42">
        <f>[12]С2.3!E25</f>
        <v>0</v>
      </c>
    </row>
    <row r="75" spans="1:3" ht="25.5">
      <c r="A75" s="49" t="s">
        <v>91</v>
      </c>
      <c r="B75" s="56" t="s">
        <v>92</v>
      </c>
      <c r="C75" s="57">
        <f>[12]С2.3!E12</f>
        <v>0.56000000000000005</v>
      </c>
    </row>
    <row r="76" spans="1:3" ht="25.5">
      <c r="A76" s="49" t="s">
        <v>93</v>
      </c>
      <c r="B76" s="56" t="s">
        <v>82</v>
      </c>
      <c r="C76" s="52">
        <f>[12]С2.3!E13</f>
        <v>300</v>
      </c>
    </row>
    <row r="77" spans="1:3" ht="25.5">
      <c r="A77" s="49" t="s">
        <v>94</v>
      </c>
      <c r="B77" s="59" t="s">
        <v>95</v>
      </c>
      <c r="C77" s="58">
        <f>IF([12]С2.3!E26&gt;0,[12]С2.3!E26,[12]С2.3!E16)</f>
        <v>65637</v>
      </c>
    </row>
    <row r="78" spans="1:3" ht="38.25">
      <c r="A78" s="49" t="s">
        <v>96</v>
      </c>
      <c r="B78" s="59" t="s">
        <v>97</v>
      </c>
      <c r="C78" s="58">
        <f>IF([12]С2.3!E27&gt;0,[12]С2.3!E27,[12]С2.3!E17)</f>
        <v>31684</v>
      </c>
    </row>
    <row r="79" spans="1:3" ht="17.25">
      <c r="A79" s="49" t="s">
        <v>98</v>
      </c>
      <c r="B79" s="27" t="s">
        <v>99</v>
      </c>
      <c r="C79" s="29">
        <f>[12]С2!F29</f>
        <v>0.128978033685065</v>
      </c>
    </row>
    <row r="80" spans="1:3" ht="30">
      <c r="A80" s="49" t="s">
        <v>100</v>
      </c>
      <c r="B80" s="43" t="s">
        <v>101</v>
      </c>
      <c r="C80" s="60">
        <f>[12]С2!F30</f>
        <v>0.11668498168498169</v>
      </c>
    </row>
    <row r="81" spans="1:3" ht="17.25">
      <c r="A81" s="49" t="s">
        <v>102</v>
      </c>
      <c r="B81" s="61" t="s">
        <v>103</v>
      </c>
      <c r="C81" s="29">
        <f>[12]С2!F31</f>
        <v>0.13880000000000001</v>
      </c>
    </row>
    <row r="82" spans="1:3" s="53" customFormat="1" ht="18" thickBot="1">
      <c r="A82" s="62" t="s">
        <v>104</v>
      </c>
      <c r="B82" s="63" t="s">
        <v>105</v>
      </c>
      <c r="C82" s="64">
        <f>[12]С2!F32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[12]С3!F14</f>
        <v>6988.6287956820188</v>
      </c>
    </row>
    <row r="86" spans="1:3" s="53" customFormat="1" ht="42.75">
      <c r="A86" s="67" t="s">
        <v>110</v>
      </c>
      <c r="B86" s="43" t="s">
        <v>111</v>
      </c>
      <c r="C86" s="68">
        <f>[12]С3!F15</f>
        <v>0.2</v>
      </c>
    </row>
    <row r="87" spans="1:3" s="53" customFormat="1" ht="14.25">
      <c r="A87" s="67" t="s">
        <v>112</v>
      </c>
      <c r="B87" s="69" t="s">
        <v>113</v>
      </c>
      <c r="C87" s="52">
        <f>[12]С3!F18</f>
        <v>15</v>
      </c>
    </row>
    <row r="88" spans="1:3" s="53" customFormat="1" ht="17.25">
      <c r="A88" s="67" t="s">
        <v>114</v>
      </c>
      <c r="B88" s="27" t="s">
        <v>115</v>
      </c>
      <c r="C88" s="28">
        <f>[12]С3!F19</f>
        <v>3487.1555421534131</v>
      </c>
    </row>
    <row r="89" spans="1:3" s="53" customFormat="1" ht="55.5">
      <c r="A89" s="67" t="s">
        <v>116</v>
      </c>
      <c r="B89" s="43" t="s">
        <v>117</v>
      </c>
      <c r="C89" s="70">
        <f>[12]С3!F20</f>
        <v>2.1999999999999999E-2</v>
      </c>
    </row>
    <row r="90" spans="1:3" s="53" customFormat="1" ht="14.25">
      <c r="A90" s="67" t="s">
        <v>118</v>
      </c>
      <c r="B90" s="48" t="s">
        <v>68</v>
      </c>
      <c r="C90" s="52">
        <f>[12]С3!F21</f>
        <v>10</v>
      </c>
    </row>
    <row r="91" spans="1:3" s="53" customFormat="1" ht="17.25">
      <c r="A91" s="67" t="s">
        <v>119</v>
      </c>
      <c r="B91" s="27" t="s">
        <v>120</v>
      </c>
      <c r="C91" s="28">
        <f>[12]С3!F22</f>
        <v>2.7336853981017688</v>
      </c>
    </row>
    <row r="92" spans="1:3" s="53" customFormat="1" ht="55.5">
      <c r="A92" s="67" t="s">
        <v>121</v>
      </c>
      <c r="B92" s="43" t="s">
        <v>122</v>
      </c>
      <c r="C92" s="70">
        <f>[12]С3!F23</f>
        <v>3.0000000000000001E-3</v>
      </c>
    </row>
    <row r="93" spans="1:3" s="53" customFormat="1" ht="27.75" thickBot="1">
      <c r="A93" s="71" t="s">
        <v>123</v>
      </c>
      <c r="B93" s="72" t="s">
        <v>241</v>
      </c>
      <c r="C93" s="73">
        <f>[12]С3!F24</f>
        <v>911.22846603392293</v>
      </c>
    </row>
    <row r="94" spans="1:3" ht="13.5" thickBot="1">
      <c r="A94" s="39"/>
      <c r="B94" s="65"/>
      <c r="C94" s="13"/>
    </row>
    <row r="95" spans="1:3" ht="30" customHeight="1">
      <c r="A95" s="74" t="s">
        <v>124</v>
      </c>
      <c r="B95" s="141" t="s">
        <v>125</v>
      </c>
      <c r="C95" s="141"/>
    </row>
    <row r="96" spans="1:3" ht="30">
      <c r="A96" s="49" t="s">
        <v>126</v>
      </c>
      <c r="B96" s="27" t="s">
        <v>242</v>
      </c>
      <c r="C96" s="28">
        <f>[12]С4!F16</f>
        <v>1652.5</v>
      </c>
    </row>
    <row r="97" spans="1:3" ht="30">
      <c r="A97" s="49" t="s">
        <v>127</v>
      </c>
      <c r="B97" s="48" t="s">
        <v>243</v>
      </c>
      <c r="C97" s="28">
        <f>[12]С4!F17</f>
        <v>73547</v>
      </c>
    </row>
    <row r="98" spans="1:3" ht="17.25">
      <c r="A98" s="49" t="s">
        <v>128</v>
      </c>
      <c r="B98" s="48" t="s">
        <v>129</v>
      </c>
      <c r="C98" s="33">
        <f>[12]С4!F18</f>
        <v>0.02</v>
      </c>
    </row>
    <row r="99" spans="1:3" ht="30">
      <c r="A99" s="49" t="s">
        <v>130</v>
      </c>
      <c r="B99" s="48" t="s">
        <v>131</v>
      </c>
      <c r="C99" s="28">
        <f>[12]С4!F19</f>
        <v>12104</v>
      </c>
    </row>
    <row r="100" spans="1:3" ht="31.5">
      <c r="A100" s="49" t="s">
        <v>132</v>
      </c>
      <c r="B100" s="48" t="s">
        <v>133</v>
      </c>
      <c r="C100" s="33">
        <f>[12]С4!F20</f>
        <v>1.4999999999999999E-2</v>
      </c>
    </row>
    <row r="101" spans="1:3" ht="30">
      <c r="A101" s="49" t="s">
        <v>134</v>
      </c>
      <c r="B101" s="27" t="s">
        <v>244</v>
      </c>
      <c r="C101" s="28">
        <f>[12]С4!F21</f>
        <v>1933.1949342509995</v>
      </c>
    </row>
    <row r="102" spans="1:3" ht="24" customHeight="1">
      <c r="A102" s="49" t="s">
        <v>135</v>
      </c>
      <c r="B102" s="43" t="s">
        <v>136</v>
      </c>
      <c r="C102" s="75">
        <f>IF([12]С4.2!F8="да",[12]С4.2!D21,[12]С4.2!D15)</f>
        <v>0</v>
      </c>
    </row>
    <row r="103" spans="1:3" ht="68.25">
      <c r="A103" s="49" t="s">
        <v>137</v>
      </c>
      <c r="B103" s="43" t="s">
        <v>138</v>
      </c>
      <c r="C103" s="28">
        <f>[12]С4!F22</f>
        <v>3.6112641666666665</v>
      </c>
    </row>
    <row r="104" spans="1:3" ht="30">
      <c r="A104" s="49" t="s">
        <v>139</v>
      </c>
      <c r="B104" s="48" t="s">
        <v>245</v>
      </c>
      <c r="C104" s="28">
        <f>[12]С4!F23</f>
        <v>180</v>
      </c>
    </row>
    <row r="105" spans="1:3" ht="14.25">
      <c r="A105" s="49" t="s">
        <v>140</v>
      </c>
      <c r="B105" s="43" t="s">
        <v>141</v>
      </c>
      <c r="C105" s="28">
        <f>[12]С4!F24</f>
        <v>8497.1999999999989</v>
      </c>
    </row>
    <row r="106" spans="1:3" ht="14.25">
      <c r="A106" s="49" t="s">
        <v>142</v>
      </c>
      <c r="B106" s="48" t="s">
        <v>143</v>
      </c>
      <c r="C106" s="33">
        <f>[12]С4!F25</f>
        <v>0.35</v>
      </c>
    </row>
    <row r="107" spans="1:3" ht="17.25">
      <c r="A107" s="49" t="s">
        <v>144</v>
      </c>
      <c r="B107" s="27" t="s">
        <v>145</v>
      </c>
      <c r="C107" s="28">
        <f>[12]С4!F26</f>
        <v>91.309860000000015</v>
      </c>
    </row>
    <row r="108" spans="1:3" ht="25.5">
      <c r="A108" s="49" t="s">
        <v>146</v>
      </c>
      <c r="B108" s="43" t="s">
        <v>78</v>
      </c>
      <c r="C108" s="75">
        <f>[12]С4.3!E16</f>
        <v>0</v>
      </c>
    </row>
    <row r="109" spans="1:3" ht="25.5">
      <c r="A109" s="49" t="s">
        <v>147</v>
      </c>
      <c r="B109" s="43" t="s">
        <v>148</v>
      </c>
      <c r="C109" s="28">
        <f>[12]С4.3!E17</f>
        <v>24.1</v>
      </c>
    </row>
    <row r="110" spans="1:3" ht="38.25">
      <c r="A110" s="49" t="s">
        <v>149</v>
      </c>
      <c r="B110" s="43" t="s">
        <v>90</v>
      </c>
      <c r="C110" s="75">
        <f>[12]С4.3!E18</f>
        <v>0</v>
      </c>
    </row>
    <row r="111" spans="1:3">
      <c r="A111" s="49" t="s">
        <v>150</v>
      </c>
      <c r="B111" s="43" t="s">
        <v>151</v>
      </c>
      <c r="C111" s="28">
        <f>[12]С4.3!E19</f>
        <v>33.29</v>
      </c>
    </row>
    <row r="112" spans="1:3">
      <c r="A112" s="49" t="s">
        <v>152</v>
      </c>
      <c r="B112" s="48" t="s">
        <v>153</v>
      </c>
      <c r="C112" s="28">
        <f>[12]С4.3!E11</f>
        <v>1871</v>
      </c>
    </row>
    <row r="113" spans="1:3">
      <c r="A113" s="49" t="s">
        <v>154</v>
      </c>
      <c r="B113" s="48" t="s">
        <v>155</v>
      </c>
      <c r="C113" s="42">
        <f>[12]С4.3!E12</f>
        <v>1636</v>
      </c>
    </row>
    <row r="114" spans="1:3">
      <c r="A114" s="49" t="s">
        <v>156</v>
      </c>
      <c r="B114" s="48" t="s">
        <v>157</v>
      </c>
      <c r="C114" s="42">
        <f>[12]С4.3!E13</f>
        <v>204</v>
      </c>
    </row>
    <row r="115" spans="1:3" ht="30">
      <c r="A115" s="49" t="s">
        <v>158</v>
      </c>
      <c r="B115" s="27" t="s">
        <v>246</v>
      </c>
      <c r="C115" s="28">
        <f>[12]С4!F27</f>
        <v>998.55949805489831</v>
      </c>
    </row>
    <row r="116" spans="1:3" ht="25.5">
      <c r="A116" s="49" t="s">
        <v>159</v>
      </c>
      <c r="B116" s="43" t="s">
        <v>247</v>
      </c>
      <c r="C116" s="28">
        <f>[12]С4!F28</f>
        <v>766.94277884400788</v>
      </c>
    </row>
    <row r="117" spans="1:3" ht="42.75">
      <c r="A117" s="49" t="s">
        <v>160</v>
      </c>
      <c r="B117" s="43" t="s">
        <v>161</v>
      </c>
      <c r="C117" s="28">
        <f>[12]С4!F29</f>
        <v>231.61671921089041</v>
      </c>
    </row>
    <row r="118" spans="1:3" ht="30">
      <c r="A118" s="49" t="s">
        <v>162</v>
      </c>
      <c r="B118" s="32" t="s">
        <v>163</v>
      </c>
      <c r="C118" s="28">
        <f>[12]С4!F30</f>
        <v>2196.5338871348599</v>
      </c>
    </row>
    <row r="119" spans="1:3" ht="42.75">
      <c r="A119" s="49" t="s">
        <v>248</v>
      </c>
      <c r="B119" s="76" t="s">
        <v>249</v>
      </c>
      <c r="C119" s="28">
        <f>[12]С4!F33</f>
        <v>1483.072594022681</v>
      </c>
    </row>
    <row r="120" spans="1:3" ht="30">
      <c r="A120" s="49" t="s">
        <v>250</v>
      </c>
      <c r="B120" s="122" t="s">
        <v>251</v>
      </c>
      <c r="C120" s="28">
        <f>[12]С4!F35</f>
        <v>17.040680999999999</v>
      </c>
    </row>
    <row r="121" spans="1:3" ht="14.25">
      <c r="A121" s="49" t="s">
        <v>252</v>
      </c>
      <c r="B121" s="46" t="s">
        <v>253</v>
      </c>
      <c r="C121" s="28">
        <f>[12]С4!F36</f>
        <v>14319.9</v>
      </c>
    </row>
    <row r="122" spans="1:3" ht="28.5" thickBot="1">
      <c r="A122" s="62" t="s">
        <v>254</v>
      </c>
      <c r="B122" s="123" t="s">
        <v>255</v>
      </c>
      <c r="C122" s="73">
        <f>[12]С4!F37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[12]С5!F17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[12]С2!F37</f>
        <v>20.818139999999996</v>
      </c>
    </row>
    <row r="136" spans="1:4" ht="14.25">
      <c r="A136" s="49" t="s">
        <v>183</v>
      </c>
      <c r="B136" s="129" t="s">
        <v>184</v>
      </c>
      <c r="C136" s="28">
        <f>[12]С2!F38</f>
        <v>7</v>
      </c>
    </row>
    <row r="137" spans="1:4" ht="17.25">
      <c r="A137" s="49" t="s">
        <v>185</v>
      </c>
      <c r="B137" s="129" t="s">
        <v>186</v>
      </c>
      <c r="C137" s="28">
        <f>[12]С2!F40</f>
        <v>0.97</v>
      </c>
    </row>
    <row r="138" spans="1:4" ht="15" thickBot="1">
      <c r="A138" s="62" t="s">
        <v>187</v>
      </c>
      <c r="B138" s="130" t="s">
        <v>188</v>
      </c>
      <c r="C138" s="38">
        <f>[12]С2!F42</f>
        <v>0.35</v>
      </c>
    </row>
    <row r="139" spans="1:4" s="77" customFormat="1" ht="13.5" thickBot="1">
      <c r="A139" s="39"/>
      <c r="B139" s="65"/>
      <c r="C139" s="13"/>
    </row>
    <row r="140" spans="1:4" ht="30">
      <c r="A140" s="74" t="s">
        <v>189</v>
      </c>
      <c r="B140" s="84" t="s">
        <v>258</v>
      </c>
      <c r="C140" s="131">
        <f>[12]С2!F35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[12]С2.5!$E$11</f>
        <v>-2.9000000000000026E-2</v>
      </c>
      <c r="D143" s="77"/>
    </row>
    <row r="144" spans="1:4">
      <c r="A144" s="85"/>
      <c r="B144" s="86">
        <f>B143+1</f>
        <v>2021</v>
      </c>
      <c r="C144" s="136">
        <f>[12]С2.5!$F$11</f>
        <v>0.245</v>
      </c>
      <c r="D144" s="77"/>
    </row>
    <row r="145" spans="1:4">
      <c r="A145" s="85"/>
      <c r="B145" s="86">
        <f t="shared" ref="B145:B208" si="0">B144+1</f>
        <v>2022</v>
      </c>
      <c r="C145" s="136">
        <f>[12]С2.5!$G$11</f>
        <v>0.121</v>
      </c>
      <c r="D145" s="77"/>
    </row>
    <row r="146" spans="1:4" ht="13.5" thickBot="1">
      <c r="A146" s="85"/>
      <c r="B146" s="87">
        <f t="shared" si="0"/>
        <v>2023</v>
      </c>
      <c r="C146" s="137">
        <f>[12]С2.5!$H$11</f>
        <v>0.02</v>
      </c>
      <c r="D146" s="77"/>
    </row>
    <row r="147" spans="1:4" hidden="1">
      <c r="A147" s="85"/>
      <c r="B147" s="138">
        <f t="shared" si="0"/>
        <v>2024</v>
      </c>
      <c r="C147" s="139">
        <f>[12]С2.5!$I$11</f>
        <v>-2.93E-2</v>
      </c>
      <c r="D147" s="77"/>
    </row>
    <row r="148" spans="1:4" hidden="1">
      <c r="A148" s="85"/>
      <c r="B148" s="86">
        <f t="shared" si="0"/>
        <v>2025</v>
      </c>
      <c r="C148" s="136">
        <f>[12]С2.5!$J$11</f>
        <v>0.21215960863291</v>
      </c>
      <c r="D148" s="77"/>
    </row>
    <row r="149" spans="1:4" hidden="1">
      <c r="A149" s="85"/>
      <c r="B149" s="86">
        <f t="shared" si="0"/>
        <v>2026</v>
      </c>
      <c r="C149" s="136">
        <f>[12]С2.5!$K$11</f>
        <v>3.5813361771260002E-2</v>
      </c>
      <c r="D149" s="77"/>
    </row>
    <row r="150" spans="1:4" hidden="1">
      <c r="A150" s="85"/>
      <c r="B150" s="86">
        <f t="shared" si="0"/>
        <v>2027</v>
      </c>
      <c r="C150" s="136">
        <f>[12]С2.5!$L$11</f>
        <v>3.2682303599220003E-2</v>
      </c>
      <c r="D150" s="77"/>
    </row>
    <row r="151" spans="1:4" hidden="1">
      <c r="A151" s="85"/>
      <c r="B151" s="86">
        <f t="shared" si="0"/>
        <v>2028</v>
      </c>
      <c r="C151" s="136">
        <f>[12]С2.5!$M$11</f>
        <v>0</v>
      </c>
      <c r="D151" s="77"/>
    </row>
    <row r="152" spans="1:4" hidden="1">
      <c r="A152" s="85"/>
      <c r="B152" s="86">
        <f t="shared" si="0"/>
        <v>2029</v>
      </c>
      <c r="C152" s="136">
        <f>[12]С2.5!$N$11</f>
        <v>0</v>
      </c>
      <c r="D152" s="77"/>
    </row>
    <row r="153" spans="1:4" hidden="1">
      <c r="A153" s="85"/>
      <c r="B153" s="86">
        <f t="shared" si="0"/>
        <v>2030</v>
      </c>
      <c r="C153" s="136">
        <f>[12]С2.5!$O$11</f>
        <v>0</v>
      </c>
      <c r="D153" s="77"/>
    </row>
    <row r="154" spans="1:4" hidden="1">
      <c r="A154" s="85"/>
      <c r="B154" s="86">
        <f t="shared" si="0"/>
        <v>2031</v>
      </c>
      <c r="C154" s="136">
        <f>[12]С2.5!$P$11</f>
        <v>0</v>
      </c>
      <c r="D154" s="77"/>
    </row>
    <row r="155" spans="1:4" hidden="1">
      <c r="A155" s="77"/>
      <c r="B155" s="86">
        <f t="shared" si="0"/>
        <v>2032</v>
      </c>
      <c r="C155" s="136">
        <f>[12]С2.5!$Q$11</f>
        <v>0</v>
      </c>
      <c r="D155" s="77"/>
    </row>
    <row r="156" spans="1:4" hidden="1">
      <c r="A156" s="77"/>
      <c r="B156" s="86">
        <f t="shared" si="0"/>
        <v>2033</v>
      </c>
      <c r="C156" s="136">
        <f>[12]С2.5!$R$11</f>
        <v>0</v>
      </c>
      <c r="D156" s="77"/>
    </row>
    <row r="157" spans="1:4" hidden="1">
      <c r="B157" s="86">
        <f t="shared" si="0"/>
        <v>2034</v>
      </c>
      <c r="C157" s="136">
        <f>[12]С2.5!$S$11</f>
        <v>0</v>
      </c>
    </row>
    <row r="158" spans="1:4" hidden="1">
      <c r="B158" s="86">
        <f t="shared" si="0"/>
        <v>2035</v>
      </c>
      <c r="C158" s="136">
        <f>[12]С2.5!$T$11</f>
        <v>0</v>
      </c>
    </row>
    <row r="159" spans="1:4" hidden="1">
      <c r="B159" s="86">
        <f t="shared" si="0"/>
        <v>2036</v>
      </c>
      <c r="C159" s="136">
        <f>[12]С2.5!$U$11</f>
        <v>0</v>
      </c>
    </row>
    <row r="160" spans="1:4" hidden="1">
      <c r="B160" s="86">
        <f t="shared" si="0"/>
        <v>2037</v>
      </c>
      <c r="C160" s="136">
        <f>[12]С2.5!$V$11</f>
        <v>0</v>
      </c>
    </row>
    <row r="161" spans="2:3" hidden="1">
      <c r="B161" s="86">
        <f t="shared" si="0"/>
        <v>2038</v>
      </c>
      <c r="C161" s="136">
        <f>[12]С2.5!$W$11</f>
        <v>0</v>
      </c>
    </row>
    <row r="162" spans="2:3" hidden="1">
      <c r="B162" s="86">
        <f t="shared" si="0"/>
        <v>2039</v>
      </c>
      <c r="C162" s="136">
        <f>[12]С2.5!$X$11</f>
        <v>0</v>
      </c>
    </row>
    <row r="163" spans="2:3" hidden="1">
      <c r="B163" s="86">
        <f t="shared" si="0"/>
        <v>2040</v>
      </c>
      <c r="C163" s="136">
        <f>[12]С2.5!$Y$11</f>
        <v>0</v>
      </c>
    </row>
    <row r="164" spans="2:3" hidden="1">
      <c r="B164" s="86">
        <f t="shared" si="0"/>
        <v>2041</v>
      </c>
      <c r="C164" s="136">
        <f>[12]С2.5!$Z$11</f>
        <v>0</v>
      </c>
    </row>
    <row r="165" spans="2:3" hidden="1">
      <c r="B165" s="86">
        <f t="shared" si="0"/>
        <v>2042</v>
      </c>
      <c r="C165" s="136">
        <f>[12]С2.5!$AA$11</f>
        <v>0</v>
      </c>
    </row>
    <row r="166" spans="2:3" hidden="1">
      <c r="B166" s="86">
        <f t="shared" si="0"/>
        <v>2043</v>
      </c>
      <c r="C166" s="136">
        <f>[12]С2.5!$AB$11</f>
        <v>0</v>
      </c>
    </row>
    <row r="167" spans="2:3" hidden="1">
      <c r="B167" s="86">
        <f t="shared" si="0"/>
        <v>2044</v>
      </c>
      <c r="C167" s="136">
        <f>[12]С2.5!$AC$11</f>
        <v>0</v>
      </c>
    </row>
    <row r="168" spans="2:3" hidden="1">
      <c r="B168" s="86">
        <f t="shared" si="0"/>
        <v>2045</v>
      </c>
      <c r="C168" s="136">
        <f>[12]С2.5!$AD$11</f>
        <v>0</v>
      </c>
    </row>
    <row r="169" spans="2:3" hidden="1">
      <c r="B169" s="86">
        <f t="shared" si="0"/>
        <v>2046</v>
      </c>
      <c r="C169" s="136">
        <f>[12]С2.5!$AE$11</f>
        <v>0</v>
      </c>
    </row>
    <row r="170" spans="2:3" hidden="1">
      <c r="B170" s="86">
        <f t="shared" si="0"/>
        <v>2047</v>
      </c>
      <c r="C170" s="136">
        <f>[12]С2.5!$AF$11</f>
        <v>0</v>
      </c>
    </row>
    <row r="171" spans="2:3" hidden="1">
      <c r="B171" s="86">
        <f t="shared" si="0"/>
        <v>2048</v>
      </c>
      <c r="C171" s="136">
        <f>[12]С2.5!$AG$11</f>
        <v>0</v>
      </c>
    </row>
    <row r="172" spans="2:3" hidden="1">
      <c r="B172" s="86">
        <f t="shared" si="0"/>
        <v>2049</v>
      </c>
      <c r="C172" s="136">
        <f>[12]С2.5!$AH$11</f>
        <v>0</v>
      </c>
    </row>
    <row r="173" spans="2:3" hidden="1">
      <c r="B173" s="86">
        <f t="shared" si="0"/>
        <v>2050</v>
      </c>
      <c r="C173" s="136">
        <f>[12]С2.5!$AI$11</f>
        <v>0</v>
      </c>
    </row>
    <row r="174" spans="2:3" hidden="1">
      <c r="B174" s="86">
        <f t="shared" si="0"/>
        <v>2051</v>
      </c>
      <c r="C174" s="136">
        <f>[12]С2.5!$AJ$11</f>
        <v>0</v>
      </c>
    </row>
    <row r="175" spans="2:3" hidden="1">
      <c r="B175" s="86">
        <f t="shared" si="0"/>
        <v>2052</v>
      </c>
      <c r="C175" s="136">
        <f>[12]С2.5!$AK$11</f>
        <v>0</v>
      </c>
    </row>
    <row r="176" spans="2:3" hidden="1">
      <c r="B176" s="86">
        <f t="shared" si="0"/>
        <v>2053</v>
      </c>
      <c r="C176" s="136">
        <f>[12]С2.5!$AL$11</f>
        <v>0</v>
      </c>
    </row>
    <row r="177" spans="2:3" hidden="1">
      <c r="B177" s="86">
        <f t="shared" si="0"/>
        <v>2054</v>
      </c>
      <c r="C177" s="136">
        <f>[12]С2.5!$AM$11</f>
        <v>0</v>
      </c>
    </row>
    <row r="178" spans="2:3" hidden="1">
      <c r="B178" s="86">
        <f t="shared" si="0"/>
        <v>2055</v>
      </c>
      <c r="C178" s="136">
        <f>[12]С2.5!$AN$11</f>
        <v>0</v>
      </c>
    </row>
    <row r="179" spans="2:3" hidden="1">
      <c r="B179" s="86">
        <f t="shared" si="0"/>
        <v>2056</v>
      </c>
      <c r="C179" s="136">
        <f>[12]С2.5!$AO$11</f>
        <v>0</v>
      </c>
    </row>
    <row r="180" spans="2:3" hidden="1">
      <c r="B180" s="86">
        <f t="shared" si="0"/>
        <v>2057</v>
      </c>
      <c r="C180" s="136">
        <f>[12]С2.5!$AP$11</f>
        <v>0</v>
      </c>
    </row>
    <row r="181" spans="2:3" hidden="1">
      <c r="B181" s="86">
        <f t="shared" si="0"/>
        <v>2058</v>
      </c>
      <c r="C181" s="136">
        <f>[12]С2.5!$AQ$11</f>
        <v>0</v>
      </c>
    </row>
    <row r="182" spans="2:3" hidden="1">
      <c r="B182" s="86">
        <f t="shared" si="0"/>
        <v>2059</v>
      </c>
      <c r="C182" s="136">
        <f>[12]С2.5!$AR$11</f>
        <v>0</v>
      </c>
    </row>
    <row r="183" spans="2:3" hidden="1">
      <c r="B183" s="86">
        <f t="shared" si="0"/>
        <v>2060</v>
      </c>
      <c r="C183" s="136">
        <f>[12]С2.5!$AS$11</f>
        <v>0</v>
      </c>
    </row>
    <row r="184" spans="2:3" hidden="1">
      <c r="B184" s="86">
        <f t="shared" si="0"/>
        <v>2061</v>
      </c>
      <c r="C184" s="136">
        <f>[12]С2.5!$AT$11</f>
        <v>0</v>
      </c>
    </row>
    <row r="185" spans="2:3" hidden="1">
      <c r="B185" s="86">
        <f t="shared" si="0"/>
        <v>2062</v>
      </c>
      <c r="C185" s="136">
        <f>[12]С2.5!$AU$11</f>
        <v>0</v>
      </c>
    </row>
    <row r="186" spans="2:3" hidden="1">
      <c r="B186" s="86">
        <f t="shared" si="0"/>
        <v>2063</v>
      </c>
      <c r="C186" s="136">
        <f>[12]С2.5!$AV$11</f>
        <v>0</v>
      </c>
    </row>
    <row r="187" spans="2:3" hidden="1">
      <c r="B187" s="86">
        <f t="shared" si="0"/>
        <v>2064</v>
      </c>
      <c r="C187" s="136">
        <f>[12]С2.5!$AW$11</f>
        <v>0</v>
      </c>
    </row>
    <row r="188" spans="2:3" hidden="1">
      <c r="B188" s="86">
        <f t="shared" si="0"/>
        <v>2065</v>
      </c>
      <c r="C188" s="136">
        <f>[12]С2.5!$AX$11</f>
        <v>0</v>
      </c>
    </row>
    <row r="189" spans="2:3" hidden="1">
      <c r="B189" s="86">
        <f t="shared" si="0"/>
        <v>2066</v>
      </c>
      <c r="C189" s="136">
        <f>[12]С2.5!$AY$11</f>
        <v>0</v>
      </c>
    </row>
    <row r="190" spans="2:3" hidden="1">
      <c r="B190" s="86">
        <f t="shared" si="0"/>
        <v>2067</v>
      </c>
      <c r="C190" s="136">
        <f>[12]С2.5!$AZ$11</f>
        <v>0</v>
      </c>
    </row>
    <row r="191" spans="2:3" hidden="1">
      <c r="B191" s="86">
        <f t="shared" si="0"/>
        <v>2068</v>
      </c>
      <c r="C191" s="136">
        <f>[12]С2.5!$BA$11</f>
        <v>0</v>
      </c>
    </row>
    <row r="192" spans="2:3" hidden="1">
      <c r="B192" s="86">
        <f t="shared" si="0"/>
        <v>2069</v>
      </c>
      <c r="C192" s="136">
        <f>[12]С2.5!$BB$11</f>
        <v>0</v>
      </c>
    </row>
    <row r="193" spans="2:3" hidden="1">
      <c r="B193" s="86">
        <f t="shared" si="0"/>
        <v>2070</v>
      </c>
      <c r="C193" s="136">
        <f>[12]С2.5!$BC$11</f>
        <v>0</v>
      </c>
    </row>
    <row r="194" spans="2:3" hidden="1">
      <c r="B194" s="86">
        <f t="shared" si="0"/>
        <v>2071</v>
      </c>
      <c r="C194" s="136">
        <f>[12]С2.5!$BD$11</f>
        <v>0</v>
      </c>
    </row>
    <row r="195" spans="2:3" hidden="1">
      <c r="B195" s="86">
        <f t="shared" si="0"/>
        <v>2072</v>
      </c>
      <c r="C195" s="136">
        <f>[12]С2.5!$BE$11</f>
        <v>0</v>
      </c>
    </row>
    <row r="196" spans="2:3" hidden="1">
      <c r="B196" s="86">
        <f t="shared" si="0"/>
        <v>2073</v>
      </c>
      <c r="C196" s="136">
        <f>[12]С2.5!$BF$11</f>
        <v>0</v>
      </c>
    </row>
    <row r="197" spans="2:3" hidden="1">
      <c r="B197" s="86">
        <f t="shared" si="0"/>
        <v>2074</v>
      </c>
      <c r="C197" s="136">
        <f>[12]С2.5!$BG$11</f>
        <v>0</v>
      </c>
    </row>
    <row r="198" spans="2:3" hidden="1">
      <c r="B198" s="86">
        <f t="shared" si="0"/>
        <v>2075</v>
      </c>
      <c r="C198" s="136">
        <f>[12]С2.5!$BH$11</f>
        <v>0</v>
      </c>
    </row>
    <row r="199" spans="2:3" hidden="1">
      <c r="B199" s="86">
        <f t="shared" si="0"/>
        <v>2076</v>
      </c>
      <c r="C199" s="136">
        <f>[12]С2.5!$BI$11</f>
        <v>0</v>
      </c>
    </row>
    <row r="200" spans="2:3" hidden="1">
      <c r="B200" s="86">
        <f t="shared" si="0"/>
        <v>2077</v>
      </c>
      <c r="C200" s="136">
        <f>[12]С2.5!$BJ$11</f>
        <v>0</v>
      </c>
    </row>
    <row r="201" spans="2:3" hidden="1">
      <c r="B201" s="86">
        <f t="shared" si="0"/>
        <v>2078</v>
      </c>
      <c r="C201" s="136">
        <f>[12]С2.5!$BK$11</f>
        <v>0</v>
      </c>
    </row>
    <row r="202" spans="2:3" hidden="1">
      <c r="B202" s="86">
        <f t="shared" si="0"/>
        <v>2079</v>
      </c>
      <c r="C202" s="136">
        <f>[12]С2.5!$BL$11</f>
        <v>0</v>
      </c>
    </row>
    <row r="203" spans="2:3" hidden="1">
      <c r="B203" s="86">
        <f t="shared" si="0"/>
        <v>2080</v>
      </c>
      <c r="C203" s="136">
        <f>[12]С2.5!$BM$11</f>
        <v>0</v>
      </c>
    </row>
    <row r="204" spans="2:3" hidden="1">
      <c r="B204" s="86">
        <f t="shared" si="0"/>
        <v>2081</v>
      </c>
      <c r="C204" s="136">
        <f>[12]С2.5!$BN$11</f>
        <v>0</v>
      </c>
    </row>
    <row r="205" spans="2:3" hidden="1">
      <c r="B205" s="86">
        <f t="shared" si="0"/>
        <v>2082</v>
      </c>
      <c r="C205" s="136">
        <f>[12]С2.5!$BO$11</f>
        <v>0</v>
      </c>
    </row>
    <row r="206" spans="2:3" hidden="1">
      <c r="B206" s="86">
        <f t="shared" si="0"/>
        <v>2083</v>
      </c>
      <c r="C206" s="136">
        <f>[12]С2.5!$BP$11</f>
        <v>0</v>
      </c>
    </row>
    <row r="207" spans="2:3" hidden="1">
      <c r="B207" s="86">
        <f t="shared" si="0"/>
        <v>2084</v>
      </c>
      <c r="C207" s="136">
        <f>[12]С2.5!$BQ$11</f>
        <v>0</v>
      </c>
    </row>
    <row r="208" spans="2:3" hidden="1">
      <c r="B208" s="86">
        <f t="shared" si="0"/>
        <v>2085</v>
      </c>
      <c r="C208" s="136">
        <f>[12]С2.5!$BR$11</f>
        <v>0</v>
      </c>
    </row>
    <row r="209" spans="2:3" hidden="1">
      <c r="B209" s="86">
        <f t="shared" ref="B209:B223" si="1">B208+1</f>
        <v>2086</v>
      </c>
      <c r="C209" s="136">
        <f>[12]С2.5!$BS$11</f>
        <v>0</v>
      </c>
    </row>
    <row r="210" spans="2:3" hidden="1">
      <c r="B210" s="86">
        <f t="shared" si="1"/>
        <v>2087</v>
      </c>
      <c r="C210" s="136">
        <f>[12]С2.5!$BT$11</f>
        <v>0</v>
      </c>
    </row>
    <row r="211" spans="2:3" hidden="1">
      <c r="B211" s="86">
        <f t="shared" si="1"/>
        <v>2088</v>
      </c>
      <c r="C211" s="136">
        <f>[12]С2.5!$BU$11</f>
        <v>0</v>
      </c>
    </row>
    <row r="212" spans="2:3" hidden="1">
      <c r="B212" s="86">
        <f t="shared" si="1"/>
        <v>2089</v>
      </c>
      <c r="C212" s="136">
        <f>[12]С2.5!$BV$11</f>
        <v>0</v>
      </c>
    </row>
    <row r="213" spans="2:3" hidden="1">
      <c r="B213" s="86">
        <f t="shared" si="1"/>
        <v>2090</v>
      </c>
      <c r="C213" s="136">
        <f>[12]С2.5!$BW$11</f>
        <v>0</v>
      </c>
    </row>
    <row r="214" spans="2:3" hidden="1">
      <c r="B214" s="86">
        <f t="shared" si="1"/>
        <v>2091</v>
      </c>
      <c r="C214" s="136">
        <f>[12]С2.5!$BX$11</f>
        <v>0</v>
      </c>
    </row>
    <row r="215" spans="2:3" hidden="1">
      <c r="B215" s="86">
        <f t="shared" si="1"/>
        <v>2092</v>
      </c>
      <c r="C215" s="136">
        <f>[12]С2.5!$BY$11</f>
        <v>0</v>
      </c>
    </row>
    <row r="216" spans="2:3" hidden="1">
      <c r="B216" s="86">
        <f t="shared" si="1"/>
        <v>2093</v>
      </c>
      <c r="C216" s="136">
        <f>[12]С2.5!$BZ$11</f>
        <v>0</v>
      </c>
    </row>
    <row r="217" spans="2:3" hidden="1">
      <c r="B217" s="86">
        <f t="shared" si="1"/>
        <v>2094</v>
      </c>
      <c r="C217" s="136">
        <f>[12]С2.5!$CA$11</f>
        <v>0</v>
      </c>
    </row>
    <row r="218" spans="2:3" hidden="1">
      <c r="B218" s="86">
        <f t="shared" si="1"/>
        <v>2095</v>
      </c>
      <c r="C218" s="136">
        <f>[12]С2.5!$CB$11</f>
        <v>0</v>
      </c>
    </row>
    <row r="219" spans="2:3" hidden="1">
      <c r="B219" s="86">
        <f t="shared" si="1"/>
        <v>2096</v>
      </c>
      <c r="C219" s="136">
        <f>[12]С2.5!$CC$11</f>
        <v>0</v>
      </c>
    </row>
    <row r="220" spans="2:3" hidden="1">
      <c r="B220" s="86">
        <f t="shared" si="1"/>
        <v>2097</v>
      </c>
      <c r="C220" s="136">
        <f>[12]С2.5!$CD$11</f>
        <v>0</v>
      </c>
    </row>
    <row r="221" spans="2:3" hidden="1">
      <c r="B221" s="86">
        <f t="shared" si="1"/>
        <v>2098</v>
      </c>
      <c r="C221" s="136">
        <f>[12]С2.5!$CE$11</f>
        <v>0</v>
      </c>
    </row>
    <row r="222" spans="2:3" hidden="1">
      <c r="B222" s="86">
        <f t="shared" si="1"/>
        <v>2099</v>
      </c>
      <c r="C222" s="136">
        <f>[12]С2.5!$CF$11</f>
        <v>0</v>
      </c>
    </row>
    <row r="223" spans="2:3" ht="13.5" hidden="1" thickBot="1">
      <c r="B223" s="87">
        <f t="shared" si="1"/>
        <v>2100</v>
      </c>
      <c r="C223" s="137">
        <f>[12]С2.5!$CG$11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8913"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2" sqref="E22"/>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[13]И1!D13</f>
        <v>Субъект Российской Федерации</v>
      </c>
      <c r="C4" s="8" t="str">
        <f>[13]И1!E13</f>
        <v>Новосибирская область</v>
      </c>
    </row>
    <row r="5" spans="1:3" ht="38.25">
      <c r="A5" s="6"/>
      <c r="B5" s="7" t="str">
        <f>[13]И1!D14</f>
        <v>Тип муниципального образования (выберите из списка)</v>
      </c>
      <c r="C5" s="8" t="str">
        <f>[13]И1!E14</f>
        <v>село Покровка, Чановский муниципальный район</v>
      </c>
    </row>
    <row r="6" spans="1:3">
      <c r="A6" s="6"/>
      <c r="B6" s="7" t="str">
        <f>IF([13]И1!E15="","",[13]И1!D15)</f>
        <v/>
      </c>
      <c r="C6" s="8" t="str">
        <f>IF([13]И1!E15="","",[13]И1!E15)</f>
        <v/>
      </c>
    </row>
    <row r="7" spans="1:3">
      <c r="A7" s="6"/>
      <c r="B7" s="7" t="str">
        <f>[13]И1!D16</f>
        <v>Код ОКТМО</v>
      </c>
      <c r="C7" s="9" t="str">
        <f>[13]И1!E16</f>
        <v>50656422101</v>
      </c>
    </row>
    <row r="8" spans="1:3">
      <c r="A8" s="6"/>
      <c r="B8" s="10" t="str">
        <f>[13]И1!D17</f>
        <v>Система теплоснабжения</v>
      </c>
      <c r="C8" s="11">
        <f>[13]И1!E17</f>
        <v>0</v>
      </c>
    </row>
    <row r="9" spans="1:3">
      <c r="A9" s="6"/>
      <c r="B9" s="7" t="str">
        <f>[13]И1!D8</f>
        <v>Период регулирования (i)-й</v>
      </c>
      <c r="C9" s="12">
        <f>[13]И1!E8</f>
        <v>2023</v>
      </c>
    </row>
    <row r="10" spans="1:3">
      <c r="A10" s="6"/>
      <c r="B10" s="7" t="str">
        <f>[13]И1!D9</f>
        <v>Период регулирования (i-1)-й</v>
      </c>
      <c r="C10" s="12">
        <f>[13]И1!E9</f>
        <v>2022</v>
      </c>
    </row>
    <row r="11" spans="1:3">
      <c r="A11" s="6"/>
      <c r="B11" s="7" t="str">
        <f>[13]И1!D10</f>
        <v>Период регулирования (i-2)-й</v>
      </c>
      <c r="C11" s="12">
        <f>[13]И1!E10</f>
        <v>2021</v>
      </c>
    </row>
    <row r="12" spans="1:3">
      <c r="A12" s="6"/>
      <c r="B12" s="7" t="str">
        <f>[13]И1!D11</f>
        <v>Базовый год (б)</v>
      </c>
      <c r="C12" s="12">
        <f>[13]И1!E11</f>
        <v>2019</v>
      </c>
    </row>
    <row r="13" spans="1:3" ht="38.25">
      <c r="A13" s="6"/>
      <c r="B13" s="7" t="str">
        <f>[13]И1!D18</f>
        <v>Вид топлива, использование которого преобладает в системе теплоснабжения</v>
      </c>
      <c r="C13" s="13" t="str">
        <f>[13]С1.1!E13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4108.8360594366713</v>
      </c>
    </row>
    <row r="18" spans="1:3" ht="42.75">
      <c r="A18" s="16" t="s">
        <v>7</v>
      </c>
      <c r="B18" s="19" t="s">
        <v>8</v>
      </c>
      <c r="C18" s="20">
        <f>[13]С1!F12</f>
        <v>1006.0126910079939</v>
      </c>
    </row>
    <row r="19" spans="1:3" ht="42.75">
      <c r="A19" s="16" t="s">
        <v>9</v>
      </c>
      <c r="B19" s="19" t="s">
        <v>10</v>
      </c>
      <c r="C19" s="20">
        <f>[13]С2!F12</f>
        <v>2104.1852054273977</v>
      </c>
    </row>
    <row r="20" spans="1:3" ht="30">
      <c r="A20" s="16" t="s">
        <v>11</v>
      </c>
      <c r="B20" s="19" t="s">
        <v>12</v>
      </c>
      <c r="C20" s="20">
        <f>[13]С3!F12</f>
        <v>503.33593794803642</v>
      </c>
    </row>
    <row r="21" spans="1:3" ht="42.75">
      <c r="A21" s="16" t="s">
        <v>13</v>
      </c>
      <c r="B21" s="19" t="s">
        <v>226</v>
      </c>
      <c r="C21" s="20">
        <f>[13]С4!F12</f>
        <v>414.73681212311266</v>
      </c>
    </row>
    <row r="22" spans="1:3" ht="30">
      <c r="A22" s="16" t="s">
        <v>14</v>
      </c>
      <c r="B22" s="19" t="s">
        <v>227</v>
      </c>
      <c r="C22" s="20">
        <f>[13]С5!F12</f>
        <v>80.565412930130819</v>
      </c>
    </row>
    <row r="23" spans="1:3" ht="43.5" thickBot="1">
      <c r="A23" s="21" t="s">
        <v>15</v>
      </c>
      <c r="B23" s="111" t="s">
        <v>228</v>
      </c>
      <c r="C23" s="22" t="str">
        <f>[13]С6!F12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[13]С1.1!E16</f>
        <v>5100</v>
      </c>
    </row>
    <row r="29" spans="1:3" ht="42.75">
      <c r="A29" s="16" t="s">
        <v>9</v>
      </c>
      <c r="B29" s="27" t="s">
        <v>230</v>
      </c>
      <c r="C29" s="28">
        <f>[13]С1.1!E27</f>
        <v>2705</v>
      </c>
    </row>
    <row r="30" spans="1:3" ht="17.25">
      <c r="A30" s="16" t="s">
        <v>11</v>
      </c>
      <c r="B30" s="27" t="s">
        <v>17</v>
      </c>
      <c r="C30" s="29">
        <f>[13]С1.1!E19</f>
        <v>0.59499999999999997</v>
      </c>
    </row>
    <row r="31" spans="1:3" ht="17.25">
      <c r="A31" s="16" t="s">
        <v>13</v>
      </c>
      <c r="B31" s="27" t="s">
        <v>18</v>
      </c>
      <c r="C31" s="29">
        <f>[13]С1.1!E20</f>
        <v>-0.113</v>
      </c>
    </row>
    <row r="32" spans="1:3" ht="30">
      <c r="A32" s="16" t="s">
        <v>14</v>
      </c>
      <c r="B32" s="30" t="s">
        <v>231</v>
      </c>
      <c r="C32" s="118">
        <f>[13]С1!F13</f>
        <v>176.4</v>
      </c>
    </row>
    <row r="33" spans="1:3">
      <c r="A33" s="16" t="s">
        <v>15</v>
      </c>
      <c r="B33" s="30" t="s">
        <v>19</v>
      </c>
      <c r="C33" s="31">
        <f>[13]С1!F16</f>
        <v>7000</v>
      </c>
    </row>
    <row r="34" spans="1:3" ht="14.25">
      <c r="A34" s="16" t="s">
        <v>20</v>
      </c>
      <c r="B34" s="32" t="s">
        <v>232</v>
      </c>
      <c r="C34" s="33">
        <f>[13]С1!F17</f>
        <v>0.72857142857142854</v>
      </c>
    </row>
    <row r="35" spans="1:3" ht="15.75">
      <c r="A35" s="119" t="s">
        <v>21</v>
      </c>
      <c r="B35" s="34" t="s">
        <v>22</v>
      </c>
      <c r="C35" s="33">
        <f>[13]С1!F20</f>
        <v>21.588411179999994</v>
      </c>
    </row>
    <row r="36" spans="1:3" ht="15.75">
      <c r="A36" s="119" t="s">
        <v>23</v>
      </c>
      <c r="B36" s="35" t="s">
        <v>24</v>
      </c>
      <c r="C36" s="33">
        <f>[13]С1!F21</f>
        <v>20.818139999999996</v>
      </c>
    </row>
    <row r="37" spans="1:3" ht="14.25">
      <c r="A37" s="119" t="s">
        <v>25</v>
      </c>
      <c r="B37" s="36" t="s">
        <v>26</v>
      </c>
      <c r="C37" s="33">
        <f>[13]С1!F22</f>
        <v>1.0369999999999999</v>
      </c>
    </row>
    <row r="38" spans="1:3" ht="53.25" thickBot="1">
      <c r="A38" s="21" t="s">
        <v>27</v>
      </c>
      <c r="B38" s="37" t="s">
        <v>28</v>
      </c>
      <c r="C38" s="38">
        <f>[13]С1!F23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[13]С2.1!E12</f>
        <v>V</v>
      </c>
    </row>
    <row r="42" spans="1:3" ht="25.5">
      <c r="A42" s="16" t="s">
        <v>33</v>
      </c>
      <c r="B42" s="27" t="s">
        <v>34</v>
      </c>
      <c r="C42" s="41" t="str">
        <f>[13]С2.1!E13</f>
        <v>6 и менее баллов</v>
      </c>
    </row>
    <row r="43" spans="1:3" ht="25.5">
      <c r="A43" s="16" t="s">
        <v>35</v>
      </c>
      <c r="B43" s="27" t="s">
        <v>233</v>
      </c>
      <c r="C43" s="41" t="str">
        <f>[13]С2.1!E14</f>
        <v>от 200 до 500</v>
      </c>
    </row>
    <row r="44" spans="1:3" ht="25.5">
      <c r="A44" s="16" t="s">
        <v>36</v>
      </c>
      <c r="B44" s="27" t="s">
        <v>234</v>
      </c>
      <c r="C44" s="42" t="str">
        <f>[13]С2.1!E15</f>
        <v>нет</v>
      </c>
    </row>
    <row r="45" spans="1:3" ht="30">
      <c r="A45" s="16" t="s">
        <v>37</v>
      </c>
      <c r="B45" s="27" t="s">
        <v>38</v>
      </c>
      <c r="C45" s="28">
        <f>[13]С2!F18</f>
        <v>32402.627334033532</v>
      </c>
    </row>
    <row r="46" spans="1:3" ht="30">
      <c r="A46" s="16" t="s">
        <v>39</v>
      </c>
      <c r="B46" s="43" t="s">
        <v>40</v>
      </c>
      <c r="C46" s="28">
        <f>IF([13]С2!F19&gt;0,[13]С2!F19,[13]С2!F20)</f>
        <v>23441.524932855718</v>
      </c>
    </row>
    <row r="47" spans="1:3" ht="25.5">
      <c r="A47" s="16" t="s">
        <v>41</v>
      </c>
      <c r="B47" s="44" t="s">
        <v>42</v>
      </c>
      <c r="C47" s="28">
        <f>[13]С2.1!E19</f>
        <v>-38</v>
      </c>
    </row>
    <row r="48" spans="1:3" ht="25.5">
      <c r="A48" s="16" t="s">
        <v>43</v>
      </c>
      <c r="B48" s="44" t="s">
        <v>44</v>
      </c>
      <c r="C48" s="28" t="str">
        <f>[13]С2.1!E22</f>
        <v>нет</v>
      </c>
    </row>
    <row r="49" spans="1:3" ht="38.25">
      <c r="A49" s="16" t="s">
        <v>45</v>
      </c>
      <c r="B49" s="45" t="s">
        <v>46</v>
      </c>
      <c r="C49" s="28">
        <f>[13]С2.2!E10</f>
        <v>1287</v>
      </c>
    </row>
    <row r="50" spans="1:3" ht="25.5">
      <c r="A50" s="16" t="s">
        <v>47</v>
      </c>
      <c r="B50" s="46" t="s">
        <v>48</v>
      </c>
      <c r="C50" s="28">
        <f>[13]С2.2!E12</f>
        <v>5.97</v>
      </c>
    </row>
    <row r="51" spans="1:3" ht="52.5">
      <c r="A51" s="16" t="s">
        <v>49</v>
      </c>
      <c r="B51" s="47" t="s">
        <v>50</v>
      </c>
      <c r="C51" s="28">
        <f>[13]С2.2!E13</f>
        <v>1</v>
      </c>
    </row>
    <row r="52" spans="1:3" ht="27.75">
      <c r="A52" s="16" t="s">
        <v>51</v>
      </c>
      <c r="B52" s="46" t="s">
        <v>52</v>
      </c>
      <c r="C52" s="28">
        <f>[13]С2.2!E14</f>
        <v>12104</v>
      </c>
    </row>
    <row r="53" spans="1:3" ht="25.5">
      <c r="A53" s="16" t="s">
        <v>53</v>
      </c>
      <c r="B53" s="47" t="s">
        <v>54</v>
      </c>
      <c r="C53" s="29">
        <f>[13]С2.2!E15</f>
        <v>4.8000000000000001E-2</v>
      </c>
    </row>
    <row r="54" spans="1:3">
      <c r="A54" s="16" t="s">
        <v>55</v>
      </c>
      <c r="B54" s="47" t="s">
        <v>56</v>
      </c>
      <c r="C54" s="28">
        <f>[13]С2.2!E16</f>
        <v>1</v>
      </c>
    </row>
    <row r="55" spans="1:3" ht="15.75">
      <c r="A55" s="16" t="s">
        <v>57</v>
      </c>
      <c r="B55" s="48" t="s">
        <v>58</v>
      </c>
      <c r="C55" s="28">
        <f>[13]С2!F21</f>
        <v>1</v>
      </c>
    </row>
    <row r="56" spans="1:3" ht="30">
      <c r="A56" s="49" t="s">
        <v>59</v>
      </c>
      <c r="B56" s="27" t="s">
        <v>235</v>
      </c>
      <c r="C56" s="28">
        <f>[13]С2!F13</f>
        <v>169640.22915965237</v>
      </c>
    </row>
    <row r="57" spans="1:3" ht="30">
      <c r="A57" s="49" t="s">
        <v>60</v>
      </c>
      <c r="B57" s="48" t="s">
        <v>236</v>
      </c>
      <c r="C57" s="28">
        <f>[13]С2!F14</f>
        <v>113455</v>
      </c>
    </row>
    <row r="58" spans="1:3" ht="15.75">
      <c r="A58" s="49" t="s">
        <v>61</v>
      </c>
      <c r="B58" s="50" t="s">
        <v>62</v>
      </c>
      <c r="C58" s="33">
        <f>[13]С2!F15</f>
        <v>1.071</v>
      </c>
    </row>
    <row r="59" spans="1:3" ht="15.75">
      <c r="A59" s="49" t="s">
        <v>63</v>
      </c>
      <c r="B59" s="50" t="s">
        <v>64</v>
      </c>
      <c r="C59" s="33">
        <f>[13]С2!F16</f>
        <v>1</v>
      </c>
    </row>
    <row r="60" spans="1:3" ht="17.25">
      <c r="A60" s="49" t="s">
        <v>65</v>
      </c>
      <c r="B60" s="48" t="s">
        <v>66</v>
      </c>
      <c r="C60" s="28">
        <f>[13]С2!F17</f>
        <v>1.01</v>
      </c>
    </row>
    <row r="61" spans="1:3" s="53" customFormat="1" ht="14.25">
      <c r="A61" s="49" t="s">
        <v>67</v>
      </c>
      <c r="B61" s="51" t="s">
        <v>68</v>
      </c>
      <c r="C61" s="52">
        <f>[13]С2!F33</f>
        <v>10</v>
      </c>
    </row>
    <row r="62" spans="1:3" ht="30">
      <c r="A62" s="49" t="s">
        <v>69</v>
      </c>
      <c r="B62" s="54" t="s">
        <v>70</v>
      </c>
      <c r="C62" s="28">
        <f>[13]С2!F26</f>
        <v>911.22846603392293</v>
      </c>
    </row>
    <row r="63" spans="1:3" ht="17.25">
      <c r="A63" s="49" t="s">
        <v>71</v>
      </c>
      <c r="B63" s="43" t="s">
        <v>237</v>
      </c>
      <c r="C63" s="28">
        <f>[13]С2!F27</f>
        <v>0.15695805999999998</v>
      </c>
    </row>
    <row r="64" spans="1:3" ht="17.25">
      <c r="A64" s="49" t="s">
        <v>72</v>
      </c>
      <c r="B64" s="48" t="s">
        <v>238</v>
      </c>
      <c r="C64" s="52">
        <f>[13]С2!F28</f>
        <v>4200</v>
      </c>
    </row>
    <row r="65" spans="1:3" ht="42.75">
      <c r="A65" s="49" t="s">
        <v>73</v>
      </c>
      <c r="B65" s="27" t="s">
        <v>239</v>
      </c>
      <c r="C65" s="28">
        <f>[13]С2!F22</f>
        <v>35717.748653137714</v>
      </c>
    </row>
    <row r="66" spans="1:3" ht="30">
      <c r="A66" s="49" t="s">
        <v>74</v>
      </c>
      <c r="B66" s="50" t="s">
        <v>240</v>
      </c>
      <c r="C66" s="28">
        <f>[13]С2!F23</f>
        <v>1990</v>
      </c>
    </row>
    <row r="67" spans="1:3" ht="30">
      <c r="A67" s="49" t="s">
        <v>75</v>
      </c>
      <c r="B67" s="43" t="s">
        <v>76</v>
      </c>
      <c r="C67" s="28">
        <f>[13]С2.1!E27</f>
        <v>14307.876789999998</v>
      </c>
    </row>
    <row r="68" spans="1:3" ht="38.25">
      <c r="A68" s="49" t="s">
        <v>77</v>
      </c>
      <c r="B68" s="55" t="s">
        <v>78</v>
      </c>
      <c r="C68" s="42">
        <f>[13]С2.3!E21</f>
        <v>0</v>
      </c>
    </row>
    <row r="69" spans="1:3" ht="25.5">
      <c r="A69" s="49" t="s">
        <v>79</v>
      </c>
      <c r="B69" s="56" t="s">
        <v>80</v>
      </c>
      <c r="C69" s="57">
        <f>[13]С2.3!E11</f>
        <v>9.89</v>
      </c>
    </row>
    <row r="70" spans="1:3" ht="25.5">
      <c r="A70" s="49" t="s">
        <v>81</v>
      </c>
      <c r="B70" s="56" t="s">
        <v>82</v>
      </c>
      <c r="C70" s="52">
        <f>[13]С2.3!E13</f>
        <v>300</v>
      </c>
    </row>
    <row r="71" spans="1:3" ht="25.5">
      <c r="A71" s="49" t="s">
        <v>83</v>
      </c>
      <c r="B71" s="55" t="s">
        <v>84</v>
      </c>
      <c r="C71" s="58">
        <f>IF([13]С2.3!E22&gt;0,[13]С2.3!E22,[13]С2.3!E14)</f>
        <v>61211</v>
      </c>
    </row>
    <row r="72" spans="1:3" ht="38.25">
      <c r="A72" s="49" t="s">
        <v>85</v>
      </c>
      <c r="B72" s="55" t="s">
        <v>86</v>
      </c>
      <c r="C72" s="58">
        <f>IF([13]С2.3!E23&gt;0,[13]С2.3!E23,[13]С2.3!E15)</f>
        <v>45675</v>
      </c>
    </row>
    <row r="73" spans="1:3" ht="30">
      <c r="A73" s="49" t="s">
        <v>87</v>
      </c>
      <c r="B73" s="43" t="s">
        <v>88</v>
      </c>
      <c r="C73" s="28">
        <f>[13]С2.1!E28</f>
        <v>9541.9567200000001</v>
      </c>
    </row>
    <row r="74" spans="1:3" ht="38.25">
      <c r="A74" s="49" t="s">
        <v>89</v>
      </c>
      <c r="B74" s="55" t="s">
        <v>90</v>
      </c>
      <c r="C74" s="42">
        <f>[13]С2.3!E25</f>
        <v>0</v>
      </c>
    </row>
    <row r="75" spans="1:3" ht="25.5">
      <c r="A75" s="49" t="s">
        <v>91</v>
      </c>
      <c r="B75" s="56" t="s">
        <v>92</v>
      </c>
      <c r="C75" s="57">
        <f>[13]С2.3!E12</f>
        <v>0.56000000000000005</v>
      </c>
    </row>
    <row r="76" spans="1:3" ht="25.5">
      <c r="A76" s="49" t="s">
        <v>93</v>
      </c>
      <c r="B76" s="56" t="s">
        <v>82</v>
      </c>
      <c r="C76" s="52">
        <f>[13]С2.3!E13</f>
        <v>300</v>
      </c>
    </row>
    <row r="77" spans="1:3" ht="25.5">
      <c r="A77" s="49" t="s">
        <v>94</v>
      </c>
      <c r="B77" s="59" t="s">
        <v>95</v>
      </c>
      <c r="C77" s="58">
        <f>IF([13]С2.3!E26&gt;0,[13]С2.3!E26,[13]С2.3!E16)</f>
        <v>65637</v>
      </c>
    </row>
    <row r="78" spans="1:3" ht="38.25">
      <c r="A78" s="49" t="s">
        <v>96</v>
      </c>
      <c r="B78" s="59" t="s">
        <v>97</v>
      </c>
      <c r="C78" s="58">
        <f>IF([13]С2.3!E27&gt;0,[13]С2.3!E27,[13]С2.3!E17)</f>
        <v>31684</v>
      </c>
    </row>
    <row r="79" spans="1:3" ht="17.25">
      <c r="A79" s="49" t="s">
        <v>98</v>
      </c>
      <c r="B79" s="27" t="s">
        <v>99</v>
      </c>
      <c r="C79" s="29">
        <f>[13]С2!F29</f>
        <v>0.128978033685065</v>
      </c>
    </row>
    <row r="80" spans="1:3" ht="30">
      <c r="A80" s="49" t="s">
        <v>100</v>
      </c>
      <c r="B80" s="43" t="s">
        <v>101</v>
      </c>
      <c r="C80" s="60">
        <f>[13]С2!F30</f>
        <v>0.11668498168498169</v>
      </c>
    </row>
    <row r="81" spans="1:3" ht="17.25">
      <c r="A81" s="49" t="s">
        <v>102</v>
      </c>
      <c r="B81" s="61" t="s">
        <v>103</v>
      </c>
      <c r="C81" s="29">
        <f>[13]С2!F31</f>
        <v>0.13880000000000001</v>
      </c>
    </row>
    <row r="82" spans="1:3" s="53" customFormat="1" ht="18" thickBot="1">
      <c r="A82" s="62" t="s">
        <v>104</v>
      </c>
      <c r="B82" s="63" t="s">
        <v>105</v>
      </c>
      <c r="C82" s="64">
        <f>[13]С2!F32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[13]С3!F14</f>
        <v>6988.6287956820188</v>
      </c>
    </row>
    <row r="86" spans="1:3" s="53" customFormat="1" ht="42.75">
      <c r="A86" s="67" t="s">
        <v>110</v>
      </c>
      <c r="B86" s="43" t="s">
        <v>111</v>
      </c>
      <c r="C86" s="68">
        <f>[13]С3!F15</f>
        <v>0.2</v>
      </c>
    </row>
    <row r="87" spans="1:3" s="53" customFormat="1" ht="14.25">
      <c r="A87" s="67" t="s">
        <v>112</v>
      </c>
      <c r="B87" s="69" t="s">
        <v>113</v>
      </c>
      <c r="C87" s="52">
        <f>[13]С3!F18</f>
        <v>15</v>
      </c>
    </row>
    <row r="88" spans="1:3" s="53" customFormat="1" ht="17.25">
      <c r="A88" s="67" t="s">
        <v>114</v>
      </c>
      <c r="B88" s="27" t="s">
        <v>115</v>
      </c>
      <c r="C88" s="28">
        <f>[13]С3!F19</f>
        <v>3487.1555421534131</v>
      </c>
    </row>
    <row r="89" spans="1:3" s="53" customFormat="1" ht="55.5">
      <c r="A89" s="67" t="s">
        <v>116</v>
      </c>
      <c r="B89" s="43" t="s">
        <v>117</v>
      </c>
      <c r="C89" s="70">
        <f>[13]С3!F20</f>
        <v>2.1999999999999999E-2</v>
      </c>
    </row>
    <row r="90" spans="1:3" s="53" customFormat="1" ht="14.25">
      <c r="A90" s="67" t="s">
        <v>118</v>
      </c>
      <c r="B90" s="48" t="s">
        <v>68</v>
      </c>
      <c r="C90" s="52">
        <f>[13]С3!F21</f>
        <v>10</v>
      </c>
    </row>
    <row r="91" spans="1:3" s="53" customFormat="1" ht="17.25">
      <c r="A91" s="67" t="s">
        <v>119</v>
      </c>
      <c r="B91" s="27" t="s">
        <v>120</v>
      </c>
      <c r="C91" s="28">
        <f>[13]С3!F22</f>
        <v>2.7336853981017688</v>
      </c>
    </row>
    <row r="92" spans="1:3" s="53" customFormat="1" ht="55.5">
      <c r="A92" s="67" t="s">
        <v>121</v>
      </c>
      <c r="B92" s="43" t="s">
        <v>122</v>
      </c>
      <c r="C92" s="70">
        <f>[13]С3!F23</f>
        <v>3.0000000000000001E-3</v>
      </c>
    </row>
    <row r="93" spans="1:3" s="53" customFormat="1" ht="27.75" thickBot="1">
      <c r="A93" s="71" t="s">
        <v>123</v>
      </c>
      <c r="B93" s="72" t="s">
        <v>241</v>
      </c>
      <c r="C93" s="73">
        <f>[13]С3!F24</f>
        <v>911.22846603392293</v>
      </c>
    </row>
    <row r="94" spans="1:3" ht="13.5" thickBot="1">
      <c r="A94" s="39"/>
      <c r="B94" s="65"/>
      <c r="C94" s="13"/>
    </row>
    <row r="95" spans="1:3" ht="30" customHeight="1">
      <c r="A95" s="74" t="s">
        <v>124</v>
      </c>
      <c r="B95" s="141" t="s">
        <v>125</v>
      </c>
      <c r="C95" s="141"/>
    </row>
    <row r="96" spans="1:3" ht="30">
      <c r="A96" s="49" t="s">
        <v>126</v>
      </c>
      <c r="B96" s="27" t="s">
        <v>242</v>
      </c>
      <c r="C96" s="28">
        <f>[13]С4!F16</f>
        <v>1652.5</v>
      </c>
    </row>
    <row r="97" spans="1:3" ht="30">
      <c r="A97" s="49" t="s">
        <v>127</v>
      </c>
      <c r="B97" s="48" t="s">
        <v>243</v>
      </c>
      <c r="C97" s="28">
        <f>[13]С4!F17</f>
        <v>73547</v>
      </c>
    </row>
    <row r="98" spans="1:3" ht="17.25">
      <c r="A98" s="49" t="s">
        <v>128</v>
      </c>
      <c r="B98" s="48" t="s">
        <v>129</v>
      </c>
      <c r="C98" s="33">
        <f>[13]С4!F18</f>
        <v>0.02</v>
      </c>
    </row>
    <row r="99" spans="1:3" ht="30">
      <c r="A99" s="49" t="s">
        <v>130</v>
      </c>
      <c r="B99" s="48" t="s">
        <v>131</v>
      </c>
      <c r="C99" s="28">
        <f>[13]С4!F19</f>
        <v>12104</v>
      </c>
    </row>
    <row r="100" spans="1:3" ht="31.5">
      <c r="A100" s="49" t="s">
        <v>132</v>
      </c>
      <c r="B100" s="48" t="s">
        <v>133</v>
      </c>
      <c r="C100" s="33">
        <f>[13]С4!F20</f>
        <v>1.4999999999999999E-2</v>
      </c>
    </row>
    <row r="101" spans="1:3" ht="30">
      <c r="A101" s="49" t="s">
        <v>134</v>
      </c>
      <c r="B101" s="27" t="s">
        <v>244</v>
      </c>
      <c r="C101" s="28">
        <f>[13]С4!F21</f>
        <v>1933.1949342509995</v>
      </c>
    </row>
    <row r="102" spans="1:3" ht="24" customHeight="1">
      <c r="A102" s="49" t="s">
        <v>135</v>
      </c>
      <c r="B102" s="43" t="s">
        <v>136</v>
      </c>
      <c r="C102" s="75">
        <f>IF([13]С4.2!F8="да",[13]С4.2!D21,[13]С4.2!D15)</f>
        <v>0</v>
      </c>
    </row>
    <row r="103" spans="1:3" ht="68.25">
      <c r="A103" s="49" t="s">
        <v>137</v>
      </c>
      <c r="B103" s="43" t="s">
        <v>138</v>
      </c>
      <c r="C103" s="28">
        <f>[13]С4!F22</f>
        <v>3.6112641666666665</v>
      </c>
    </row>
    <row r="104" spans="1:3" ht="30">
      <c r="A104" s="49" t="s">
        <v>139</v>
      </c>
      <c r="B104" s="48" t="s">
        <v>245</v>
      </c>
      <c r="C104" s="28">
        <f>[13]С4!F23</f>
        <v>180</v>
      </c>
    </row>
    <row r="105" spans="1:3" ht="14.25">
      <c r="A105" s="49" t="s">
        <v>140</v>
      </c>
      <c r="B105" s="43" t="s">
        <v>141</v>
      </c>
      <c r="C105" s="28">
        <f>[13]С4!F24</f>
        <v>8497.1999999999989</v>
      </c>
    </row>
    <row r="106" spans="1:3" ht="14.25">
      <c r="A106" s="49" t="s">
        <v>142</v>
      </c>
      <c r="B106" s="48" t="s">
        <v>143</v>
      </c>
      <c r="C106" s="33">
        <f>[13]С4!F25</f>
        <v>0.35</v>
      </c>
    </row>
    <row r="107" spans="1:3" ht="17.25">
      <c r="A107" s="49" t="s">
        <v>144</v>
      </c>
      <c r="B107" s="27" t="s">
        <v>145</v>
      </c>
      <c r="C107" s="28">
        <f>[13]С4!F26</f>
        <v>73.809930000000008</v>
      </c>
    </row>
    <row r="108" spans="1:3" ht="25.5">
      <c r="A108" s="49" t="s">
        <v>146</v>
      </c>
      <c r="B108" s="43" t="s">
        <v>78</v>
      </c>
      <c r="C108" s="75">
        <f>[13]С4.3!E16</f>
        <v>0</v>
      </c>
    </row>
    <row r="109" spans="1:3" ht="25.5">
      <c r="A109" s="49" t="s">
        <v>147</v>
      </c>
      <c r="B109" s="43" t="s">
        <v>148</v>
      </c>
      <c r="C109" s="28">
        <f>[13]С4.3!E17</f>
        <v>19.11</v>
      </c>
    </row>
    <row r="110" spans="1:3" ht="38.25">
      <c r="A110" s="49" t="s">
        <v>149</v>
      </c>
      <c r="B110" s="43" t="s">
        <v>90</v>
      </c>
      <c r="C110" s="75">
        <f>[13]С4.3!E18</f>
        <v>0</v>
      </c>
    </row>
    <row r="111" spans="1:3">
      <c r="A111" s="49" t="s">
        <v>150</v>
      </c>
      <c r="B111" s="43" t="s">
        <v>151</v>
      </c>
      <c r="C111" s="28">
        <f>[13]С4.3!E19</f>
        <v>33.29</v>
      </c>
    </row>
    <row r="112" spans="1:3">
      <c r="A112" s="49" t="s">
        <v>152</v>
      </c>
      <c r="B112" s="48" t="s">
        <v>153</v>
      </c>
      <c r="C112" s="28">
        <f>[13]С4.3!E11</f>
        <v>1871</v>
      </c>
    </row>
    <row r="113" spans="1:3">
      <c r="A113" s="49" t="s">
        <v>154</v>
      </c>
      <c r="B113" s="48" t="s">
        <v>155</v>
      </c>
      <c r="C113" s="42">
        <f>[13]С4.3!E12</f>
        <v>1636</v>
      </c>
    </row>
    <row r="114" spans="1:3">
      <c r="A114" s="49" t="s">
        <v>156</v>
      </c>
      <c r="B114" s="48" t="s">
        <v>157</v>
      </c>
      <c r="C114" s="42">
        <f>[13]С4.3!E13</f>
        <v>204</v>
      </c>
    </row>
    <row r="115" spans="1:3" ht="30">
      <c r="A115" s="49" t="s">
        <v>158</v>
      </c>
      <c r="B115" s="27" t="s">
        <v>246</v>
      </c>
      <c r="C115" s="28">
        <f>[13]С4!F27</f>
        <v>998.55949805489831</v>
      </c>
    </row>
    <row r="116" spans="1:3" ht="25.5">
      <c r="A116" s="49" t="s">
        <v>159</v>
      </c>
      <c r="B116" s="43" t="s">
        <v>247</v>
      </c>
      <c r="C116" s="28">
        <f>[13]С4!F28</f>
        <v>766.94277884400788</v>
      </c>
    </row>
    <row r="117" spans="1:3" ht="42.75">
      <c r="A117" s="49" t="s">
        <v>160</v>
      </c>
      <c r="B117" s="43" t="s">
        <v>161</v>
      </c>
      <c r="C117" s="28">
        <f>[13]С4!F29</f>
        <v>231.61671921089041</v>
      </c>
    </row>
    <row r="118" spans="1:3" ht="30">
      <c r="A118" s="49" t="s">
        <v>162</v>
      </c>
      <c r="B118" s="32" t="s">
        <v>163</v>
      </c>
      <c r="C118" s="28">
        <f>[13]С4!F30</f>
        <v>2195.3244015920341</v>
      </c>
    </row>
    <row r="119" spans="1:3" ht="42.75">
      <c r="A119" s="49" t="s">
        <v>248</v>
      </c>
      <c r="B119" s="76" t="s">
        <v>249</v>
      </c>
      <c r="C119" s="28">
        <f>[13]С4!F33</f>
        <v>1483.072594022681</v>
      </c>
    </row>
    <row r="120" spans="1:3" ht="30">
      <c r="A120" s="49" t="s">
        <v>250</v>
      </c>
      <c r="B120" s="122" t="s">
        <v>251</v>
      </c>
      <c r="C120" s="28">
        <f>[13]С4!F35</f>
        <v>17.040680999999999</v>
      </c>
    </row>
    <row r="121" spans="1:3" ht="14.25">
      <c r="A121" s="49" t="s">
        <v>252</v>
      </c>
      <c r="B121" s="46" t="s">
        <v>253</v>
      </c>
      <c r="C121" s="28">
        <f>[13]С4!F36</f>
        <v>14319.9</v>
      </c>
    </row>
    <row r="122" spans="1:3" ht="28.5" thickBot="1">
      <c r="A122" s="62" t="s">
        <v>254</v>
      </c>
      <c r="B122" s="123" t="s">
        <v>255</v>
      </c>
      <c r="C122" s="73">
        <f>[13]С4!F37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[13]С5!F17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[13]С2!F37</f>
        <v>20.818139999999996</v>
      </c>
    </row>
    <row r="136" spans="1:4" ht="14.25">
      <c r="A136" s="49" t="s">
        <v>183</v>
      </c>
      <c r="B136" s="129" t="s">
        <v>184</v>
      </c>
      <c r="C136" s="28">
        <f>[13]С2!F38</f>
        <v>7</v>
      </c>
    </row>
    <row r="137" spans="1:4" ht="17.25">
      <c r="A137" s="49" t="s">
        <v>185</v>
      </c>
      <c r="B137" s="129" t="s">
        <v>186</v>
      </c>
      <c r="C137" s="28">
        <f>[13]С2!F40</f>
        <v>0.97</v>
      </c>
    </row>
    <row r="138" spans="1:4" ht="15" thickBot="1">
      <c r="A138" s="62" t="s">
        <v>187</v>
      </c>
      <c r="B138" s="130" t="s">
        <v>188</v>
      </c>
      <c r="C138" s="38">
        <f>[13]С2!F42</f>
        <v>0.35</v>
      </c>
    </row>
    <row r="139" spans="1:4" s="77" customFormat="1" ht="13.5" thickBot="1">
      <c r="A139" s="39"/>
      <c r="B139" s="65"/>
      <c r="C139" s="13"/>
    </row>
    <row r="140" spans="1:4" ht="30">
      <c r="A140" s="74" t="s">
        <v>189</v>
      </c>
      <c r="B140" s="84" t="s">
        <v>258</v>
      </c>
      <c r="C140" s="131">
        <f>[13]С2!F35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[13]С2.5!$E$11</f>
        <v>-2.9000000000000026E-2</v>
      </c>
      <c r="D143" s="77"/>
    </row>
    <row r="144" spans="1:4">
      <c r="A144" s="85"/>
      <c r="B144" s="86">
        <f>B143+1</f>
        <v>2021</v>
      </c>
      <c r="C144" s="136">
        <f>[13]С2.5!$F$11</f>
        <v>0.245</v>
      </c>
      <c r="D144" s="77"/>
    </row>
    <row r="145" spans="1:4">
      <c r="A145" s="85"/>
      <c r="B145" s="86">
        <f t="shared" ref="B145:B208" si="0">B144+1</f>
        <v>2022</v>
      </c>
      <c r="C145" s="136">
        <f>[13]С2.5!$G$11</f>
        <v>0.121</v>
      </c>
      <c r="D145" s="77"/>
    </row>
    <row r="146" spans="1:4" ht="13.5" thickBot="1">
      <c r="A146" s="85"/>
      <c r="B146" s="87">
        <f t="shared" si="0"/>
        <v>2023</v>
      </c>
      <c r="C146" s="137">
        <f>[13]С2.5!$H$11</f>
        <v>0.02</v>
      </c>
      <c r="D146" s="77"/>
    </row>
    <row r="147" spans="1:4" hidden="1">
      <c r="A147" s="85"/>
      <c r="B147" s="138">
        <f t="shared" si="0"/>
        <v>2024</v>
      </c>
      <c r="C147" s="139">
        <f>[13]С2.5!$I$11</f>
        <v>-2.93E-2</v>
      </c>
      <c r="D147" s="77"/>
    </row>
    <row r="148" spans="1:4" hidden="1">
      <c r="A148" s="85"/>
      <c r="B148" s="86">
        <f t="shared" si="0"/>
        <v>2025</v>
      </c>
      <c r="C148" s="136">
        <f>[13]С2.5!$J$11</f>
        <v>0.21215960863291</v>
      </c>
      <c r="D148" s="77"/>
    </row>
    <row r="149" spans="1:4" hidden="1">
      <c r="A149" s="85"/>
      <c r="B149" s="86">
        <f t="shared" si="0"/>
        <v>2026</v>
      </c>
      <c r="C149" s="136">
        <f>[13]С2.5!$K$11</f>
        <v>3.5813361771260002E-2</v>
      </c>
      <c r="D149" s="77"/>
    </row>
    <row r="150" spans="1:4" hidden="1">
      <c r="A150" s="85"/>
      <c r="B150" s="86">
        <f t="shared" si="0"/>
        <v>2027</v>
      </c>
      <c r="C150" s="136">
        <f>[13]С2.5!$L$11</f>
        <v>3.2682303599220003E-2</v>
      </c>
      <c r="D150" s="77"/>
    </row>
    <row r="151" spans="1:4" hidden="1">
      <c r="A151" s="85"/>
      <c r="B151" s="86">
        <f t="shared" si="0"/>
        <v>2028</v>
      </c>
      <c r="C151" s="136">
        <f>[13]С2.5!$M$11</f>
        <v>0</v>
      </c>
      <c r="D151" s="77"/>
    </row>
    <row r="152" spans="1:4" hidden="1">
      <c r="A152" s="85"/>
      <c r="B152" s="86">
        <f t="shared" si="0"/>
        <v>2029</v>
      </c>
      <c r="C152" s="136">
        <f>[13]С2.5!$N$11</f>
        <v>0</v>
      </c>
      <c r="D152" s="77"/>
    </row>
    <row r="153" spans="1:4" hidden="1">
      <c r="A153" s="85"/>
      <c r="B153" s="86">
        <f t="shared" si="0"/>
        <v>2030</v>
      </c>
      <c r="C153" s="136">
        <f>[13]С2.5!$O$11</f>
        <v>0</v>
      </c>
      <c r="D153" s="77"/>
    </row>
    <row r="154" spans="1:4" hidden="1">
      <c r="A154" s="85"/>
      <c r="B154" s="86">
        <f t="shared" si="0"/>
        <v>2031</v>
      </c>
      <c r="C154" s="136">
        <f>[13]С2.5!$P$11</f>
        <v>0</v>
      </c>
      <c r="D154" s="77"/>
    </row>
    <row r="155" spans="1:4" hidden="1">
      <c r="A155" s="77"/>
      <c r="B155" s="86">
        <f t="shared" si="0"/>
        <v>2032</v>
      </c>
      <c r="C155" s="136">
        <f>[13]С2.5!$Q$11</f>
        <v>0</v>
      </c>
      <c r="D155" s="77"/>
    </row>
    <row r="156" spans="1:4" hidden="1">
      <c r="A156" s="77"/>
      <c r="B156" s="86">
        <f t="shared" si="0"/>
        <v>2033</v>
      </c>
      <c r="C156" s="136">
        <f>[13]С2.5!$R$11</f>
        <v>0</v>
      </c>
      <c r="D156" s="77"/>
    </row>
    <row r="157" spans="1:4" hidden="1">
      <c r="B157" s="86">
        <f t="shared" si="0"/>
        <v>2034</v>
      </c>
      <c r="C157" s="136">
        <f>[13]С2.5!$S$11</f>
        <v>0</v>
      </c>
    </row>
    <row r="158" spans="1:4" hidden="1">
      <c r="B158" s="86">
        <f t="shared" si="0"/>
        <v>2035</v>
      </c>
      <c r="C158" s="136">
        <f>[13]С2.5!$T$11</f>
        <v>0</v>
      </c>
    </row>
    <row r="159" spans="1:4" hidden="1">
      <c r="B159" s="86">
        <f t="shared" si="0"/>
        <v>2036</v>
      </c>
      <c r="C159" s="136">
        <f>[13]С2.5!$U$11</f>
        <v>0</v>
      </c>
    </row>
    <row r="160" spans="1:4" hidden="1">
      <c r="B160" s="86">
        <f t="shared" si="0"/>
        <v>2037</v>
      </c>
      <c r="C160" s="136">
        <f>[13]С2.5!$V$11</f>
        <v>0</v>
      </c>
    </row>
    <row r="161" spans="2:3" hidden="1">
      <c r="B161" s="86">
        <f t="shared" si="0"/>
        <v>2038</v>
      </c>
      <c r="C161" s="136">
        <f>[13]С2.5!$W$11</f>
        <v>0</v>
      </c>
    </row>
    <row r="162" spans="2:3" hidden="1">
      <c r="B162" s="86">
        <f t="shared" si="0"/>
        <v>2039</v>
      </c>
      <c r="C162" s="136">
        <f>[13]С2.5!$X$11</f>
        <v>0</v>
      </c>
    </row>
    <row r="163" spans="2:3" hidden="1">
      <c r="B163" s="86">
        <f t="shared" si="0"/>
        <v>2040</v>
      </c>
      <c r="C163" s="136">
        <f>[13]С2.5!$Y$11</f>
        <v>0</v>
      </c>
    </row>
    <row r="164" spans="2:3" hidden="1">
      <c r="B164" s="86">
        <f t="shared" si="0"/>
        <v>2041</v>
      </c>
      <c r="C164" s="136">
        <f>[13]С2.5!$Z$11</f>
        <v>0</v>
      </c>
    </row>
    <row r="165" spans="2:3" hidden="1">
      <c r="B165" s="86">
        <f t="shared" si="0"/>
        <v>2042</v>
      </c>
      <c r="C165" s="136">
        <f>[13]С2.5!$AA$11</f>
        <v>0</v>
      </c>
    </row>
    <row r="166" spans="2:3" hidden="1">
      <c r="B166" s="86">
        <f t="shared" si="0"/>
        <v>2043</v>
      </c>
      <c r="C166" s="136">
        <f>[13]С2.5!$AB$11</f>
        <v>0</v>
      </c>
    </row>
    <row r="167" spans="2:3" hidden="1">
      <c r="B167" s="86">
        <f t="shared" si="0"/>
        <v>2044</v>
      </c>
      <c r="C167" s="136">
        <f>[13]С2.5!$AC$11</f>
        <v>0</v>
      </c>
    </row>
    <row r="168" spans="2:3" hidden="1">
      <c r="B168" s="86">
        <f t="shared" si="0"/>
        <v>2045</v>
      </c>
      <c r="C168" s="136">
        <f>[13]С2.5!$AD$11</f>
        <v>0</v>
      </c>
    </row>
    <row r="169" spans="2:3" hidden="1">
      <c r="B169" s="86">
        <f t="shared" si="0"/>
        <v>2046</v>
      </c>
      <c r="C169" s="136">
        <f>[13]С2.5!$AE$11</f>
        <v>0</v>
      </c>
    </row>
    <row r="170" spans="2:3" hidden="1">
      <c r="B170" s="86">
        <f t="shared" si="0"/>
        <v>2047</v>
      </c>
      <c r="C170" s="136">
        <f>[13]С2.5!$AF$11</f>
        <v>0</v>
      </c>
    </row>
    <row r="171" spans="2:3" hidden="1">
      <c r="B171" s="86">
        <f t="shared" si="0"/>
        <v>2048</v>
      </c>
      <c r="C171" s="136">
        <f>[13]С2.5!$AG$11</f>
        <v>0</v>
      </c>
    </row>
    <row r="172" spans="2:3" hidden="1">
      <c r="B172" s="86">
        <f t="shared" si="0"/>
        <v>2049</v>
      </c>
      <c r="C172" s="136">
        <f>[13]С2.5!$AH$11</f>
        <v>0</v>
      </c>
    </row>
    <row r="173" spans="2:3" hidden="1">
      <c r="B173" s="86">
        <f t="shared" si="0"/>
        <v>2050</v>
      </c>
      <c r="C173" s="136">
        <f>[13]С2.5!$AI$11</f>
        <v>0</v>
      </c>
    </row>
    <row r="174" spans="2:3" hidden="1">
      <c r="B174" s="86">
        <f t="shared" si="0"/>
        <v>2051</v>
      </c>
      <c r="C174" s="136">
        <f>[13]С2.5!$AJ$11</f>
        <v>0</v>
      </c>
    </row>
    <row r="175" spans="2:3" hidden="1">
      <c r="B175" s="86">
        <f t="shared" si="0"/>
        <v>2052</v>
      </c>
      <c r="C175" s="136">
        <f>[13]С2.5!$AK$11</f>
        <v>0</v>
      </c>
    </row>
    <row r="176" spans="2:3" hidden="1">
      <c r="B176" s="86">
        <f t="shared" si="0"/>
        <v>2053</v>
      </c>
      <c r="C176" s="136">
        <f>[13]С2.5!$AL$11</f>
        <v>0</v>
      </c>
    </row>
    <row r="177" spans="2:3" hidden="1">
      <c r="B177" s="86">
        <f t="shared" si="0"/>
        <v>2054</v>
      </c>
      <c r="C177" s="136">
        <f>[13]С2.5!$AM$11</f>
        <v>0</v>
      </c>
    </row>
    <row r="178" spans="2:3" hidden="1">
      <c r="B178" s="86">
        <f t="shared" si="0"/>
        <v>2055</v>
      </c>
      <c r="C178" s="136">
        <f>[13]С2.5!$AN$11</f>
        <v>0</v>
      </c>
    </row>
    <row r="179" spans="2:3" hidden="1">
      <c r="B179" s="86">
        <f t="shared" si="0"/>
        <v>2056</v>
      </c>
      <c r="C179" s="136">
        <f>[13]С2.5!$AO$11</f>
        <v>0</v>
      </c>
    </row>
    <row r="180" spans="2:3" hidden="1">
      <c r="B180" s="86">
        <f t="shared" si="0"/>
        <v>2057</v>
      </c>
      <c r="C180" s="136">
        <f>[13]С2.5!$AP$11</f>
        <v>0</v>
      </c>
    </row>
    <row r="181" spans="2:3" hidden="1">
      <c r="B181" s="86">
        <f t="shared" si="0"/>
        <v>2058</v>
      </c>
      <c r="C181" s="136">
        <f>[13]С2.5!$AQ$11</f>
        <v>0</v>
      </c>
    </row>
    <row r="182" spans="2:3" hidden="1">
      <c r="B182" s="86">
        <f t="shared" si="0"/>
        <v>2059</v>
      </c>
      <c r="C182" s="136">
        <f>[13]С2.5!$AR$11</f>
        <v>0</v>
      </c>
    </row>
    <row r="183" spans="2:3" hidden="1">
      <c r="B183" s="86">
        <f t="shared" si="0"/>
        <v>2060</v>
      </c>
      <c r="C183" s="136">
        <f>[13]С2.5!$AS$11</f>
        <v>0</v>
      </c>
    </row>
    <row r="184" spans="2:3" hidden="1">
      <c r="B184" s="86">
        <f t="shared" si="0"/>
        <v>2061</v>
      </c>
      <c r="C184" s="136">
        <f>[13]С2.5!$AT$11</f>
        <v>0</v>
      </c>
    </row>
    <row r="185" spans="2:3" hidden="1">
      <c r="B185" s="86">
        <f t="shared" si="0"/>
        <v>2062</v>
      </c>
      <c r="C185" s="136">
        <f>[13]С2.5!$AU$11</f>
        <v>0</v>
      </c>
    </row>
    <row r="186" spans="2:3" hidden="1">
      <c r="B186" s="86">
        <f t="shared" si="0"/>
        <v>2063</v>
      </c>
      <c r="C186" s="136">
        <f>[13]С2.5!$AV$11</f>
        <v>0</v>
      </c>
    </row>
    <row r="187" spans="2:3" hidden="1">
      <c r="B187" s="86">
        <f t="shared" si="0"/>
        <v>2064</v>
      </c>
      <c r="C187" s="136">
        <f>[13]С2.5!$AW$11</f>
        <v>0</v>
      </c>
    </row>
    <row r="188" spans="2:3" hidden="1">
      <c r="B188" s="86">
        <f t="shared" si="0"/>
        <v>2065</v>
      </c>
      <c r="C188" s="136">
        <f>[13]С2.5!$AX$11</f>
        <v>0</v>
      </c>
    </row>
    <row r="189" spans="2:3" hidden="1">
      <c r="B189" s="86">
        <f t="shared" si="0"/>
        <v>2066</v>
      </c>
      <c r="C189" s="136">
        <f>[13]С2.5!$AY$11</f>
        <v>0</v>
      </c>
    </row>
    <row r="190" spans="2:3" hidden="1">
      <c r="B190" s="86">
        <f t="shared" si="0"/>
        <v>2067</v>
      </c>
      <c r="C190" s="136">
        <f>[13]С2.5!$AZ$11</f>
        <v>0</v>
      </c>
    </row>
    <row r="191" spans="2:3" hidden="1">
      <c r="B191" s="86">
        <f t="shared" si="0"/>
        <v>2068</v>
      </c>
      <c r="C191" s="136">
        <f>[13]С2.5!$BA$11</f>
        <v>0</v>
      </c>
    </row>
    <row r="192" spans="2:3" hidden="1">
      <c r="B192" s="86">
        <f t="shared" si="0"/>
        <v>2069</v>
      </c>
      <c r="C192" s="136">
        <f>[13]С2.5!$BB$11</f>
        <v>0</v>
      </c>
    </row>
    <row r="193" spans="2:3" hidden="1">
      <c r="B193" s="86">
        <f t="shared" si="0"/>
        <v>2070</v>
      </c>
      <c r="C193" s="136">
        <f>[13]С2.5!$BC$11</f>
        <v>0</v>
      </c>
    </row>
    <row r="194" spans="2:3" hidden="1">
      <c r="B194" s="86">
        <f t="shared" si="0"/>
        <v>2071</v>
      </c>
      <c r="C194" s="136">
        <f>[13]С2.5!$BD$11</f>
        <v>0</v>
      </c>
    </row>
    <row r="195" spans="2:3" hidden="1">
      <c r="B195" s="86">
        <f t="shared" si="0"/>
        <v>2072</v>
      </c>
      <c r="C195" s="136">
        <f>[13]С2.5!$BE$11</f>
        <v>0</v>
      </c>
    </row>
    <row r="196" spans="2:3" hidden="1">
      <c r="B196" s="86">
        <f t="shared" si="0"/>
        <v>2073</v>
      </c>
      <c r="C196" s="136">
        <f>[13]С2.5!$BF$11</f>
        <v>0</v>
      </c>
    </row>
    <row r="197" spans="2:3" hidden="1">
      <c r="B197" s="86">
        <f t="shared" si="0"/>
        <v>2074</v>
      </c>
      <c r="C197" s="136">
        <f>[13]С2.5!$BG$11</f>
        <v>0</v>
      </c>
    </row>
    <row r="198" spans="2:3" hidden="1">
      <c r="B198" s="86">
        <f t="shared" si="0"/>
        <v>2075</v>
      </c>
      <c r="C198" s="136">
        <f>[13]С2.5!$BH$11</f>
        <v>0</v>
      </c>
    </row>
    <row r="199" spans="2:3" hidden="1">
      <c r="B199" s="86">
        <f t="shared" si="0"/>
        <v>2076</v>
      </c>
      <c r="C199" s="136">
        <f>[13]С2.5!$BI$11</f>
        <v>0</v>
      </c>
    </row>
    <row r="200" spans="2:3" hidden="1">
      <c r="B200" s="86">
        <f t="shared" si="0"/>
        <v>2077</v>
      </c>
      <c r="C200" s="136">
        <f>[13]С2.5!$BJ$11</f>
        <v>0</v>
      </c>
    </row>
    <row r="201" spans="2:3" hidden="1">
      <c r="B201" s="86">
        <f t="shared" si="0"/>
        <v>2078</v>
      </c>
      <c r="C201" s="136">
        <f>[13]С2.5!$BK$11</f>
        <v>0</v>
      </c>
    </row>
    <row r="202" spans="2:3" hidden="1">
      <c r="B202" s="86">
        <f t="shared" si="0"/>
        <v>2079</v>
      </c>
      <c r="C202" s="136">
        <f>[13]С2.5!$BL$11</f>
        <v>0</v>
      </c>
    </row>
    <row r="203" spans="2:3" hidden="1">
      <c r="B203" s="86">
        <f t="shared" si="0"/>
        <v>2080</v>
      </c>
      <c r="C203" s="136">
        <f>[13]С2.5!$BM$11</f>
        <v>0</v>
      </c>
    </row>
    <row r="204" spans="2:3" hidden="1">
      <c r="B204" s="86">
        <f t="shared" si="0"/>
        <v>2081</v>
      </c>
      <c r="C204" s="136">
        <f>[13]С2.5!$BN$11</f>
        <v>0</v>
      </c>
    </row>
    <row r="205" spans="2:3" hidden="1">
      <c r="B205" s="86">
        <f t="shared" si="0"/>
        <v>2082</v>
      </c>
      <c r="C205" s="136">
        <f>[13]С2.5!$BO$11</f>
        <v>0</v>
      </c>
    </row>
    <row r="206" spans="2:3" hidden="1">
      <c r="B206" s="86">
        <f t="shared" si="0"/>
        <v>2083</v>
      </c>
      <c r="C206" s="136">
        <f>[13]С2.5!$BP$11</f>
        <v>0</v>
      </c>
    </row>
    <row r="207" spans="2:3" hidden="1">
      <c r="B207" s="86">
        <f t="shared" si="0"/>
        <v>2084</v>
      </c>
      <c r="C207" s="136">
        <f>[13]С2.5!$BQ$11</f>
        <v>0</v>
      </c>
    </row>
    <row r="208" spans="2:3" hidden="1">
      <c r="B208" s="86">
        <f t="shared" si="0"/>
        <v>2085</v>
      </c>
      <c r="C208" s="136">
        <f>[13]С2.5!$BR$11</f>
        <v>0</v>
      </c>
    </row>
    <row r="209" spans="2:3" hidden="1">
      <c r="B209" s="86">
        <f t="shared" ref="B209:B223" si="1">B208+1</f>
        <v>2086</v>
      </c>
      <c r="C209" s="136">
        <f>[13]С2.5!$BS$11</f>
        <v>0</v>
      </c>
    </row>
    <row r="210" spans="2:3" hidden="1">
      <c r="B210" s="86">
        <f t="shared" si="1"/>
        <v>2087</v>
      </c>
      <c r="C210" s="136">
        <f>[13]С2.5!$BT$11</f>
        <v>0</v>
      </c>
    </row>
    <row r="211" spans="2:3" hidden="1">
      <c r="B211" s="86">
        <f t="shared" si="1"/>
        <v>2088</v>
      </c>
      <c r="C211" s="136">
        <f>[13]С2.5!$BU$11</f>
        <v>0</v>
      </c>
    </row>
    <row r="212" spans="2:3" hidden="1">
      <c r="B212" s="86">
        <f t="shared" si="1"/>
        <v>2089</v>
      </c>
      <c r="C212" s="136">
        <f>[13]С2.5!$BV$11</f>
        <v>0</v>
      </c>
    </row>
    <row r="213" spans="2:3" hidden="1">
      <c r="B213" s="86">
        <f t="shared" si="1"/>
        <v>2090</v>
      </c>
      <c r="C213" s="136">
        <f>[13]С2.5!$BW$11</f>
        <v>0</v>
      </c>
    </row>
    <row r="214" spans="2:3" hidden="1">
      <c r="B214" s="86">
        <f t="shared" si="1"/>
        <v>2091</v>
      </c>
      <c r="C214" s="136">
        <f>[13]С2.5!$BX$11</f>
        <v>0</v>
      </c>
    </row>
    <row r="215" spans="2:3" hidden="1">
      <c r="B215" s="86">
        <f t="shared" si="1"/>
        <v>2092</v>
      </c>
      <c r="C215" s="136">
        <f>[13]С2.5!$BY$11</f>
        <v>0</v>
      </c>
    </row>
    <row r="216" spans="2:3" hidden="1">
      <c r="B216" s="86">
        <f t="shared" si="1"/>
        <v>2093</v>
      </c>
      <c r="C216" s="136">
        <f>[13]С2.5!$BZ$11</f>
        <v>0</v>
      </c>
    </row>
    <row r="217" spans="2:3" hidden="1">
      <c r="B217" s="86">
        <f t="shared" si="1"/>
        <v>2094</v>
      </c>
      <c r="C217" s="136">
        <f>[13]С2.5!$CA$11</f>
        <v>0</v>
      </c>
    </row>
    <row r="218" spans="2:3" hidden="1">
      <c r="B218" s="86">
        <f t="shared" si="1"/>
        <v>2095</v>
      </c>
      <c r="C218" s="136">
        <f>[13]С2.5!$CB$11</f>
        <v>0</v>
      </c>
    </row>
    <row r="219" spans="2:3" hidden="1">
      <c r="B219" s="86">
        <f t="shared" si="1"/>
        <v>2096</v>
      </c>
      <c r="C219" s="136">
        <f>[13]С2.5!$CC$11</f>
        <v>0</v>
      </c>
    </row>
    <row r="220" spans="2:3" hidden="1">
      <c r="B220" s="86">
        <f t="shared" si="1"/>
        <v>2097</v>
      </c>
      <c r="C220" s="136">
        <f>[13]С2.5!$CD$11</f>
        <v>0</v>
      </c>
    </row>
    <row r="221" spans="2:3" hidden="1">
      <c r="B221" s="86">
        <f t="shared" si="1"/>
        <v>2098</v>
      </c>
      <c r="C221" s="136">
        <f>[13]С2.5!$CE$11</f>
        <v>0</v>
      </c>
    </row>
    <row r="222" spans="2:3" hidden="1">
      <c r="B222" s="86">
        <f t="shared" si="1"/>
        <v>2099</v>
      </c>
      <c r="C222" s="136">
        <f>[13]С2.5!$CF$11</f>
        <v>0</v>
      </c>
    </row>
    <row r="223" spans="2:3" ht="13.5" hidden="1" thickBot="1">
      <c r="B223" s="87">
        <f t="shared" si="1"/>
        <v>2100</v>
      </c>
      <c r="C223" s="137">
        <f>[13]С2.5!$CG$11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9937"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26"/>
  <sheetViews>
    <sheetView workbookViewId="0">
      <selection activeCell="E23" sqref="E23"/>
    </sheetView>
  </sheetViews>
  <sheetFormatPr defaultRowHeight="12.75"/>
  <cols>
    <col min="1" max="1" width="7.28515625" style="1" customWidth="1"/>
    <col min="2" max="2" width="100.7109375" style="1" customWidth="1"/>
    <col min="3" max="3" width="20.85546875" style="110" customWidth="1"/>
    <col min="4" max="4" width="5.140625" style="1" customWidth="1"/>
    <col min="5" max="5" width="17.5703125" style="1" customWidth="1"/>
    <col min="6" max="158" width="9.140625" style="1"/>
    <col min="159" max="240" width="0" style="1" hidden="1" customWidth="1"/>
    <col min="241" max="249" width="9.140625" style="1"/>
    <col min="250" max="250" width="3.710937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710937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710937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710937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710937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710937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710937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710937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710937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710937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710937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710937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710937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710937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710937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710937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710937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710937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710937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710937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710937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710937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710937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710937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710937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710937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710937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710937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710937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710937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710937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710937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710937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710937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710937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710937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710937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710937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710937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710937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710937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710937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710937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710937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710937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710937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710937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710937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710937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710937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710937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710937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710937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710937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710937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710937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710937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710937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710937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710937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710937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710937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710937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7" ht="48" customHeight="1">
      <c r="A1" s="2"/>
      <c r="B1" s="144" t="s">
        <v>193</v>
      </c>
      <c r="C1" s="144"/>
    </row>
    <row r="2" spans="1:7">
      <c r="A2" s="2"/>
      <c r="B2" s="3" t="s">
        <v>0</v>
      </c>
      <c r="C2" s="4">
        <f ca="1">TODAY()</f>
        <v>44944</v>
      </c>
    </row>
    <row r="3" spans="1:7">
      <c r="A3" s="2"/>
      <c r="B3" s="88" t="s">
        <v>1</v>
      </c>
      <c r="C3" s="5"/>
    </row>
    <row r="4" spans="1:7" ht="25.5">
      <c r="A4" s="6"/>
      <c r="B4" s="7" t="str">
        <f>[14]И1!D13</f>
        <v>Субъект Российской Федерации</v>
      </c>
      <c r="C4" s="8" t="str">
        <f>[14]И1!E13</f>
        <v>Новосибирская область</v>
      </c>
    </row>
    <row r="5" spans="1:7" ht="15.95" customHeight="1">
      <c r="A5" s="6"/>
      <c r="B5" s="7" t="str">
        <f>[14]И1!D14</f>
        <v>Тип муниципального образования (выберите из списка)</v>
      </c>
      <c r="C5" s="8" t="str">
        <f>[14]И1!E14</f>
        <v>рабочий поселок Чаны, Чановский муниципальный район</v>
      </c>
    </row>
    <row r="6" spans="1:7">
      <c r="A6" s="6"/>
      <c r="B6" s="7" t="str">
        <f>IF([14]И1!E15="","",[14]И1!D15)</f>
        <v/>
      </c>
      <c r="C6" s="5" t="str">
        <f>IF([14]И1!E15="","",[14]И1!E15)</f>
        <v/>
      </c>
    </row>
    <row r="7" spans="1:7">
      <c r="A7" s="6"/>
      <c r="B7" s="7" t="str">
        <f>[14]И1!D16</f>
        <v>Код ОКТМО</v>
      </c>
      <c r="C7" s="9" t="str">
        <f>[14]И1!E16</f>
        <v>50656151051</v>
      </c>
    </row>
    <row r="8" spans="1:7">
      <c r="A8" s="6"/>
      <c r="B8" s="10" t="str">
        <f>[14]И1!D17</f>
        <v>Система теплоснабжения</v>
      </c>
      <c r="C8" s="11">
        <f>[14]И1!E17</f>
        <v>0</v>
      </c>
    </row>
    <row r="9" spans="1:7">
      <c r="A9" s="6"/>
      <c r="B9" s="7" t="str">
        <f>[14]И1!D8</f>
        <v>Период регулирования (i)-й</v>
      </c>
      <c r="C9" s="12">
        <f>[14]И1!E8</f>
        <v>2023</v>
      </c>
    </row>
    <row r="10" spans="1:7">
      <c r="A10" s="6"/>
      <c r="B10" s="7" t="str">
        <f>[14]И1!D9</f>
        <v>Период регулирования (i-1)-й</v>
      </c>
      <c r="C10" s="12">
        <f>[14]И1!E9</f>
        <v>2022</v>
      </c>
    </row>
    <row r="11" spans="1:7">
      <c r="A11" s="6"/>
      <c r="B11" s="7" t="str">
        <f>[14]И1!D10</f>
        <v>Период регулирования (i-2)-й</v>
      </c>
      <c r="C11" s="12">
        <f>[14]И1!E10</f>
        <v>2021</v>
      </c>
    </row>
    <row r="12" spans="1:7">
      <c r="A12" s="6"/>
      <c r="B12" s="7" t="str">
        <f>[14]И1!D11</f>
        <v>Базовый год (б)</v>
      </c>
      <c r="C12" s="12">
        <f>[14]И1!E11</f>
        <v>2019</v>
      </c>
    </row>
    <row r="13" spans="1:7">
      <c r="A13" s="6"/>
      <c r="B13" s="7" t="str">
        <f>[14]И1!D18</f>
        <v>Вид топлива, использование которого преобладает в системе теплоснабжения</v>
      </c>
      <c r="C13" s="13" t="str">
        <f>[14]И1!E18</f>
        <v>Газ</v>
      </c>
    </row>
    <row r="14" spans="1:7" ht="26.25" customHeight="1" thickBot="1">
      <c r="A14" s="147" t="s">
        <v>2</v>
      </c>
      <c r="B14" s="147"/>
      <c r="C14" s="147"/>
    </row>
    <row r="15" spans="1:7">
      <c r="A15" s="14" t="s">
        <v>3</v>
      </c>
      <c r="B15" s="24" t="s">
        <v>4</v>
      </c>
      <c r="C15" s="89" t="s">
        <v>5</v>
      </c>
    </row>
    <row r="16" spans="1:7">
      <c r="A16" s="15">
        <v>1</v>
      </c>
      <c r="B16" s="90">
        <v>2</v>
      </c>
      <c r="C16" s="91">
        <v>3</v>
      </c>
      <c r="G16" s="1" t="s">
        <v>259</v>
      </c>
    </row>
    <row r="17" spans="1:3">
      <c r="A17" s="16">
        <v>1</v>
      </c>
      <c r="B17" s="17" t="s">
        <v>6</v>
      </c>
      <c r="C17" s="18">
        <f>SUM(C18:C23)</f>
        <v>2927.8468145766847</v>
      </c>
    </row>
    <row r="18" spans="1:3" ht="42.75">
      <c r="A18" s="16" t="s">
        <v>7</v>
      </c>
      <c r="B18" s="19" t="s">
        <v>8</v>
      </c>
      <c r="C18" s="20">
        <f>[14]С1!F12</f>
        <v>912.75572352910331</v>
      </c>
    </row>
    <row r="19" spans="1:3" ht="42.75">
      <c r="A19" s="16" t="s">
        <v>9</v>
      </c>
      <c r="B19" s="19" t="s">
        <v>10</v>
      </c>
      <c r="C19" s="20">
        <f>[14]С2!F12</f>
        <v>1416.128104144392</v>
      </c>
    </row>
    <row r="20" spans="1:3" ht="30">
      <c r="A20" s="16" t="s">
        <v>11</v>
      </c>
      <c r="B20" s="19" t="s">
        <v>12</v>
      </c>
      <c r="C20" s="20">
        <f>[14]С3!F12</f>
        <v>338.62572796427605</v>
      </c>
    </row>
    <row r="21" spans="1:3" ht="42.75">
      <c r="A21" s="16" t="s">
        <v>13</v>
      </c>
      <c r="B21" s="19" t="s">
        <v>194</v>
      </c>
      <c r="C21" s="20">
        <f>[14]С4!F12</f>
        <v>202.92849786878244</v>
      </c>
    </row>
    <row r="22" spans="1:3" ht="33" customHeight="1">
      <c r="A22" s="16" t="s">
        <v>14</v>
      </c>
      <c r="B22" s="19" t="s">
        <v>195</v>
      </c>
      <c r="C22" s="20">
        <f>[14]С5!F12</f>
        <v>57.408761070131071</v>
      </c>
    </row>
    <row r="23" spans="1:3" ht="45.75" customHeight="1" thickBot="1">
      <c r="A23" s="21" t="s">
        <v>15</v>
      </c>
      <c r="B23" s="111" t="s">
        <v>196</v>
      </c>
      <c r="C23" s="22">
        <f>[14]С6!F12</f>
        <v>0</v>
      </c>
    </row>
    <row r="24" spans="1:3" ht="13.5" thickBot="1">
      <c r="A24" s="2"/>
      <c r="C24" s="5"/>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197</v>
      </c>
      <c r="C28" s="28">
        <f>[14]С1.1!E16</f>
        <v>7900</v>
      </c>
    </row>
    <row r="29" spans="1:3" ht="42.75">
      <c r="A29" s="16" t="s">
        <v>9</v>
      </c>
      <c r="B29" s="27" t="s">
        <v>198</v>
      </c>
      <c r="C29" s="28">
        <f>[14]С1.1!E32</f>
        <v>5591.16</v>
      </c>
    </row>
    <row r="30" spans="1:3" ht="38.25">
      <c r="A30" s="16" t="s">
        <v>199</v>
      </c>
      <c r="B30" s="27" t="s">
        <v>200</v>
      </c>
      <c r="C30" s="75" t="str">
        <f>[14]С1.1!E25</f>
        <v>ООО "Газпром газораспределение Томск"</v>
      </c>
    </row>
    <row r="31" spans="1:3" ht="38.25">
      <c r="A31" s="16" t="s">
        <v>201</v>
      </c>
      <c r="B31" s="27" t="str">
        <f>[14]С1.1!D26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28">
        <f>[14]С1.1!E26</f>
        <v>4475.5</v>
      </c>
    </row>
    <row r="32" spans="1:3" ht="25.5">
      <c r="A32" s="16" t="s">
        <v>202</v>
      </c>
      <c r="B32" s="27" t="str">
        <f>[14]С1.1!D27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28">
        <f>[14]С1.1!E27</f>
        <v>952.13</v>
      </c>
    </row>
    <row r="33" spans="1:3" ht="25.5">
      <c r="A33" s="16" t="s">
        <v>203</v>
      </c>
      <c r="B33" s="27" t="str">
        <f>[14]С1.1!D28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28">
        <f>[14]С1.1!E28</f>
        <v>132.9</v>
      </c>
    </row>
    <row r="34" spans="1:3" ht="38.25">
      <c r="A34" s="16" t="s">
        <v>204</v>
      </c>
      <c r="B34" s="27" t="str">
        <f>[14]С1.1!D29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28">
        <f>[14]С1.1!E29</f>
        <v>30.63</v>
      </c>
    </row>
    <row r="35" spans="1:3" ht="17.25">
      <c r="A35" s="16" t="s">
        <v>11</v>
      </c>
      <c r="B35" s="27" t="s">
        <v>17</v>
      </c>
      <c r="C35" s="29">
        <f>[14]С1.1!E20</f>
        <v>0.1392500000000001</v>
      </c>
    </row>
    <row r="36" spans="1:3" ht="17.25">
      <c r="A36" s="16" t="s">
        <v>13</v>
      </c>
      <c r="B36" s="27" t="s">
        <v>18</v>
      </c>
      <c r="C36" s="29">
        <f>[14]С1.1!E21</f>
        <v>0</v>
      </c>
    </row>
    <row r="37" spans="1:3" ht="30">
      <c r="A37" s="16" t="s">
        <v>14</v>
      </c>
      <c r="B37" s="30" t="s">
        <v>205</v>
      </c>
      <c r="C37" s="92">
        <f>[14]С1!F13</f>
        <v>156.1</v>
      </c>
    </row>
    <row r="38" spans="1:3">
      <c r="A38" s="16" t="s">
        <v>15</v>
      </c>
      <c r="B38" s="30" t="s">
        <v>19</v>
      </c>
      <c r="C38" s="31">
        <f>[14]С1!F16</f>
        <v>7000</v>
      </c>
    </row>
    <row r="39" spans="1:3" ht="14.25">
      <c r="A39" s="93" t="s">
        <v>20</v>
      </c>
      <c r="B39" s="32" t="s">
        <v>206</v>
      </c>
      <c r="C39" s="33">
        <f>[14]С1!F17</f>
        <v>1.1285714285714286</v>
      </c>
    </row>
    <row r="40" spans="1:3" ht="15.75">
      <c r="A40" s="94" t="s">
        <v>21</v>
      </c>
      <c r="B40" s="34" t="s">
        <v>22</v>
      </c>
      <c r="C40" s="33">
        <f>[14]С1!F20</f>
        <v>22.307053372799995</v>
      </c>
    </row>
    <row r="41" spans="1:3" ht="15.75">
      <c r="A41" s="94" t="s">
        <v>23</v>
      </c>
      <c r="B41" s="35" t="s">
        <v>24</v>
      </c>
      <c r="C41" s="33">
        <f>[14]С1!F21</f>
        <v>21.531904799999996</v>
      </c>
    </row>
    <row r="42" spans="1:3" ht="14.25">
      <c r="A42" s="94" t="s">
        <v>25</v>
      </c>
      <c r="B42" s="36" t="s">
        <v>26</v>
      </c>
      <c r="C42" s="33">
        <f>[14]С1!F22</f>
        <v>1.036</v>
      </c>
    </row>
    <row r="43" spans="1:3" ht="53.25" thickBot="1">
      <c r="A43" s="21" t="s">
        <v>27</v>
      </c>
      <c r="B43" s="37" t="s">
        <v>28</v>
      </c>
      <c r="C43" s="38" t="str">
        <f>[14]С1!F23</f>
        <v>-</v>
      </c>
    </row>
    <row r="44" spans="1:3" ht="13.5" thickBot="1">
      <c r="A44" s="39"/>
      <c r="B44" s="65"/>
      <c r="C44" s="13"/>
    </row>
    <row r="45" spans="1:3" ht="30" customHeight="1">
      <c r="A45" s="40" t="s">
        <v>29</v>
      </c>
      <c r="B45" s="141" t="s">
        <v>30</v>
      </c>
      <c r="C45" s="141"/>
    </row>
    <row r="46" spans="1:3" ht="25.5">
      <c r="A46" s="16" t="s">
        <v>31</v>
      </c>
      <c r="B46" s="30" t="s">
        <v>32</v>
      </c>
      <c r="C46" s="41" t="str">
        <f>[14]С2.1!E12</f>
        <v>V</v>
      </c>
    </row>
    <row r="47" spans="1:3" ht="25.5">
      <c r="A47" s="16" t="s">
        <v>33</v>
      </c>
      <c r="B47" s="27" t="s">
        <v>34</v>
      </c>
      <c r="C47" s="41" t="str">
        <f>[14]С2.1!E13</f>
        <v>6 и менее баллов</v>
      </c>
    </row>
    <row r="48" spans="1:3" ht="25.5">
      <c r="A48" s="16" t="s">
        <v>35</v>
      </c>
      <c r="B48" s="27" t="s">
        <v>207</v>
      </c>
      <c r="C48" s="41" t="str">
        <f>[14]С2.1!E14</f>
        <v>от 200 до 500</v>
      </c>
    </row>
    <row r="49" spans="1:3" ht="25.5">
      <c r="A49" s="16" t="s">
        <v>36</v>
      </c>
      <c r="B49" s="27" t="s">
        <v>208</v>
      </c>
      <c r="C49" s="42" t="str">
        <f>[14]С2.1!E15</f>
        <v>нет</v>
      </c>
    </row>
    <row r="50" spans="1:3" ht="30">
      <c r="A50" s="16" t="s">
        <v>37</v>
      </c>
      <c r="B50" s="27" t="s">
        <v>38</v>
      </c>
      <c r="C50" s="28">
        <f>[14]С2!F18</f>
        <v>32402.627334033532</v>
      </c>
    </row>
    <row r="51" spans="1:3" ht="30">
      <c r="A51" s="16" t="s">
        <v>39</v>
      </c>
      <c r="B51" s="43" t="s">
        <v>40</v>
      </c>
      <c r="C51" s="28">
        <f>IF([14]С2!F19&gt;0,[14]С2!F19,[14]С2!F20)</f>
        <v>23441.524932855718</v>
      </c>
    </row>
    <row r="52" spans="1:3" ht="25.5">
      <c r="A52" s="16" t="s">
        <v>41</v>
      </c>
      <c r="B52" s="44" t="s">
        <v>42</v>
      </c>
      <c r="C52" s="28">
        <f>[14]С2.1!E20</f>
        <v>-38</v>
      </c>
    </row>
    <row r="53" spans="1:3" ht="25.5">
      <c r="A53" s="16" t="s">
        <v>43</v>
      </c>
      <c r="B53" s="44" t="s">
        <v>44</v>
      </c>
      <c r="C53" s="28" t="str">
        <f>[14]С2.1!E23</f>
        <v>нет</v>
      </c>
    </row>
    <row r="54" spans="1:3" ht="38.25">
      <c r="A54" s="16" t="s">
        <v>45</v>
      </c>
      <c r="B54" s="45" t="s">
        <v>46</v>
      </c>
      <c r="C54" s="28">
        <f>[14]С2.2!E10</f>
        <v>1287</v>
      </c>
    </row>
    <row r="55" spans="1:3" ht="25.5">
      <c r="A55" s="16" t="s">
        <v>47</v>
      </c>
      <c r="B55" s="46" t="s">
        <v>48</v>
      </c>
      <c r="C55" s="28">
        <f>[14]С2.2!E12</f>
        <v>5.97</v>
      </c>
    </row>
    <row r="56" spans="1:3" ht="52.5">
      <c r="A56" s="16" t="s">
        <v>49</v>
      </c>
      <c r="B56" s="47" t="s">
        <v>50</v>
      </c>
      <c r="C56" s="28">
        <f>[14]С2.2!E13</f>
        <v>1</v>
      </c>
    </row>
    <row r="57" spans="1:3" ht="27.75">
      <c r="A57" s="16" t="s">
        <v>51</v>
      </c>
      <c r="B57" s="46" t="s">
        <v>52</v>
      </c>
      <c r="C57" s="28">
        <f>[14]С2.2!E14</f>
        <v>12104</v>
      </c>
    </row>
    <row r="58" spans="1:3" ht="25.5">
      <c r="A58" s="16" t="s">
        <v>53</v>
      </c>
      <c r="B58" s="47" t="s">
        <v>54</v>
      </c>
      <c r="C58" s="29">
        <f>[14]С2.2!E15</f>
        <v>4.8000000000000001E-2</v>
      </c>
    </row>
    <row r="59" spans="1:3">
      <c r="A59" s="16" t="s">
        <v>55</v>
      </c>
      <c r="B59" s="47" t="s">
        <v>56</v>
      </c>
      <c r="C59" s="95">
        <f>[14]С2.2!E16</f>
        <v>1</v>
      </c>
    </row>
    <row r="60" spans="1:3" ht="15.75">
      <c r="A60" s="16" t="s">
        <v>57</v>
      </c>
      <c r="B60" s="48" t="s">
        <v>58</v>
      </c>
      <c r="C60" s="28">
        <f>[14]С2!F21</f>
        <v>1</v>
      </c>
    </row>
    <row r="61" spans="1:3" ht="30">
      <c r="A61" s="49" t="s">
        <v>59</v>
      </c>
      <c r="B61" s="27" t="s">
        <v>209</v>
      </c>
      <c r="C61" s="28">
        <f>[14]С2!F13</f>
        <v>97038.307983185223</v>
      </c>
    </row>
    <row r="62" spans="1:3" ht="30">
      <c r="A62" s="49" t="s">
        <v>60</v>
      </c>
      <c r="B62" s="50" t="s">
        <v>210</v>
      </c>
      <c r="C62" s="28">
        <f>[14]С2!F14</f>
        <v>64899</v>
      </c>
    </row>
    <row r="63" spans="1:3" ht="15.75">
      <c r="A63" s="49" t="s">
        <v>61</v>
      </c>
      <c r="B63" s="50" t="s">
        <v>62</v>
      </c>
      <c r="C63" s="33">
        <f>[14]С2!F15</f>
        <v>1.071</v>
      </c>
    </row>
    <row r="64" spans="1:3" ht="15.75">
      <c r="A64" s="49" t="s">
        <v>63</v>
      </c>
      <c r="B64" s="50" t="s">
        <v>64</v>
      </c>
      <c r="C64" s="96">
        <f>[14]С2!F16</f>
        <v>1</v>
      </c>
    </row>
    <row r="65" spans="1:3" ht="17.25">
      <c r="A65" s="49" t="s">
        <v>65</v>
      </c>
      <c r="B65" s="50" t="s">
        <v>66</v>
      </c>
      <c r="C65" s="97">
        <f>[14]С2!F17</f>
        <v>1.01</v>
      </c>
    </row>
    <row r="66" spans="1:3" s="53" customFormat="1" ht="14.25">
      <c r="A66" s="49" t="s">
        <v>67</v>
      </c>
      <c r="B66" s="51" t="s">
        <v>68</v>
      </c>
      <c r="C66" s="52">
        <f>[14]С2!F35</f>
        <v>10</v>
      </c>
    </row>
    <row r="67" spans="1:3" ht="30">
      <c r="A67" s="49" t="s">
        <v>69</v>
      </c>
      <c r="B67" s="54" t="s">
        <v>70</v>
      </c>
      <c r="C67" s="28">
        <f>[14]С2!F28</f>
        <v>108.47957928975273</v>
      </c>
    </row>
    <row r="68" spans="1:3" ht="17.25">
      <c r="A68" s="49" t="s">
        <v>71</v>
      </c>
      <c r="B68" s="43" t="s">
        <v>211</v>
      </c>
      <c r="C68" s="33">
        <f>[14]С2!F29</f>
        <v>0.15695805999999998</v>
      </c>
    </row>
    <row r="69" spans="1:3" ht="17.25">
      <c r="A69" s="49" t="s">
        <v>72</v>
      </c>
      <c r="B69" s="48" t="s">
        <v>212</v>
      </c>
      <c r="C69" s="52">
        <f>[14]С2!F30</f>
        <v>500</v>
      </c>
    </row>
    <row r="70" spans="1:3" ht="42.75">
      <c r="A70" s="49" t="s">
        <v>73</v>
      </c>
      <c r="B70" s="27" t="s">
        <v>213</v>
      </c>
      <c r="C70" s="28">
        <f>[14]С2!F22</f>
        <v>36585.255753162281</v>
      </c>
    </row>
    <row r="71" spans="1:3" ht="30">
      <c r="A71" s="49" t="s">
        <v>74</v>
      </c>
      <c r="B71" s="50" t="s">
        <v>214</v>
      </c>
      <c r="C71" s="28">
        <f>[14]С2!F23</f>
        <v>21</v>
      </c>
    </row>
    <row r="72" spans="1:3" ht="30">
      <c r="A72" s="49" t="s">
        <v>75</v>
      </c>
      <c r="B72" s="43" t="s">
        <v>76</v>
      </c>
      <c r="C72" s="28">
        <f>[14]С2.1!E28</f>
        <v>14036.09995</v>
      </c>
    </row>
    <row r="73" spans="1:3" ht="38.25">
      <c r="A73" s="49" t="s">
        <v>77</v>
      </c>
      <c r="B73" s="55" t="s">
        <v>78</v>
      </c>
      <c r="C73" s="42">
        <f>[14]С2.3!E21</f>
        <v>0</v>
      </c>
    </row>
    <row r="74" spans="1:3" ht="25.5">
      <c r="A74" s="49" t="s">
        <v>79</v>
      </c>
      <c r="B74" s="56" t="s">
        <v>80</v>
      </c>
      <c r="C74" s="57">
        <f>[14]С2.3!E11</f>
        <v>5.45</v>
      </c>
    </row>
    <row r="75" spans="1:3" ht="25.5">
      <c r="A75" s="49" t="s">
        <v>81</v>
      </c>
      <c r="B75" s="56" t="s">
        <v>82</v>
      </c>
      <c r="C75" s="52">
        <f>[14]С2.3!E13</f>
        <v>300</v>
      </c>
    </row>
    <row r="76" spans="1:3" ht="25.5">
      <c r="A76" s="49" t="s">
        <v>83</v>
      </c>
      <c r="B76" s="55" t="s">
        <v>84</v>
      </c>
      <c r="C76" s="58">
        <f>IF([14]С2.3!E22&gt;0,[14]С2.3!E22,[14]С2.3!E14)</f>
        <v>61211</v>
      </c>
    </row>
    <row r="77" spans="1:3" ht="38.25">
      <c r="A77" s="49" t="s">
        <v>85</v>
      </c>
      <c r="B77" s="55" t="s">
        <v>86</v>
      </c>
      <c r="C77" s="58">
        <f>IF([14]С2.3!E23&gt;0,[14]С2.3!E23,[14]С2.3!E15)</f>
        <v>45675</v>
      </c>
    </row>
    <row r="78" spans="1:3" ht="30">
      <c r="A78" s="49" t="s">
        <v>87</v>
      </c>
      <c r="B78" s="43" t="s">
        <v>88</v>
      </c>
      <c r="C78" s="28">
        <f>[14]С2.1!E29</f>
        <v>9518.3274000000001</v>
      </c>
    </row>
    <row r="79" spans="1:3" ht="38.25">
      <c r="A79" s="49" t="s">
        <v>89</v>
      </c>
      <c r="B79" s="55" t="s">
        <v>90</v>
      </c>
      <c r="C79" s="42">
        <f>[14]С2.3!E25</f>
        <v>0</v>
      </c>
    </row>
    <row r="80" spans="1:3" ht="25.5">
      <c r="A80" s="49" t="s">
        <v>91</v>
      </c>
      <c r="B80" s="56" t="s">
        <v>92</v>
      </c>
      <c r="C80" s="57">
        <f>[14]С2.3!E12</f>
        <v>0.2</v>
      </c>
    </row>
    <row r="81" spans="1:3" ht="25.5">
      <c r="A81" s="49" t="s">
        <v>93</v>
      </c>
      <c r="B81" s="56" t="s">
        <v>82</v>
      </c>
      <c r="C81" s="52">
        <f>[14]С2.3!E13</f>
        <v>300</v>
      </c>
    </row>
    <row r="82" spans="1:3" ht="25.5">
      <c r="A82" s="49" t="s">
        <v>94</v>
      </c>
      <c r="B82" s="59" t="s">
        <v>95</v>
      </c>
      <c r="C82" s="58">
        <f>IF([14]С2.3!E26&gt;0,[14]С2.3!E26,[14]С2.3!E16)</f>
        <v>65637</v>
      </c>
    </row>
    <row r="83" spans="1:3" ht="38.25">
      <c r="A83" s="49" t="s">
        <v>96</v>
      </c>
      <c r="B83" s="59" t="s">
        <v>97</v>
      </c>
      <c r="C83" s="58">
        <f>IF([14]С2.3!E27&gt;0,[14]С2.3!E27,[14]С2.3!E17)</f>
        <v>31684</v>
      </c>
    </row>
    <row r="84" spans="1:3" ht="30">
      <c r="A84" s="49" t="s">
        <v>215</v>
      </c>
      <c r="B84" s="50" t="s">
        <v>216</v>
      </c>
      <c r="C84" s="58">
        <f>IF([14]С2.1!E19&gt;0,[14]С2.1!E19,[14]С2!F26)</f>
        <v>2892</v>
      </c>
    </row>
    <row r="85" spans="1:3" ht="17.25">
      <c r="A85" s="49" t="s">
        <v>98</v>
      </c>
      <c r="B85" s="27" t="s">
        <v>99</v>
      </c>
      <c r="C85" s="29">
        <f>[14]С2!F31</f>
        <v>0.128978033685065</v>
      </c>
    </row>
    <row r="86" spans="1:3" ht="30">
      <c r="A86" s="49" t="s">
        <v>100</v>
      </c>
      <c r="B86" s="43" t="s">
        <v>101</v>
      </c>
      <c r="C86" s="60">
        <f>[14]С2!F32</f>
        <v>0.11668498168498169</v>
      </c>
    </row>
    <row r="87" spans="1:3" ht="17.25">
      <c r="A87" s="49" t="s">
        <v>102</v>
      </c>
      <c r="B87" s="61" t="s">
        <v>103</v>
      </c>
      <c r="C87" s="29">
        <f>[14]С2!F33</f>
        <v>0.13880000000000001</v>
      </c>
    </row>
    <row r="88" spans="1:3" s="53" customFormat="1" ht="18" thickBot="1">
      <c r="A88" s="62" t="s">
        <v>104</v>
      </c>
      <c r="B88" s="63" t="s">
        <v>105</v>
      </c>
      <c r="C88" s="64">
        <f>[14]С2!F34</f>
        <v>0.12640000000000001</v>
      </c>
    </row>
    <row r="89" spans="1:3" ht="13.5" thickBot="1">
      <c r="A89" s="39"/>
      <c r="B89" s="65"/>
      <c r="C89" s="13"/>
    </row>
    <row r="90" spans="1:3" s="53" customFormat="1" ht="30" customHeight="1">
      <c r="A90" s="66" t="s">
        <v>106</v>
      </c>
      <c r="B90" s="141" t="s">
        <v>107</v>
      </c>
      <c r="C90" s="141"/>
    </row>
    <row r="91" spans="1:3" s="53" customFormat="1" ht="30">
      <c r="A91" s="67" t="s">
        <v>108</v>
      </c>
      <c r="B91" s="27" t="s">
        <v>109</v>
      </c>
      <c r="C91" s="28">
        <f>[14]С3!F14</f>
        <v>4855.8806962540311</v>
      </c>
    </row>
    <row r="92" spans="1:3" s="53" customFormat="1" ht="42.75">
      <c r="A92" s="67" t="s">
        <v>110</v>
      </c>
      <c r="B92" s="43" t="s">
        <v>111</v>
      </c>
      <c r="C92" s="68">
        <f>[14]С3!F15</f>
        <v>0.2</v>
      </c>
    </row>
    <row r="93" spans="1:3" s="53" customFormat="1" ht="14.25">
      <c r="A93" s="67" t="s">
        <v>112</v>
      </c>
      <c r="B93" s="69" t="s">
        <v>113</v>
      </c>
      <c r="C93" s="52">
        <f>[14]С3!F18</f>
        <v>15</v>
      </c>
    </row>
    <row r="94" spans="1:3" s="53" customFormat="1" ht="17.25">
      <c r="A94" s="67" t="s">
        <v>114</v>
      </c>
      <c r="B94" s="27" t="s">
        <v>115</v>
      </c>
      <c r="C94" s="28">
        <f>[14]С3!F19</f>
        <v>2435.0508023655884</v>
      </c>
    </row>
    <row r="95" spans="1:3" s="53" customFormat="1" ht="55.5">
      <c r="A95" s="67" t="s">
        <v>116</v>
      </c>
      <c r="B95" s="43" t="s">
        <v>117</v>
      </c>
      <c r="C95" s="70">
        <f>[14]С3!F20</f>
        <v>2.1999999999999999E-2</v>
      </c>
    </row>
    <row r="96" spans="1:3" s="53" customFormat="1" ht="14.25">
      <c r="A96" s="67" t="s">
        <v>118</v>
      </c>
      <c r="B96" s="48" t="s">
        <v>68</v>
      </c>
      <c r="C96" s="52">
        <f>[14]С3!F21</f>
        <v>10</v>
      </c>
    </row>
    <row r="97" spans="1:3" s="53" customFormat="1" ht="17.25">
      <c r="A97" s="67" t="s">
        <v>119</v>
      </c>
      <c r="B97" s="27" t="s">
        <v>120</v>
      </c>
      <c r="C97" s="28">
        <f>[14]С3!F22</f>
        <v>0.3254387378692582</v>
      </c>
    </row>
    <row r="98" spans="1:3" s="53" customFormat="1" ht="55.5">
      <c r="A98" s="67" t="s">
        <v>121</v>
      </c>
      <c r="B98" s="43" t="s">
        <v>122</v>
      </c>
      <c r="C98" s="70">
        <f>[14]С3!F23</f>
        <v>3.0000000000000001E-3</v>
      </c>
    </row>
    <row r="99" spans="1:3" s="53" customFormat="1" ht="30.75" thickBot="1">
      <c r="A99" s="71" t="s">
        <v>123</v>
      </c>
      <c r="B99" s="72" t="s">
        <v>70</v>
      </c>
      <c r="C99" s="73">
        <f>[14]С3!F24</f>
        <v>108.47957928975273</v>
      </c>
    </row>
    <row r="100" spans="1:3" ht="13.5" thickBot="1">
      <c r="A100" s="39"/>
      <c r="B100" s="65"/>
      <c r="C100" s="13"/>
    </row>
    <row r="101" spans="1:3" ht="30" customHeight="1">
      <c r="A101" s="74" t="s">
        <v>124</v>
      </c>
      <c r="B101" s="141" t="s">
        <v>125</v>
      </c>
      <c r="C101" s="141"/>
    </row>
    <row r="102" spans="1:3" ht="30">
      <c r="A102" s="49" t="s">
        <v>126</v>
      </c>
      <c r="B102" s="27" t="s">
        <v>217</v>
      </c>
      <c r="C102" s="28">
        <f>[14]С4!F16</f>
        <v>832.33500000000004</v>
      </c>
    </row>
    <row r="103" spans="1:3" ht="30">
      <c r="A103" s="49" t="s">
        <v>127</v>
      </c>
      <c r="B103" s="48" t="s">
        <v>218</v>
      </c>
      <c r="C103" s="28">
        <f>[14]С4!F17</f>
        <v>43385</v>
      </c>
    </row>
    <row r="104" spans="1:3" ht="17.25">
      <c r="A104" s="49" t="s">
        <v>128</v>
      </c>
      <c r="B104" s="48" t="s">
        <v>129</v>
      </c>
      <c r="C104" s="33">
        <f>[14]С4!F18</f>
        <v>1.4999999999999999E-2</v>
      </c>
    </row>
    <row r="105" spans="1:3" ht="30">
      <c r="A105" s="49" t="s">
        <v>130</v>
      </c>
      <c r="B105" s="48" t="s">
        <v>131</v>
      </c>
      <c r="C105" s="28">
        <f>[14]С4!F19</f>
        <v>12104</v>
      </c>
    </row>
    <row r="106" spans="1:3" ht="31.5">
      <c r="A106" s="49" t="s">
        <v>132</v>
      </c>
      <c r="B106" s="48" t="s">
        <v>133</v>
      </c>
      <c r="C106" s="33">
        <f>[14]С4!F20</f>
        <v>1.4999999999999999E-2</v>
      </c>
    </row>
    <row r="107" spans="1:3" ht="30">
      <c r="A107" s="49" t="s">
        <v>134</v>
      </c>
      <c r="B107" s="27" t="s">
        <v>219</v>
      </c>
      <c r="C107" s="28">
        <f>[14]С4!F21</f>
        <v>1221.9019409821399</v>
      </c>
    </row>
    <row r="108" spans="1:3" ht="45.6" customHeight="1">
      <c r="A108" s="49" t="s">
        <v>135</v>
      </c>
      <c r="B108" s="43" t="s">
        <v>136</v>
      </c>
      <c r="C108" s="75" t="str">
        <f>IF([14]С4.2!F8="да",[14]С4.2!D21,[14]С4.2!D15)</f>
        <v>АО "Новосибирскэнергосбыт"</v>
      </c>
    </row>
    <row r="109" spans="1:3" ht="68.25" customHeight="1">
      <c r="A109" s="49" t="s">
        <v>137</v>
      </c>
      <c r="B109" s="43" t="s">
        <v>138</v>
      </c>
      <c r="C109" s="28">
        <f>[14]С4!F22</f>
        <v>3.6112641666666665</v>
      </c>
    </row>
    <row r="110" spans="1:3" ht="30">
      <c r="A110" s="49" t="s">
        <v>139</v>
      </c>
      <c r="B110" s="48" t="s">
        <v>220</v>
      </c>
      <c r="C110" s="52">
        <f>[14]С4!F23</f>
        <v>110</v>
      </c>
    </row>
    <row r="111" spans="1:3" ht="14.25">
      <c r="A111" s="49" t="s">
        <v>140</v>
      </c>
      <c r="B111" s="43" t="s">
        <v>141</v>
      </c>
      <c r="C111" s="28">
        <f>[14]С4!F24</f>
        <v>8497.1999999999989</v>
      </c>
    </row>
    <row r="112" spans="1:3" ht="14.25">
      <c r="A112" s="49" t="s">
        <v>142</v>
      </c>
      <c r="B112" s="48" t="s">
        <v>143</v>
      </c>
      <c r="C112" s="33">
        <f>[14]С4!F25</f>
        <v>0.36199999999999999</v>
      </c>
    </row>
    <row r="113" spans="1:3" ht="17.25">
      <c r="A113" s="49" t="s">
        <v>144</v>
      </c>
      <c r="B113" s="27" t="s">
        <v>145</v>
      </c>
      <c r="C113" s="28">
        <f>[14]С4!F26</f>
        <v>63.737389999999998</v>
      </c>
    </row>
    <row r="114" spans="1:3" ht="25.5">
      <c r="A114" s="49" t="s">
        <v>146</v>
      </c>
      <c r="B114" s="43" t="s">
        <v>78</v>
      </c>
      <c r="C114" s="75">
        <f>[14]С4.3!E16</f>
        <v>0</v>
      </c>
    </row>
    <row r="115" spans="1:3" ht="25.5">
      <c r="A115" s="49" t="s">
        <v>147</v>
      </c>
      <c r="B115" s="43" t="s">
        <v>148</v>
      </c>
      <c r="C115" s="28">
        <f>[14]С4.3!E17</f>
        <v>31.83</v>
      </c>
    </row>
    <row r="116" spans="1:3" ht="38.25">
      <c r="A116" s="49" t="s">
        <v>149</v>
      </c>
      <c r="B116" s="43" t="s">
        <v>90</v>
      </c>
      <c r="C116" s="75">
        <f>[14]С4.3!E18</f>
        <v>0</v>
      </c>
    </row>
    <row r="117" spans="1:3">
      <c r="A117" s="49" t="s">
        <v>150</v>
      </c>
      <c r="B117" s="43" t="s">
        <v>151</v>
      </c>
      <c r="C117" s="28">
        <f>[14]С4.3!E19</f>
        <v>30.71</v>
      </c>
    </row>
    <row r="118" spans="1:3">
      <c r="A118" s="49" t="s">
        <v>152</v>
      </c>
      <c r="B118" s="48" t="s">
        <v>153</v>
      </c>
      <c r="C118" s="52">
        <f>[14]С4.3!E11</f>
        <v>1871</v>
      </c>
    </row>
    <row r="119" spans="1:3">
      <c r="A119" s="49" t="s">
        <v>154</v>
      </c>
      <c r="B119" s="48" t="s">
        <v>155</v>
      </c>
      <c r="C119" s="42">
        <f>[14]С4.3!E12</f>
        <v>61</v>
      </c>
    </row>
    <row r="120" spans="1:3">
      <c r="A120" s="49" t="s">
        <v>156</v>
      </c>
      <c r="B120" s="48" t="s">
        <v>157</v>
      </c>
      <c r="C120" s="42">
        <f>[14]С4.3!E13</f>
        <v>73</v>
      </c>
    </row>
    <row r="121" spans="1:3" ht="30">
      <c r="A121" s="49" t="s">
        <v>158</v>
      </c>
      <c r="B121" s="27" t="s">
        <v>221</v>
      </c>
      <c r="C121" s="28">
        <f>[14]С4!F27</f>
        <v>699.55149341307742</v>
      </c>
    </row>
    <row r="122" spans="1:3" ht="25.5">
      <c r="A122" s="49" t="s">
        <v>159</v>
      </c>
      <c r="B122" s="43" t="s">
        <v>222</v>
      </c>
      <c r="C122" s="28">
        <f>[14]С4!F28</f>
        <v>537.28993349698726</v>
      </c>
    </row>
    <row r="123" spans="1:3" ht="42.75">
      <c r="A123" s="49" t="s">
        <v>160</v>
      </c>
      <c r="B123" s="43" t="s">
        <v>161</v>
      </c>
      <c r="C123" s="28">
        <f>[14]С4!F29</f>
        <v>162.26155991609014</v>
      </c>
    </row>
    <row r="124" spans="1:3" ht="30.75" thickBot="1">
      <c r="A124" s="62" t="s">
        <v>162</v>
      </c>
      <c r="B124" s="78" t="s">
        <v>163</v>
      </c>
      <c r="C124" s="73">
        <f>[14]С4!F30</f>
        <v>474.84237477318379</v>
      </c>
    </row>
    <row r="125" spans="1:3" s="77" customFormat="1" ht="13.5" thickBot="1">
      <c r="A125" s="39"/>
      <c r="B125" s="65"/>
      <c r="C125" s="13"/>
    </row>
    <row r="126" spans="1:3" s="53" customFormat="1" ht="30" customHeight="1">
      <c r="A126" s="66" t="s">
        <v>164</v>
      </c>
      <c r="B126" s="141" t="s">
        <v>165</v>
      </c>
      <c r="C126" s="141"/>
    </row>
    <row r="127" spans="1:3" ht="30.6" customHeight="1" thickBot="1">
      <c r="A127" s="21" t="s">
        <v>166</v>
      </c>
      <c r="B127" s="78" t="s">
        <v>167</v>
      </c>
      <c r="C127" s="73">
        <f>[14]С5!F17</f>
        <v>0.02</v>
      </c>
    </row>
    <row r="128" spans="1:3" s="77" customFormat="1" ht="13.5" thickBot="1">
      <c r="A128" s="39"/>
      <c r="B128" s="65"/>
      <c r="C128" s="13"/>
    </row>
    <row r="129" spans="1:4" ht="42.75" customHeight="1">
      <c r="A129" s="74" t="s">
        <v>168</v>
      </c>
      <c r="B129" s="141" t="s">
        <v>169</v>
      </c>
      <c r="C129" s="141"/>
    </row>
    <row r="130" spans="1:4" ht="68.25">
      <c r="A130" s="49" t="s">
        <v>170</v>
      </c>
      <c r="B130" s="79" t="s">
        <v>171</v>
      </c>
      <c r="C130" s="28" t="str">
        <f>IF([14]С6.1!E11="нет",[14]С6!F13,"")</f>
        <v/>
      </c>
    </row>
    <row r="131" spans="1:4" ht="42.75">
      <c r="A131" s="49" t="s">
        <v>172</v>
      </c>
      <c r="B131" s="76" t="s">
        <v>173</v>
      </c>
      <c r="C131" s="80" t="str">
        <f>IF([14]С6.1!E12="нет",[14]С6.1!E17,"")</f>
        <v/>
      </c>
    </row>
    <row r="132" spans="1:4" ht="68.25">
      <c r="A132" s="49" t="s">
        <v>174</v>
      </c>
      <c r="B132" s="79" t="s">
        <v>175</v>
      </c>
      <c r="C132" s="98" t="str">
        <f>IF([14]С6.1!E18="нет",[14]С6!F19,"")</f>
        <v/>
      </c>
    </row>
    <row r="133" spans="1:4" ht="55.5">
      <c r="A133" s="49" t="s">
        <v>176</v>
      </c>
      <c r="B133" s="76" t="s">
        <v>177</v>
      </c>
      <c r="C133" s="29" t="str">
        <f>IF([14]С6.1!E18="нет",[14]С6.1!E19,"")</f>
        <v/>
      </c>
    </row>
    <row r="134" spans="1:4" ht="61.5" customHeight="1">
      <c r="A134" s="49" t="s">
        <v>178</v>
      </c>
      <c r="B134" s="76" t="s">
        <v>223</v>
      </c>
      <c r="C134" s="29" t="str">
        <f>IF([14]С6.1!E18="нет",[14]С6.1!E22,"")</f>
        <v/>
      </c>
    </row>
    <row r="135" spans="1:4" ht="69" thickBot="1">
      <c r="A135" s="62" t="s">
        <v>179</v>
      </c>
      <c r="B135" s="81" t="s">
        <v>180</v>
      </c>
      <c r="C135" s="64" t="str">
        <f>IF([14]С6.1!E18="нет",[14]С6.1!E23,"")</f>
        <v/>
      </c>
    </row>
    <row r="136" spans="1:4" s="77" customFormat="1" ht="13.5" thickBot="1">
      <c r="A136" s="39"/>
      <c r="B136" s="65"/>
      <c r="C136" s="13"/>
    </row>
    <row r="137" spans="1:4" ht="15.75">
      <c r="A137" s="74" t="s">
        <v>181</v>
      </c>
      <c r="B137" s="82" t="s">
        <v>182</v>
      </c>
      <c r="C137" s="83">
        <f>[14]С2!F39</f>
        <v>21.531904799999996</v>
      </c>
    </row>
    <row r="138" spans="1:4" ht="14.25">
      <c r="A138" s="49" t="s">
        <v>183</v>
      </c>
      <c r="B138" s="48" t="s">
        <v>184</v>
      </c>
      <c r="C138" s="28">
        <f>[14]С2!F40</f>
        <v>7</v>
      </c>
    </row>
    <row r="139" spans="1:4" ht="17.25">
      <c r="A139" s="49" t="s">
        <v>185</v>
      </c>
      <c r="B139" s="48" t="s">
        <v>186</v>
      </c>
      <c r="C139" s="28">
        <f>[14]С2!F42</f>
        <v>0.97</v>
      </c>
    </row>
    <row r="140" spans="1:4" ht="15" thickBot="1">
      <c r="A140" s="62" t="s">
        <v>187</v>
      </c>
      <c r="B140" s="63" t="s">
        <v>188</v>
      </c>
      <c r="C140" s="38">
        <f>[14]С2!F44</f>
        <v>0.36199999999999999</v>
      </c>
    </row>
    <row r="141" spans="1:4" s="77" customFormat="1" ht="13.5" thickBot="1">
      <c r="A141" s="39"/>
      <c r="B141" s="65"/>
      <c r="C141" s="13"/>
    </row>
    <row r="142" spans="1:4" ht="17.25">
      <c r="A142" s="74" t="s">
        <v>189</v>
      </c>
      <c r="B142" s="84" t="s">
        <v>224</v>
      </c>
      <c r="C142" s="99">
        <f>[14]С2!F37</f>
        <v>1.3822747209000001</v>
      </c>
      <c r="D142" s="77"/>
    </row>
    <row r="143" spans="1:4" ht="17.25" customHeight="1" thickBot="1">
      <c r="A143" s="62" t="s">
        <v>190</v>
      </c>
      <c r="B143" s="143" t="s">
        <v>191</v>
      </c>
      <c r="C143" s="143"/>
      <c r="D143" s="77"/>
    </row>
    <row r="144" spans="1:4">
      <c r="A144" s="85"/>
      <c r="B144" s="100" t="s">
        <v>192</v>
      </c>
      <c r="C144" s="101"/>
    </row>
    <row r="145" spans="1:3">
      <c r="A145" s="85"/>
      <c r="B145" s="102">
        <v>2020</v>
      </c>
      <c r="C145" s="103">
        <f>[14]С2.5!$E$11</f>
        <v>-2.9000000000000026E-2</v>
      </c>
    </row>
    <row r="146" spans="1:3">
      <c r="B146" s="102">
        <f>B145+1</f>
        <v>2021</v>
      </c>
      <c r="C146" s="104">
        <f>[14]С2.5!$F$11</f>
        <v>0.245</v>
      </c>
    </row>
    <row r="147" spans="1:3">
      <c r="B147" s="102">
        <f t="shared" ref="B147:B210" si="0">B146+1</f>
        <v>2022</v>
      </c>
      <c r="C147" s="105">
        <f>[14]С2.5!$G$11</f>
        <v>0.121</v>
      </c>
    </row>
    <row r="148" spans="1:3" ht="13.5" thickBot="1">
      <c r="B148" s="86">
        <f t="shared" si="0"/>
        <v>2023</v>
      </c>
      <c r="C148" s="106">
        <f>[14]С2.5!$H$11</f>
        <v>0.02</v>
      </c>
    </row>
    <row r="149" spans="1:3" ht="13.5" hidden="1" thickBot="1">
      <c r="B149" s="86">
        <f t="shared" si="0"/>
        <v>2024</v>
      </c>
      <c r="C149" s="106">
        <f>[14]С2.5!$I$11</f>
        <v>0</v>
      </c>
    </row>
    <row r="150" spans="1:3" ht="13.5" hidden="1" thickBot="1">
      <c r="B150" s="86">
        <f t="shared" si="0"/>
        <v>2025</v>
      </c>
      <c r="C150" s="106">
        <f>[14]С2.5!$J$11</f>
        <v>0</v>
      </c>
    </row>
    <row r="151" spans="1:3" ht="13.5" hidden="1" thickBot="1">
      <c r="B151" s="86">
        <f t="shared" si="0"/>
        <v>2026</v>
      </c>
      <c r="C151" s="106">
        <f>[14]С2.5!$K$11</f>
        <v>0</v>
      </c>
    </row>
    <row r="152" spans="1:3" ht="13.5" hidden="1" thickBot="1">
      <c r="B152" s="86">
        <f t="shared" si="0"/>
        <v>2027</v>
      </c>
      <c r="C152" s="106">
        <f>[14]С2.5!$L$11</f>
        <v>0</v>
      </c>
    </row>
    <row r="153" spans="1:3" ht="13.5" hidden="1" thickBot="1">
      <c r="B153" s="86">
        <f t="shared" si="0"/>
        <v>2028</v>
      </c>
      <c r="C153" s="106">
        <f>[14]С2.5!$M$11</f>
        <v>0</v>
      </c>
    </row>
    <row r="154" spans="1:3" ht="13.5" hidden="1" thickBot="1">
      <c r="B154" s="86">
        <f t="shared" si="0"/>
        <v>2029</v>
      </c>
      <c r="C154" s="106">
        <f>[14]С2.5!$N$11</f>
        <v>0</v>
      </c>
    </row>
    <row r="155" spans="1:3" ht="13.5" hidden="1" thickBot="1">
      <c r="B155" s="86">
        <f t="shared" si="0"/>
        <v>2030</v>
      </c>
      <c r="C155" s="106">
        <f>[14]С2.5!$O$11</f>
        <v>0</v>
      </c>
    </row>
    <row r="156" spans="1:3" ht="13.5" hidden="1" thickBot="1">
      <c r="B156" s="86">
        <f t="shared" si="0"/>
        <v>2031</v>
      </c>
      <c r="C156" s="106">
        <f>[14]С2.5!$P$11</f>
        <v>0</v>
      </c>
    </row>
    <row r="157" spans="1:3" ht="13.5" hidden="1" thickBot="1">
      <c r="B157" s="86">
        <f t="shared" si="0"/>
        <v>2032</v>
      </c>
      <c r="C157" s="106">
        <f>[14]С2.5!$Q$11</f>
        <v>0</v>
      </c>
    </row>
    <row r="158" spans="1:3" ht="13.5" hidden="1" thickBot="1">
      <c r="B158" s="86">
        <f t="shared" si="0"/>
        <v>2033</v>
      </c>
      <c r="C158" s="106">
        <f>[14]С2.5!$R$11</f>
        <v>0</v>
      </c>
    </row>
    <row r="159" spans="1:3" ht="13.5" hidden="1" thickBot="1">
      <c r="B159" s="86">
        <f t="shared" si="0"/>
        <v>2034</v>
      </c>
      <c r="C159" s="106">
        <f>[14]С2.5!$S$11</f>
        <v>0</v>
      </c>
    </row>
    <row r="160" spans="1:3" ht="13.5" hidden="1" thickBot="1">
      <c r="B160" s="86">
        <f t="shared" si="0"/>
        <v>2035</v>
      </c>
      <c r="C160" s="106">
        <f>[14]С2.5!$T$11</f>
        <v>0</v>
      </c>
    </row>
    <row r="161" spans="2:3" ht="13.5" hidden="1" thickBot="1">
      <c r="B161" s="86">
        <f t="shared" si="0"/>
        <v>2036</v>
      </c>
      <c r="C161" s="106">
        <f>[14]С2.5!$U$11</f>
        <v>0</v>
      </c>
    </row>
    <row r="162" spans="2:3" ht="13.5" hidden="1" thickBot="1">
      <c r="B162" s="86">
        <f t="shared" si="0"/>
        <v>2037</v>
      </c>
      <c r="C162" s="106">
        <f>[14]С2.5!$V$11</f>
        <v>0</v>
      </c>
    </row>
    <row r="163" spans="2:3" ht="13.5" hidden="1" thickBot="1">
      <c r="B163" s="86">
        <f t="shared" si="0"/>
        <v>2038</v>
      </c>
      <c r="C163" s="106">
        <f>[14]С2.5!$W$11</f>
        <v>0</v>
      </c>
    </row>
    <row r="164" spans="2:3" ht="13.5" hidden="1" thickBot="1">
      <c r="B164" s="86">
        <f t="shared" si="0"/>
        <v>2039</v>
      </c>
      <c r="C164" s="106">
        <f>[14]С2.5!$X$11</f>
        <v>0</v>
      </c>
    </row>
    <row r="165" spans="2:3" ht="13.5" hidden="1" thickBot="1">
      <c r="B165" s="86">
        <f t="shared" si="0"/>
        <v>2040</v>
      </c>
      <c r="C165" s="106">
        <f>[14]С2.5!$Y$11</f>
        <v>0</v>
      </c>
    </row>
    <row r="166" spans="2:3" ht="13.5" hidden="1" thickBot="1">
      <c r="B166" s="86">
        <f t="shared" si="0"/>
        <v>2041</v>
      </c>
      <c r="C166" s="106">
        <f>[14]С2.5!$Z$11</f>
        <v>0</v>
      </c>
    </row>
    <row r="167" spans="2:3" ht="13.5" hidden="1" thickBot="1">
      <c r="B167" s="86">
        <f t="shared" si="0"/>
        <v>2042</v>
      </c>
      <c r="C167" s="106">
        <f>[14]С2.5!$AA$11</f>
        <v>0</v>
      </c>
    </row>
    <row r="168" spans="2:3" ht="13.5" hidden="1" thickBot="1">
      <c r="B168" s="86">
        <f t="shared" si="0"/>
        <v>2043</v>
      </c>
      <c r="C168" s="106">
        <f>[14]С2.5!$AB$11</f>
        <v>0</v>
      </c>
    </row>
    <row r="169" spans="2:3" ht="13.5" hidden="1" thickBot="1">
      <c r="B169" s="86">
        <f t="shared" si="0"/>
        <v>2044</v>
      </c>
      <c r="C169" s="106">
        <f>[14]С2.5!$AC$11</f>
        <v>0</v>
      </c>
    </row>
    <row r="170" spans="2:3" ht="13.5" hidden="1" thickBot="1">
      <c r="B170" s="86">
        <f t="shared" si="0"/>
        <v>2045</v>
      </c>
      <c r="C170" s="106">
        <f>[14]С2.5!$AD$11</f>
        <v>0</v>
      </c>
    </row>
    <row r="171" spans="2:3" ht="13.5" hidden="1" thickBot="1">
      <c r="B171" s="86">
        <f t="shared" si="0"/>
        <v>2046</v>
      </c>
      <c r="C171" s="106">
        <f>[14]С2.5!$AE$11</f>
        <v>0</v>
      </c>
    </row>
    <row r="172" spans="2:3" ht="13.5" hidden="1" thickBot="1">
      <c r="B172" s="86">
        <f t="shared" si="0"/>
        <v>2047</v>
      </c>
      <c r="C172" s="106">
        <f>[14]С2.5!$AF$11</f>
        <v>0</v>
      </c>
    </row>
    <row r="173" spans="2:3" ht="13.5" hidden="1" thickBot="1">
      <c r="B173" s="86">
        <f t="shared" si="0"/>
        <v>2048</v>
      </c>
      <c r="C173" s="106">
        <f>[14]С2.5!$AG$11</f>
        <v>0</v>
      </c>
    </row>
    <row r="174" spans="2:3" ht="13.5" hidden="1" thickBot="1">
      <c r="B174" s="86">
        <f t="shared" si="0"/>
        <v>2049</v>
      </c>
      <c r="C174" s="106">
        <f>[14]С2.5!$AH$11</f>
        <v>0</v>
      </c>
    </row>
    <row r="175" spans="2:3" ht="13.5" hidden="1" thickBot="1">
      <c r="B175" s="86">
        <f t="shared" si="0"/>
        <v>2050</v>
      </c>
      <c r="C175" s="106">
        <f>[14]С2.5!$AI$11</f>
        <v>0</v>
      </c>
    </row>
    <row r="176" spans="2:3" ht="13.5" hidden="1" thickBot="1">
      <c r="B176" s="86">
        <f t="shared" si="0"/>
        <v>2051</v>
      </c>
      <c r="C176" s="106">
        <f>[14]С2.5!$AJ$11</f>
        <v>0</v>
      </c>
    </row>
    <row r="177" spans="2:3" ht="13.5" hidden="1" thickBot="1">
      <c r="B177" s="86">
        <f t="shared" si="0"/>
        <v>2052</v>
      </c>
      <c r="C177" s="106">
        <f>[14]С2.5!$AK$11</f>
        <v>0</v>
      </c>
    </row>
    <row r="178" spans="2:3" ht="13.5" hidden="1" thickBot="1">
      <c r="B178" s="86">
        <f t="shared" si="0"/>
        <v>2053</v>
      </c>
      <c r="C178" s="106">
        <f>[14]С2.5!$AL$11</f>
        <v>0</v>
      </c>
    </row>
    <row r="179" spans="2:3" ht="13.5" hidden="1" thickBot="1">
      <c r="B179" s="86">
        <f t="shared" si="0"/>
        <v>2054</v>
      </c>
      <c r="C179" s="106">
        <f>[14]С2.5!$AM$11</f>
        <v>0</v>
      </c>
    </row>
    <row r="180" spans="2:3" ht="13.5" hidden="1" thickBot="1">
      <c r="B180" s="86">
        <f t="shared" si="0"/>
        <v>2055</v>
      </c>
      <c r="C180" s="106">
        <f>[14]С2.5!$AN$11</f>
        <v>0</v>
      </c>
    </row>
    <row r="181" spans="2:3" ht="13.5" hidden="1" thickBot="1">
      <c r="B181" s="86">
        <f t="shared" si="0"/>
        <v>2056</v>
      </c>
      <c r="C181" s="106">
        <f>[14]С2.5!$AO$11</f>
        <v>0</v>
      </c>
    </row>
    <row r="182" spans="2:3" ht="13.5" hidden="1" thickBot="1">
      <c r="B182" s="86">
        <f t="shared" si="0"/>
        <v>2057</v>
      </c>
      <c r="C182" s="106">
        <f>[14]С2.5!$AP$11</f>
        <v>0</v>
      </c>
    </row>
    <row r="183" spans="2:3" ht="13.5" hidden="1" thickBot="1">
      <c r="B183" s="86">
        <f t="shared" si="0"/>
        <v>2058</v>
      </c>
      <c r="C183" s="106">
        <f>[14]С2.5!$AQ$11</f>
        <v>0</v>
      </c>
    </row>
    <row r="184" spans="2:3" ht="13.5" hidden="1" thickBot="1">
      <c r="B184" s="86">
        <f t="shared" si="0"/>
        <v>2059</v>
      </c>
      <c r="C184" s="106">
        <f>[14]С2.5!$AR$11</f>
        <v>0</v>
      </c>
    </row>
    <row r="185" spans="2:3" ht="13.5" hidden="1" thickBot="1">
      <c r="B185" s="86">
        <f t="shared" si="0"/>
        <v>2060</v>
      </c>
      <c r="C185" s="106">
        <f>[14]С2.5!$AS$11</f>
        <v>0</v>
      </c>
    </row>
    <row r="186" spans="2:3" ht="13.5" hidden="1" thickBot="1">
      <c r="B186" s="86">
        <f t="shared" si="0"/>
        <v>2061</v>
      </c>
      <c r="C186" s="106">
        <f>[14]С2.5!$AT$11</f>
        <v>0</v>
      </c>
    </row>
    <row r="187" spans="2:3" ht="13.5" hidden="1" thickBot="1">
      <c r="B187" s="86">
        <f t="shared" si="0"/>
        <v>2062</v>
      </c>
      <c r="C187" s="106">
        <f>[14]С2.5!$AU$11</f>
        <v>0</v>
      </c>
    </row>
    <row r="188" spans="2:3" ht="13.5" hidden="1" thickBot="1">
      <c r="B188" s="86">
        <f t="shared" si="0"/>
        <v>2063</v>
      </c>
      <c r="C188" s="106">
        <f>[14]С2.5!$AV$11</f>
        <v>0</v>
      </c>
    </row>
    <row r="189" spans="2:3" ht="13.5" hidden="1" thickBot="1">
      <c r="B189" s="86">
        <f t="shared" si="0"/>
        <v>2064</v>
      </c>
      <c r="C189" s="106">
        <f>[14]С2.5!$AW$11</f>
        <v>0</v>
      </c>
    </row>
    <row r="190" spans="2:3" ht="13.5" hidden="1" thickBot="1">
      <c r="B190" s="86">
        <f t="shared" si="0"/>
        <v>2065</v>
      </c>
      <c r="C190" s="106">
        <f>[14]С2.5!$AX$11</f>
        <v>0</v>
      </c>
    </row>
    <row r="191" spans="2:3" ht="13.5" hidden="1" thickBot="1">
      <c r="B191" s="86">
        <f t="shared" si="0"/>
        <v>2066</v>
      </c>
      <c r="C191" s="106">
        <f>[14]С2.5!$AY$11</f>
        <v>0</v>
      </c>
    </row>
    <row r="192" spans="2:3" ht="13.5" hidden="1" thickBot="1">
      <c r="B192" s="86">
        <f t="shared" si="0"/>
        <v>2067</v>
      </c>
      <c r="C192" s="106">
        <f>[14]С2.5!$AZ$11</f>
        <v>0</v>
      </c>
    </row>
    <row r="193" spans="2:3" ht="13.5" hidden="1" thickBot="1">
      <c r="B193" s="86">
        <f t="shared" si="0"/>
        <v>2068</v>
      </c>
      <c r="C193" s="106">
        <f>[14]С2.5!$BA$11</f>
        <v>0</v>
      </c>
    </row>
    <row r="194" spans="2:3" ht="13.5" hidden="1" thickBot="1">
      <c r="B194" s="86">
        <f t="shared" si="0"/>
        <v>2069</v>
      </c>
      <c r="C194" s="106">
        <f>[14]С2.5!$BB$11</f>
        <v>0</v>
      </c>
    </row>
    <row r="195" spans="2:3" ht="13.5" hidden="1" thickBot="1">
      <c r="B195" s="86">
        <f t="shared" si="0"/>
        <v>2070</v>
      </c>
      <c r="C195" s="106">
        <f>[14]С2.5!$BC$11</f>
        <v>0</v>
      </c>
    </row>
    <row r="196" spans="2:3" ht="13.5" hidden="1" thickBot="1">
      <c r="B196" s="86">
        <f t="shared" si="0"/>
        <v>2071</v>
      </c>
      <c r="C196" s="106">
        <f>[14]С2.5!$BD$11</f>
        <v>0</v>
      </c>
    </row>
    <row r="197" spans="2:3" ht="13.5" hidden="1" thickBot="1">
      <c r="B197" s="86">
        <f t="shared" si="0"/>
        <v>2072</v>
      </c>
      <c r="C197" s="106">
        <f>[14]С2.5!$BE$11</f>
        <v>0</v>
      </c>
    </row>
    <row r="198" spans="2:3" ht="13.5" hidden="1" thickBot="1">
      <c r="B198" s="86">
        <f t="shared" si="0"/>
        <v>2073</v>
      </c>
      <c r="C198" s="106">
        <f>[14]С2.5!$BF$11</f>
        <v>0</v>
      </c>
    </row>
    <row r="199" spans="2:3" ht="13.5" hidden="1" thickBot="1">
      <c r="B199" s="86">
        <f t="shared" si="0"/>
        <v>2074</v>
      </c>
      <c r="C199" s="106">
        <f>[14]С2.5!$BG$11</f>
        <v>0</v>
      </c>
    </row>
    <row r="200" spans="2:3" ht="13.5" hidden="1" thickBot="1">
      <c r="B200" s="86">
        <f t="shared" si="0"/>
        <v>2075</v>
      </c>
      <c r="C200" s="106">
        <f>[14]С2.5!$BH$11</f>
        <v>0</v>
      </c>
    </row>
    <row r="201" spans="2:3" ht="13.5" hidden="1" thickBot="1">
      <c r="B201" s="86">
        <f t="shared" si="0"/>
        <v>2076</v>
      </c>
      <c r="C201" s="106">
        <f>[14]С2.5!$BI$11</f>
        <v>0</v>
      </c>
    </row>
    <row r="202" spans="2:3" ht="13.5" hidden="1" thickBot="1">
      <c r="B202" s="86">
        <f t="shared" si="0"/>
        <v>2077</v>
      </c>
      <c r="C202" s="106">
        <f>[14]С2.5!$BJ$11</f>
        <v>0</v>
      </c>
    </row>
    <row r="203" spans="2:3" ht="13.5" hidden="1" thickBot="1">
      <c r="B203" s="86">
        <f t="shared" si="0"/>
        <v>2078</v>
      </c>
      <c r="C203" s="106">
        <f>[14]С2.5!$BK$11</f>
        <v>0</v>
      </c>
    </row>
    <row r="204" spans="2:3" ht="13.5" hidden="1" thickBot="1">
      <c r="B204" s="86">
        <f t="shared" si="0"/>
        <v>2079</v>
      </c>
      <c r="C204" s="106">
        <f>[14]С2.5!$BL$11</f>
        <v>0</v>
      </c>
    </row>
    <row r="205" spans="2:3" ht="13.5" hidden="1" thickBot="1">
      <c r="B205" s="86">
        <f t="shared" si="0"/>
        <v>2080</v>
      </c>
      <c r="C205" s="106">
        <f>[14]С2.5!$BM$11</f>
        <v>0</v>
      </c>
    </row>
    <row r="206" spans="2:3" ht="13.5" hidden="1" thickBot="1">
      <c r="B206" s="86">
        <f t="shared" si="0"/>
        <v>2081</v>
      </c>
      <c r="C206" s="106">
        <f>[14]С2.5!$BN$11</f>
        <v>0</v>
      </c>
    </row>
    <row r="207" spans="2:3" ht="13.5" hidden="1" thickBot="1">
      <c r="B207" s="86">
        <f t="shared" si="0"/>
        <v>2082</v>
      </c>
      <c r="C207" s="106">
        <f>[14]С2.5!$BO$11</f>
        <v>0</v>
      </c>
    </row>
    <row r="208" spans="2:3" ht="13.5" hidden="1" thickBot="1">
      <c r="B208" s="86">
        <f t="shared" si="0"/>
        <v>2083</v>
      </c>
      <c r="C208" s="106">
        <f>[14]С2.5!$BP$11</f>
        <v>0</v>
      </c>
    </row>
    <row r="209" spans="2:3" ht="13.5" hidden="1" thickBot="1">
      <c r="B209" s="86">
        <f t="shared" si="0"/>
        <v>2084</v>
      </c>
      <c r="C209" s="106">
        <f>[14]С2.5!$BQ$11</f>
        <v>0</v>
      </c>
    </row>
    <row r="210" spans="2:3" ht="13.5" hidden="1" thickBot="1">
      <c r="B210" s="86">
        <f t="shared" si="0"/>
        <v>2085</v>
      </c>
      <c r="C210" s="106">
        <f>[14]С2.5!$BR$11</f>
        <v>0</v>
      </c>
    </row>
    <row r="211" spans="2:3" ht="13.5" hidden="1" thickBot="1">
      <c r="B211" s="86">
        <f t="shared" ref="B211:B224" si="1">B210+1</f>
        <v>2086</v>
      </c>
      <c r="C211" s="106">
        <f>[14]С2.5!$BS$11</f>
        <v>0</v>
      </c>
    </row>
    <row r="212" spans="2:3" ht="13.5" hidden="1" thickBot="1">
      <c r="B212" s="86">
        <f t="shared" si="1"/>
        <v>2087</v>
      </c>
      <c r="C212" s="106">
        <f>[14]С2.5!$BT$11</f>
        <v>0</v>
      </c>
    </row>
    <row r="213" spans="2:3" ht="13.5" hidden="1" thickBot="1">
      <c r="B213" s="86">
        <f t="shared" si="1"/>
        <v>2088</v>
      </c>
      <c r="C213" s="106">
        <f>[14]С2.5!$BU$11</f>
        <v>0</v>
      </c>
    </row>
    <row r="214" spans="2:3" ht="13.5" hidden="1" thickBot="1">
      <c r="B214" s="86">
        <f t="shared" si="1"/>
        <v>2089</v>
      </c>
      <c r="C214" s="106">
        <f>[14]С2.5!$BV$11</f>
        <v>0</v>
      </c>
    </row>
    <row r="215" spans="2:3" ht="13.5" hidden="1" thickBot="1">
      <c r="B215" s="86">
        <f t="shared" si="1"/>
        <v>2090</v>
      </c>
      <c r="C215" s="106">
        <f>[14]С2.5!$BW$11</f>
        <v>0</v>
      </c>
    </row>
    <row r="216" spans="2:3" ht="13.5" hidden="1" thickBot="1">
      <c r="B216" s="86">
        <f t="shared" si="1"/>
        <v>2091</v>
      </c>
      <c r="C216" s="106">
        <f>[14]С2.5!$BX$11</f>
        <v>0</v>
      </c>
    </row>
    <row r="217" spans="2:3" ht="13.5" hidden="1" thickBot="1">
      <c r="B217" s="86">
        <f t="shared" si="1"/>
        <v>2092</v>
      </c>
      <c r="C217" s="106">
        <f>[14]С2.5!$BY$11</f>
        <v>0</v>
      </c>
    </row>
    <row r="218" spans="2:3" ht="13.5" hidden="1" thickBot="1">
      <c r="B218" s="86">
        <f t="shared" si="1"/>
        <v>2093</v>
      </c>
      <c r="C218" s="106">
        <f>[14]С2.5!$BZ$11</f>
        <v>0</v>
      </c>
    </row>
    <row r="219" spans="2:3" ht="13.5" hidden="1" thickBot="1">
      <c r="B219" s="86">
        <f t="shared" si="1"/>
        <v>2094</v>
      </c>
      <c r="C219" s="106">
        <f>[14]С2.5!$CA$11</f>
        <v>0</v>
      </c>
    </row>
    <row r="220" spans="2:3" ht="13.5" hidden="1" thickBot="1">
      <c r="B220" s="86">
        <f t="shared" si="1"/>
        <v>2095</v>
      </c>
      <c r="C220" s="106">
        <f>[14]С2.5!$CB$11</f>
        <v>0</v>
      </c>
    </row>
    <row r="221" spans="2:3" ht="13.5" hidden="1" thickBot="1">
      <c r="B221" s="86">
        <f t="shared" si="1"/>
        <v>2096</v>
      </c>
      <c r="C221" s="106">
        <f>[14]С2.5!$CC$11</f>
        <v>0</v>
      </c>
    </row>
    <row r="222" spans="2:3" ht="13.5" hidden="1" thickBot="1">
      <c r="B222" s="86">
        <f t="shared" si="1"/>
        <v>2097</v>
      </c>
      <c r="C222" s="106">
        <f>[14]С2.5!$CD$11</f>
        <v>0</v>
      </c>
    </row>
    <row r="223" spans="2:3" ht="13.5" hidden="1" thickBot="1">
      <c r="B223" s="86">
        <f t="shared" si="1"/>
        <v>2098</v>
      </c>
      <c r="C223" s="106">
        <f>[14]С2.5!$CE$11</f>
        <v>0</v>
      </c>
    </row>
    <row r="224" spans="2:3" ht="13.5" hidden="1" thickBot="1">
      <c r="B224" s="86">
        <f t="shared" si="1"/>
        <v>2099</v>
      </c>
      <c r="C224" s="106">
        <f>[14]С2.5!$CF$11</f>
        <v>0</v>
      </c>
    </row>
    <row r="225" spans="2:3" ht="13.5" hidden="1" thickBot="1">
      <c r="B225" s="87">
        <f>B162+1</f>
        <v>2038</v>
      </c>
      <c r="C225" s="107" t="e">
        <f>[14]С2.5!#REF!</f>
        <v>#REF!</v>
      </c>
    </row>
    <row r="226" spans="2:3">
      <c r="B226" s="108"/>
      <c r="C226" s="109"/>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61" r:id="rId3" name="Button 1">
              <controlPr defaultSize="0" print="0" autoFill="0" autoPict="0" macro="[14]!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23" sqref="E23"/>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[15]И1!D13</f>
        <v>Субъект Российской Федерации</v>
      </c>
      <c r="C4" s="8" t="str">
        <f>[15]И1!E13</f>
        <v>Новосибирская область</v>
      </c>
    </row>
    <row r="5" spans="1:3" ht="38.25">
      <c r="A5" s="6"/>
      <c r="B5" s="7" t="str">
        <f>[15]И1!D14</f>
        <v>Тип муниципального образования (выберите из списка)</v>
      </c>
      <c r="C5" s="8" t="str">
        <f>[15]И1!E14</f>
        <v>село Старые Карачи, Чановский муниципальный район</v>
      </c>
    </row>
    <row r="6" spans="1:3">
      <c r="A6" s="6"/>
      <c r="B6" s="7" t="str">
        <f>IF([15]И1!E15="","",[15]И1!D15)</f>
        <v/>
      </c>
      <c r="C6" s="8" t="str">
        <f>IF([15]И1!E15="","",[15]И1!E15)</f>
        <v/>
      </c>
    </row>
    <row r="7" spans="1:3">
      <c r="A7" s="6"/>
      <c r="B7" s="7" t="str">
        <f>[15]И1!D16</f>
        <v>Код ОКТМО</v>
      </c>
      <c r="C7" s="9" t="str">
        <f>[15]И1!E16</f>
        <v>50656428101</v>
      </c>
    </row>
    <row r="8" spans="1:3">
      <c r="A8" s="6"/>
      <c r="B8" s="10" t="str">
        <f>[15]И1!D17</f>
        <v>Система теплоснабжения</v>
      </c>
      <c r="C8" s="11">
        <f>[15]И1!E17</f>
        <v>0</v>
      </c>
    </row>
    <row r="9" spans="1:3">
      <c r="A9" s="6"/>
      <c r="B9" s="7" t="str">
        <f>[15]И1!D8</f>
        <v>Период регулирования (i)-й</v>
      </c>
      <c r="C9" s="12">
        <f>[15]И1!E8</f>
        <v>2023</v>
      </c>
    </row>
    <row r="10" spans="1:3">
      <c r="A10" s="6"/>
      <c r="B10" s="7" t="str">
        <f>[15]И1!D9</f>
        <v>Период регулирования (i-1)-й</v>
      </c>
      <c r="C10" s="12">
        <f>[15]И1!E9</f>
        <v>2022</v>
      </c>
    </row>
    <row r="11" spans="1:3">
      <c r="A11" s="6"/>
      <c r="B11" s="7" t="str">
        <f>[15]И1!D10</f>
        <v>Период регулирования (i-2)-й</v>
      </c>
      <c r="C11" s="12">
        <f>[15]И1!E10</f>
        <v>2021</v>
      </c>
    </row>
    <row r="12" spans="1:3">
      <c r="A12" s="6"/>
      <c r="B12" s="7" t="str">
        <f>[15]И1!D11</f>
        <v>Базовый год (б)</v>
      </c>
      <c r="C12" s="12">
        <f>[15]И1!E11</f>
        <v>2019</v>
      </c>
    </row>
    <row r="13" spans="1:3" ht="38.25">
      <c r="A13" s="6"/>
      <c r="B13" s="7" t="str">
        <f>[15]И1!D18</f>
        <v>Вид топлива, использование которого преобладает в системе теплоснабжения</v>
      </c>
      <c r="C13" s="13" t="str">
        <f>[15]С1.1!E13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4127.0394041479103</v>
      </c>
    </row>
    <row r="18" spans="1:3" ht="42.75">
      <c r="A18" s="16" t="s">
        <v>7</v>
      </c>
      <c r="B18" s="19" t="s">
        <v>8</v>
      </c>
      <c r="C18" s="20">
        <f>[15]С1!F12</f>
        <v>1021.9923627111275</v>
      </c>
    </row>
    <row r="19" spans="1:3" ht="42.75">
      <c r="A19" s="16" t="s">
        <v>9</v>
      </c>
      <c r="B19" s="19" t="s">
        <v>10</v>
      </c>
      <c r="C19" s="20">
        <f>[15]С2!F12</f>
        <v>2104.1852054273977</v>
      </c>
    </row>
    <row r="20" spans="1:3" ht="30">
      <c r="A20" s="16" t="s">
        <v>11</v>
      </c>
      <c r="B20" s="19" t="s">
        <v>12</v>
      </c>
      <c r="C20" s="20">
        <f>[15]С3!F12</f>
        <v>503.33593794803642</v>
      </c>
    </row>
    <row r="21" spans="1:3" ht="42.75">
      <c r="A21" s="16" t="s">
        <v>13</v>
      </c>
      <c r="B21" s="19" t="s">
        <v>226</v>
      </c>
      <c r="C21" s="20">
        <f>[15]С4!F12</f>
        <v>416.60355680354616</v>
      </c>
    </row>
    <row r="22" spans="1:3" ht="30">
      <c r="A22" s="16" t="s">
        <v>14</v>
      </c>
      <c r="B22" s="19" t="s">
        <v>227</v>
      </c>
      <c r="C22" s="20">
        <f>[15]С5!F12</f>
        <v>80.922341257802159</v>
      </c>
    </row>
    <row r="23" spans="1:3" ht="43.5" thickBot="1">
      <c r="A23" s="21" t="s">
        <v>15</v>
      </c>
      <c r="B23" s="111" t="s">
        <v>228</v>
      </c>
      <c r="C23" s="22" t="str">
        <f>[15]С6!F12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[15]С1.1!E16</f>
        <v>5100</v>
      </c>
    </row>
    <row r="29" spans="1:3" ht="42.75">
      <c r="A29" s="16" t="s">
        <v>9</v>
      </c>
      <c r="B29" s="27" t="s">
        <v>230</v>
      </c>
      <c r="C29" s="28">
        <f>[15]С1.1!E27</f>
        <v>2747.9666666666667</v>
      </c>
    </row>
    <row r="30" spans="1:3" ht="17.25">
      <c r="A30" s="16" t="s">
        <v>11</v>
      </c>
      <c r="B30" s="27" t="s">
        <v>17</v>
      </c>
      <c r="C30" s="29">
        <f>[15]С1.1!E19</f>
        <v>0.59499999999999997</v>
      </c>
    </row>
    <row r="31" spans="1:3" ht="17.25">
      <c r="A31" s="16" t="s">
        <v>13</v>
      </c>
      <c r="B31" s="27" t="s">
        <v>18</v>
      </c>
      <c r="C31" s="29">
        <f>[15]С1.1!E20</f>
        <v>-0.113</v>
      </c>
    </row>
    <row r="32" spans="1:3" ht="30">
      <c r="A32" s="16" t="s">
        <v>14</v>
      </c>
      <c r="B32" s="30" t="s">
        <v>231</v>
      </c>
      <c r="C32" s="118">
        <f>[15]С1!F13</f>
        <v>176.4</v>
      </c>
    </row>
    <row r="33" spans="1:3">
      <c r="A33" s="16" t="s">
        <v>15</v>
      </c>
      <c r="B33" s="30" t="s">
        <v>19</v>
      </c>
      <c r="C33" s="31">
        <f>[15]С1!F16</f>
        <v>7000</v>
      </c>
    </row>
    <row r="34" spans="1:3" ht="14.25">
      <c r="A34" s="16" t="s">
        <v>20</v>
      </c>
      <c r="B34" s="32" t="s">
        <v>232</v>
      </c>
      <c r="C34" s="33">
        <f>[15]С1!F17</f>
        <v>0.72857142857142854</v>
      </c>
    </row>
    <row r="35" spans="1:3" ht="15.75">
      <c r="A35" s="119" t="s">
        <v>21</v>
      </c>
      <c r="B35" s="34" t="s">
        <v>22</v>
      </c>
      <c r="C35" s="33">
        <f>[15]С1!F20</f>
        <v>21.588411179999994</v>
      </c>
    </row>
    <row r="36" spans="1:3" ht="15.75">
      <c r="A36" s="119" t="s">
        <v>23</v>
      </c>
      <c r="B36" s="35" t="s">
        <v>24</v>
      </c>
      <c r="C36" s="33">
        <f>[15]С1!F21</f>
        <v>20.818139999999996</v>
      </c>
    </row>
    <row r="37" spans="1:3" ht="14.25">
      <c r="A37" s="119" t="s">
        <v>25</v>
      </c>
      <c r="B37" s="36" t="s">
        <v>26</v>
      </c>
      <c r="C37" s="33">
        <f>[15]С1!F22</f>
        <v>1.0369999999999999</v>
      </c>
    </row>
    <row r="38" spans="1:3" ht="53.25" thickBot="1">
      <c r="A38" s="21" t="s">
        <v>27</v>
      </c>
      <c r="B38" s="37" t="s">
        <v>28</v>
      </c>
      <c r="C38" s="38">
        <f>[15]С1!F23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[15]С2.1!E12</f>
        <v>V</v>
      </c>
    </row>
    <row r="42" spans="1:3" ht="25.5">
      <c r="A42" s="16" t="s">
        <v>33</v>
      </c>
      <c r="B42" s="27" t="s">
        <v>34</v>
      </c>
      <c r="C42" s="41" t="str">
        <f>[15]С2.1!E13</f>
        <v>6 и менее баллов</v>
      </c>
    </row>
    <row r="43" spans="1:3" ht="25.5">
      <c r="A43" s="16" t="s">
        <v>35</v>
      </c>
      <c r="B43" s="27" t="s">
        <v>233</v>
      </c>
      <c r="C43" s="41" t="str">
        <f>[15]С2.1!E14</f>
        <v>от 200 до 500</v>
      </c>
    </row>
    <row r="44" spans="1:3" ht="25.5">
      <c r="A44" s="16" t="s">
        <v>36</v>
      </c>
      <c r="B44" s="27" t="s">
        <v>234</v>
      </c>
      <c r="C44" s="42" t="str">
        <f>[15]С2.1!E15</f>
        <v>нет</v>
      </c>
    </row>
    <row r="45" spans="1:3" ht="30">
      <c r="A45" s="16" t="s">
        <v>37</v>
      </c>
      <c r="B45" s="27" t="s">
        <v>38</v>
      </c>
      <c r="C45" s="28">
        <f>[15]С2!F18</f>
        <v>32402.627334033532</v>
      </c>
    </row>
    <row r="46" spans="1:3" ht="30">
      <c r="A46" s="16" t="s">
        <v>39</v>
      </c>
      <c r="B46" s="43" t="s">
        <v>40</v>
      </c>
      <c r="C46" s="28">
        <f>IF([15]С2!F19&gt;0,[15]С2!F19,[15]С2!F20)</f>
        <v>23441.524932855718</v>
      </c>
    </row>
    <row r="47" spans="1:3" ht="25.5">
      <c r="A47" s="16" t="s">
        <v>41</v>
      </c>
      <c r="B47" s="44" t="s">
        <v>42</v>
      </c>
      <c r="C47" s="28">
        <f>[15]С2.1!E19</f>
        <v>-38</v>
      </c>
    </row>
    <row r="48" spans="1:3" ht="25.5">
      <c r="A48" s="16" t="s">
        <v>43</v>
      </c>
      <c r="B48" s="44" t="s">
        <v>44</v>
      </c>
      <c r="C48" s="28" t="str">
        <f>[15]С2.1!E22</f>
        <v>нет</v>
      </c>
    </row>
    <row r="49" spans="1:3" ht="38.25">
      <c r="A49" s="16" t="s">
        <v>45</v>
      </c>
      <c r="B49" s="45" t="s">
        <v>46</v>
      </c>
      <c r="C49" s="28">
        <f>[15]С2.2!E10</f>
        <v>1287</v>
      </c>
    </row>
    <row r="50" spans="1:3" ht="25.5">
      <c r="A50" s="16" t="s">
        <v>47</v>
      </c>
      <c r="B50" s="46" t="s">
        <v>48</v>
      </c>
      <c r="C50" s="28">
        <f>[15]С2.2!E12</f>
        <v>5.97</v>
      </c>
    </row>
    <row r="51" spans="1:3" ht="52.5">
      <c r="A51" s="16" t="s">
        <v>49</v>
      </c>
      <c r="B51" s="47" t="s">
        <v>50</v>
      </c>
      <c r="C51" s="28">
        <f>[15]С2.2!E13</f>
        <v>1</v>
      </c>
    </row>
    <row r="52" spans="1:3" ht="27.75">
      <c r="A52" s="16" t="s">
        <v>51</v>
      </c>
      <c r="B52" s="46" t="s">
        <v>52</v>
      </c>
      <c r="C52" s="28">
        <f>[15]С2.2!E14</f>
        <v>12104</v>
      </c>
    </row>
    <row r="53" spans="1:3" ht="25.5">
      <c r="A53" s="16" t="s">
        <v>53</v>
      </c>
      <c r="B53" s="47" t="s">
        <v>54</v>
      </c>
      <c r="C53" s="29">
        <f>[15]С2.2!E15</f>
        <v>4.8000000000000001E-2</v>
      </c>
    </row>
    <row r="54" spans="1:3">
      <c r="A54" s="16" t="s">
        <v>55</v>
      </c>
      <c r="B54" s="47" t="s">
        <v>56</v>
      </c>
      <c r="C54" s="28">
        <f>[15]С2.2!E16</f>
        <v>1</v>
      </c>
    </row>
    <row r="55" spans="1:3" ht="15.75">
      <c r="A55" s="16" t="s">
        <v>57</v>
      </c>
      <c r="B55" s="48" t="s">
        <v>58</v>
      </c>
      <c r="C55" s="28">
        <f>[15]С2!F21</f>
        <v>1</v>
      </c>
    </row>
    <row r="56" spans="1:3" ht="30">
      <c r="A56" s="49" t="s">
        <v>59</v>
      </c>
      <c r="B56" s="27" t="s">
        <v>235</v>
      </c>
      <c r="C56" s="28">
        <f>[15]С2!F13</f>
        <v>169640.22915965237</v>
      </c>
    </row>
    <row r="57" spans="1:3" ht="30">
      <c r="A57" s="49" t="s">
        <v>60</v>
      </c>
      <c r="B57" s="48" t="s">
        <v>236</v>
      </c>
      <c r="C57" s="28">
        <f>[15]С2!F14</f>
        <v>113455</v>
      </c>
    </row>
    <row r="58" spans="1:3" ht="15.75">
      <c r="A58" s="49" t="s">
        <v>61</v>
      </c>
      <c r="B58" s="50" t="s">
        <v>62</v>
      </c>
      <c r="C58" s="33">
        <f>[15]С2!F15</f>
        <v>1.071</v>
      </c>
    </row>
    <row r="59" spans="1:3" ht="15.75">
      <c r="A59" s="49" t="s">
        <v>63</v>
      </c>
      <c r="B59" s="50" t="s">
        <v>64</v>
      </c>
      <c r="C59" s="33">
        <f>[15]С2!F16</f>
        <v>1</v>
      </c>
    </row>
    <row r="60" spans="1:3" ht="17.25">
      <c r="A60" s="49" t="s">
        <v>65</v>
      </c>
      <c r="B60" s="48" t="s">
        <v>66</v>
      </c>
      <c r="C60" s="28">
        <f>[15]С2!F17</f>
        <v>1.01</v>
      </c>
    </row>
    <row r="61" spans="1:3" s="53" customFormat="1" ht="14.25">
      <c r="A61" s="49" t="s">
        <v>67</v>
      </c>
      <c r="B61" s="51" t="s">
        <v>68</v>
      </c>
      <c r="C61" s="52">
        <f>[15]С2!F33</f>
        <v>10</v>
      </c>
    </row>
    <row r="62" spans="1:3" ht="30">
      <c r="A62" s="49" t="s">
        <v>69</v>
      </c>
      <c r="B62" s="54" t="s">
        <v>70</v>
      </c>
      <c r="C62" s="28">
        <f>[15]С2!F26</f>
        <v>911.22846603392293</v>
      </c>
    </row>
    <row r="63" spans="1:3" ht="17.25">
      <c r="A63" s="49" t="s">
        <v>71</v>
      </c>
      <c r="B63" s="43" t="s">
        <v>237</v>
      </c>
      <c r="C63" s="28">
        <f>[15]С2!F27</f>
        <v>0.15695805999999998</v>
      </c>
    </row>
    <row r="64" spans="1:3" ht="17.25">
      <c r="A64" s="49" t="s">
        <v>72</v>
      </c>
      <c r="B64" s="48" t="s">
        <v>238</v>
      </c>
      <c r="C64" s="52">
        <f>[15]С2!F28</f>
        <v>4200</v>
      </c>
    </row>
    <row r="65" spans="1:3" ht="42.75">
      <c r="A65" s="49" t="s">
        <v>73</v>
      </c>
      <c r="B65" s="27" t="s">
        <v>239</v>
      </c>
      <c r="C65" s="28">
        <f>[15]С2!F22</f>
        <v>35717.748653137714</v>
      </c>
    </row>
    <row r="66" spans="1:3" ht="30">
      <c r="A66" s="49" t="s">
        <v>74</v>
      </c>
      <c r="B66" s="50" t="s">
        <v>240</v>
      </c>
      <c r="C66" s="28">
        <f>[15]С2!F23</f>
        <v>1990</v>
      </c>
    </row>
    <row r="67" spans="1:3" ht="30">
      <c r="A67" s="49" t="s">
        <v>75</v>
      </c>
      <c r="B67" s="43" t="s">
        <v>76</v>
      </c>
      <c r="C67" s="28">
        <f>[15]С2.1!E27</f>
        <v>14307.876789999998</v>
      </c>
    </row>
    <row r="68" spans="1:3" ht="38.25">
      <c r="A68" s="49" t="s">
        <v>77</v>
      </c>
      <c r="B68" s="55" t="s">
        <v>78</v>
      </c>
      <c r="C68" s="42">
        <f>[15]С2.3!E21</f>
        <v>0</v>
      </c>
    </row>
    <row r="69" spans="1:3" ht="25.5">
      <c r="A69" s="49" t="s">
        <v>79</v>
      </c>
      <c r="B69" s="56" t="s">
        <v>80</v>
      </c>
      <c r="C69" s="57">
        <f>[15]С2.3!E11</f>
        <v>9.89</v>
      </c>
    </row>
    <row r="70" spans="1:3" ht="25.5">
      <c r="A70" s="49" t="s">
        <v>81</v>
      </c>
      <c r="B70" s="56" t="s">
        <v>82</v>
      </c>
      <c r="C70" s="52">
        <f>[15]С2.3!E13</f>
        <v>300</v>
      </c>
    </row>
    <row r="71" spans="1:3" ht="25.5">
      <c r="A71" s="49" t="s">
        <v>83</v>
      </c>
      <c r="B71" s="55" t="s">
        <v>84</v>
      </c>
      <c r="C71" s="58">
        <f>IF([15]С2.3!E22&gt;0,[15]С2.3!E22,[15]С2.3!E14)</f>
        <v>61211</v>
      </c>
    </row>
    <row r="72" spans="1:3" ht="38.25">
      <c r="A72" s="49" t="s">
        <v>85</v>
      </c>
      <c r="B72" s="55" t="s">
        <v>86</v>
      </c>
      <c r="C72" s="58">
        <f>IF([15]С2.3!E23&gt;0,[15]С2.3!E23,[15]С2.3!E15)</f>
        <v>45675</v>
      </c>
    </row>
    <row r="73" spans="1:3" ht="30">
      <c r="A73" s="49" t="s">
        <v>87</v>
      </c>
      <c r="B73" s="43" t="s">
        <v>88</v>
      </c>
      <c r="C73" s="28">
        <f>[15]С2.1!E28</f>
        <v>9541.9567200000001</v>
      </c>
    </row>
    <row r="74" spans="1:3" ht="38.25">
      <c r="A74" s="49" t="s">
        <v>89</v>
      </c>
      <c r="B74" s="55" t="s">
        <v>90</v>
      </c>
      <c r="C74" s="42">
        <f>[15]С2.3!E25</f>
        <v>0</v>
      </c>
    </row>
    <row r="75" spans="1:3" ht="25.5">
      <c r="A75" s="49" t="s">
        <v>91</v>
      </c>
      <c r="B75" s="56" t="s">
        <v>92</v>
      </c>
      <c r="C75" s="57">
        <f>[15]С2.3!E12</f>
        <v>0.56000000000000005</v>
      </c>
    </row>
    <row r="76" spans="1:3" ht="25.5">
      <c r="A76" s="49" t="s">
        <v>93</v>
      </c>
      <c r="B76" s="56" t="s">
        <v>82</v>
      </c>
      <c r="C76" s="52">
        <f>[15]С2.3!E13</f>
        <v>300</v>
      </c>
    </row>
    <row r="77" spans="1:3" ht="25.5">
      <c r="A77" s="49" t="s">
        <v>94</v>
      </c>
      <c r="B77" s="59" t="s">
        <v>95</v>
      </c>
      <c r="C77" s="58">
        <f>IF([15]С2.3!E26&gt;0,[15]С2.3!E26,[15]С2.3!E16)</f>
        <v>65637</v>
      </c>
    </row>
    <row r="78" spans="1:3" ht="38.25">
      <c r="A78" s="49" t="s">
        <v>96</v>
      </c>
      <c r="B78" s="59" t="s">
        <v>97</v>
      </c>
      <c r="C78" s="58">
        <f>IF([15]С2.3!E27&gt;0,[15]С2.3!E27,[15]С2.3!E17)</f>
        <v>31684</v>
      </c>
    </row>
    <row r="79" spans="1:3" ht="17.25">
      <c r="A79" s="49" t="s">
        <v>98</v>
      </c>
      <c r="B79" s="27" t="s">
        <v>99</v>
      </c>
      <c r="C79" s="29">
        <f>[15]С2!F29</f>
        <v>0.128978033685065</v>
      </c>
    </row>
    <row r="80" spans="1:3" ht="30">
      <c r="A80" s="49" t="s">
        <v>100</v>
      </c>
      <c r="B80" s="43" t="s">
        <v>101</v>
      </c>
      <c r="C80" s="60">
        <f>[15]С2!F30</f>
        <v>0.11668498168498169</v>
      </c>
    </row>
    <row r="81" spans="1:3" ht="17.25">
      <c r="A81" s="49" t="s">
        <v>102</v>
      </c>
      <c r="B81" s="61" t="s">
        <v>103</v>
      </c>
      <c r="C81" s="29">
        <f>[15]С2!F31</f>
        <v>0.13880000000000001</v>
      </c>
    </row>
    <row r="82" spans="1:3" s="53" customFormat="1" ht="18" thickBot="1">
      <c r="A82" s="62" t="s">
        <v>104</v>
      </c>
      <c r="B82" s="63" t="s">
        <v>105</v>
      </c>
      <c r="C82" s="64">
        <f>[15]С2!F32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[15]С3!F14</f>
        <v>6988.6287956820188</v>
      </c>
    </row>
    <row r="86" spans="1:3" s="53" customFormat="1" ht="42.75">
      <c r="A86" s="67" t="s">
        <v>110</v>
      </c>
      <c r="B86" s="43" t="s">
        <v>111</v>
      </c>
      <c r="C86" s="68">
        <f>[15]С3!F15</f>
        <v>0.2</v>
      </c>
    </row>
    <row r="87" spans="1:3" s="53" customFormat="1" ht="14.25">
      <c r="A87" s="67" t="s">
        <v>112</v>
      </c>
      <c r="B87" s="69" t="s">
        <v>113</v>
      </c>
      <c r="C87" s="52">
        <f>[15]С3!F18</f>
        <v>15</v>
      </c>
    </row>
    <row r="88" spans="1:3" s="53" customFormat="1" ht="17.25">
      <c r="A88" s="67" t="s">
        <v>114</v>
      </c>
      <c r="B88" s="27" t="s">
        <v>115</v>
      </c>
      <c r="C88" s="28">
        <f>[15]С3!F19</f>
        <v>3487.1555421534131</v>
      </c>
    </row>
    <row r="89" spans="1:3" s="53" customFormat="1" ht="55.5">
      <c r="A89" s="67" t="s">
        <v>116</v>
      </c>
      <c r="B89" s="43" t="s">
        <v>117</v>
      </c>
      <c r="C89" s="70">
        <f>[15]С3!F20</f>
        <v>2.1999999999999999E-2</v>
      </c>
    </row>
    <row r="90" spans="1:3" s="53" customFormat="1" ht="14.25">
      <c r="A90" s="67" t="s">
        <v>118</v>
      </c>
      <c r="B90" s="48" t="s">
        <v>68</v>
      </c>
      <c r="C90" s="52">
        <f>[15]С3!F21</f>
        <v>10</v>
      </c>
    </row>
    <row r="91" spans="1:3" s="53" customFormat="1" ht="17.25">
      <c r="A91" s="67" t="s">
        <v>119</v>
      </c>
      <c r="B91" s="27" t="s">
        <v>120</v>
      </c>
      <c r="C91" s="28">
        <f>[15]С3!F22</f>
        <v>2.7336853981017688</v>
      </c>
    </row>
    <row r="92" spans="1:3" s="53" customFormat="1" ht="55.5">
      <c r="A92" s="67" t="s">
        <v>121</v>
      </c>
      <c r="B92" s="43" t="s">
        <v>122</v>
      </c>
      <c r="C92" s="70">
        <f>[15]С3!F23</f>
        <v>3.0000000000000001E-3</v>
      </c>
    </row>
    <row r="93" spans="1:3" s="53" customFormat="1" ht="27.75" thickBot="1">
      <c r="A93" s="71" t="s">
        <v>123</v>
      </c>
      <c r="B93" s="72" t="s">
        <v>241</v>
      </c>
      <c r="C93" s="73">
        <f>[15]С3!F24</f>
        <v>911.22846603392293</v>
      </c>
    </row>
    <row r="94" spans="1:3" ht="13.5" thickBot="1">
      <c r="A94" s="39"/>
      <c r="B94" s="65"/>
      <c r="C94" s="13"/>
    </row>
    <row r="95" spans="1:3" ht="30" customHeight="1">
      <c r="A95" s="74" t="s">
        <v>124</v>
      </c>
      <c r="B95" s="141" t="s">
        <v>125</v>
      </c>
      <c r="C95" s="141"/>
    </row>
    <row r="96" spans="1:3" ht="30">
      <c r="A96" s="49" t="s">
        <v>126</v>
      </c>
      <c r="B96" s="27" t="s">
        <v>242</v>
      </c>
      <c r="C96" s="28">
        <f>[15]С4!F16</f>
        <v>1652.5</v>
      </c>
    </row>
    <row r="97" spans="1:3" ht="30">
      <c r="A97" s="49" t="s">
        <v>127</v>
      </c>
      <c r="B97" s="48" t="s">
        <v>243</v>
      </c>
      <c r="C97" s="28">
        <f>[15]С4!F17</f>
        <v>73547</v>
      </c>
    </row>
    <row r="98" spans="1:3" ht="17.25">
      <c r="A98" s="49" t="s">
        <v>128</v>
      </c>
      <c r="B98" s="48" t="s">
        <v>129</v>
      </c>
      <c r="C98" s="33">
        <f>[15]С4!F18</f>
        <v>0.02</v>
      </c>
    </row>
    <row r="99" spans="1:3" ht="30">
      <c r="A99" s="49" t="s">
        <v>130</v>
      </c>
      <c r="B99" s="48" t="s">
        <v>131</v>
      </c>
      <c r="C99" s="28">
        <f>[15]С4!F19</f>
        <v>12104</v>
      </c>
    </row>
    <row r="100" spans="1:3" ht="31.5">
      <c r="A100" s="49" t="s">
        <v>132</v>
      </c>
      <c r="B100" s="48" t="s">
        <v>133</v>
      </c>
      <c r="C100" s="33">
        <f>[15]С4!F20</f>
        <v>1.4999999999999999E-2</v>
      </c>
    </row>
    <row r="101" spans="1:3" ht="30">
      <c r="A101" s="49" t="s">
        <v>134</v>
      </c>
      <c r="B101" s="27" t="s">
        <v>244</v>
      </c>
      <c r="C101" s="28">
        <f>[15]С4!F21</f>
        <v>1933.1949342509995</v>
      </c>
    </row>
    <row r="102" spans="1:3" ht="24" customHeight="1">
      <c r="A102" s="49" t="s">
        <v>135</v>
      </c>
      <c r="B102" s="43" t="s">
        <v>136</v>
      </c>
      <c r="C102" s="75">
        <f>IF([15]С4.2!F8="да",[15]С4.2!D21,[15]С4.2!D15)</f>
        <v>0</v>
      </c>
    </row>
    <row r="103" spans="1:3" ht="68.25">
      <c r="A103" s="49" t="s">
        <v>137</v>
      </c>
      <c r="B103" s="43" t="s">
        <v>138</v>
      </c>
      <c r="C103" s="28">
        <f>[15]С4!F22</f>
        <v>3.6112641666666665</v>
      </c>
    </row>
    <row r="104" spans="1:3" ht="30">
      <c r="A104" s="49" t="s">
        <v>139</v>
      </c>
      <c r="B104" s="48" t="s">
        <v>245</v>
      </c>
      <c r="C104" s="28">
        <f>[15]С4!F23</f>
        <v>180</v>
      </c>
    </row>
    <row r="105" spans="1:3" ht="14.25">
      <c r="A105" s="49" t="s">
        <v>140</v>
      </c>
      <c r="B105" s="43" t="s">
        <v>141</v>
      </c>
      <c r="C105" s="28">
        <f>[15]С4!F24</f>
        <v>8497.1999999999989</v>
      </c>
    </row>
    <row r="106" spans="1:3" ht="14.25">
      <c r="A106" s="49" t="s">
        <v>142</v>
      </c>
      <c r="B106" s="48" t="s">
        <v>143</v>
      </c>
      <c r="C106" s="33">
        <f>[15]С4!F25</f>
        <v>0.35</v>
      </c>
    </row>
    <row r="107" spans="1:3" ht="17.25">
      <c r="A107" s="49" t="s">
        <v>144</v>
      </c>
      <c r="B107" s="27" t="s">
        <v>145</v>
      </c>
      <c r="C107" s="28">
        <f>[15]С4!F26</f>
        <v>84.541350000000008</v>
      </c>
    </row>
    <row r="108" spans="1:3" ht="25.5">
      <c r="A108" s="49" t="s">
        <v>146</v>
      </c>
      <c r="B108" s="43" t="s">
        <v>78</v>
      </c>
      <c r="C108" s="75">
        <f>[15]С4.3!E16</f>
        <v>0</v>
      </c>
    </row>
    <row r="109" spans="1:3" ht="25.5">
      <c r="A109" s="49" t="s">
        <v>147</v>
      </c>
      <c r="B109" s="43" t="s">
        <v>148</v>
      </c>
      <c r="C109" s="28">
        <f>[15]С4.3!E17</f>
        <v>22.17</v>
      </c>
    </row>
    <row r="110" spans="1:3" ht="38.25">
      <c r="A110" s="49" t="s">
        <v>149</v>
      </c>
      <c r="B110" s="43" t="s">
        <v>90</v>
      </c>
      <c r="C110" s="75">
        <f>[15]С4.3!E18</f>
        <v>0</v>
      </c>
    </row>
    <row r="111" spans="1:3">
      <c r="A111" s="49" t="s">
        <v>150</v>
      </c>
      <c r="B111" s="43" t="s">
        <v>151</v>
      </c>
      <c r="C111" s="28">
        <f>[15]С4.3!E19</f>
        <v>33.29</v>
      </c>
    </row>
    <row r="112" spans="1:3">
      <c r="A112" s="49" t="s">
        <v>152</v>
      </c>
      <c r="B112" s="48" t="s">
        <v>153</v>
      </c>
      <c r="C112" s="28">
        <f>[15]С4.3!E11</f>
        <v>1871</v>
      </c>
    </row>
    <row r="113" spans="1:3">
      <c r="A113" s="49" t="s">
        <v>154</v>
      </c>
      <c r="B113" s="48" t="s">
        <v>155</v>
      </c>
      <c r="C113" s="42">
        <f>[15]С4.3!E12</f>
        <v>1636</v>
      </c>
    </row>
    <row r="114" spans="1:3">
      <c r="A114" s="49" t="s">
        <v>156</v>
      </c>
      <c r="B114" s="48" t="s">
        <v>157</v>
      </c>
      <c r="C114" s="42">
        <f>[15]С4.3!E13</f>
        <v>204</v>
      </c>
    </row>
    <row r="115" spans="1:3" ht="30">
      <c r="A115" s="49" t="s">
        <v>158</v>
      </c>
      <c r="B115" s="27" t="s">
        <v>246</v>
      </c>
      <c r="C115" s="28">
        <f>[15]С4!F27</f>
        <v>998.55949805489831</v>
      </c>
    </row>
    <row r="116" spans="1:3" ht="25.5">
      <c r="A116" s="49" t="s">
        <v>159</v>
      </c>
      <c r="B116" s="43" t="s">
        <v>247</v>
      </c>
      <c r="C116" s="28">
        <f>[15]С4!F28</f>
        <v>766.94277884400788</v>
      </c>
    </row>
    <row r="117" spans="1:3" ht="42.75">
      <c r="A117" s="49" t="s">
        <v>160</v>
      </c>
      <c r="B117" s="43" t="s">
        <v>161</v>
      </c>
      <c r="C117" s="28">
        <f>[15]С4!F29</f>
        <v>231.61671921089041</v>
      </c>
    </row>
    <row r="118" spans="1:3" ht="30">
      <c r="A118" s="49" t="s">
        <v>162</v>
      </c>
      <c r="B118" s="32" t="s">
        <v>163</v>
      </c>
      <c r="C118" s="28">
        <f>[15]С4!F30</f>
        <v>2219.3527831081929</v>
      </c>
    </row>
    <row r="119" spans="1:3" ht="42.75">
      <c r="A119" s="49" t="s">
        <v>248</v>
      </c>
      <c r="B119" s="76" t="s">
        <v>249</v>
      </c>
      <c r="C119" s="28">
        <f>[15]С4!F33</f>
        <v>1506.359287009572</v>
      </c>
    </row>
    <row r="120" spans="1:3" ht="30">
      <c r="A120" s="49" t="s">
        <v>250</v>
      </c>
      <c r="B120" s="122" t="s">
        <v>251</v>
      </c>
      <c r="C120" s="28">
        <f>[15]С4!F35</f>
        <v>17.040680999999999</v>
      </c>
    </row>
    <row r="121" spans="1:3" ht="14.25">
      <c r="A121" s="49" t="s">
        <v>252</v>
      </c>
      <c r="B121" s="46" t="s">
        <v>253</v>
      </c>
      <c r="C121" s="28">
        <f>[15]С4!F36</f>
        <v>14319.9</v>
      </c>
    </row>
    <row r="122" spans="1:3" ht="28.5" thickBot="1">
      <c r="A122" s="62" t="s">
        <v>254</v>
      </c>
      <c r="B122" s="123" t="s">
        <v>255</v>
      </c>
      <c r="C122" s="73">
        <f>[15]С4!F37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[15]С5!F17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[15]С2!F37</f>
        <v>20.818139999999996</v>
      </c>
    </row>
    <row r="136" spans="1:4" ht="14.25">
      <c r="A136" s="49" t="s">
        <v>183</v>
      </c>
      <c r="B136" s="129" t="s">
        <v>184</v>
      </c>
      <c r="C136" s="28">
        <f>[15]С2!F38</f>
        <v>7</v>
      </c>
    </row>
    <row r="137" spans="1:4" ht="17.25">
      <c r="A137" s="49" t="s">
        <v>185</v>
      </c>
      <c r="B137" s="129" t="s">
        <v>186</v>
      </c>
      <c r="C137" s="28">
        <f>[15]С2!F40</f>
        <v>0.97</v>
      </c>
    </row>
    <row r="138" spans="1:4" ht="15" thickBot="1">
      <c r="A138" s="62" t="s">
        <v>187</v>
      </c>
      <c r="B138" s="130" t="s">
        <v>188</v>
      </c>
      <c r="C138" s="38">
        <f>[15]С2!F42</f>
        <v>0.35</v>
      </c>
    </row>
    <row r="139" spans="1:4" s="77" customFormat="1" ht="13.5" thickBot="1">
      <c r="A139" s="39"/>
      <c r="B139" s="65"/>
      <c r="C139" s="13"/>
    </row>
    <row r="140" spans="1:4" ht="30">
      <c r="A140" s="74" t="s">
        <v>189</v>
      </c>
      <c r="B140" s="84" t="s">
        <v>258</v>
      </c>
      <c r="C140" s="131">
        <f>[15]С2!F35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[15]С2.5!$E$11</f>
        <v>-2.9000000000000026E-2</v>
      </c>
      <c r="D143" s="77"/>
    </row>
    <row r="144" spans="1:4">
      <c r="A144" s="85"/>
      <c r="B144" s="86">
        <f>B143+1</f>
        <v>2021</v>
      </c>
      <c r="C144" s="136">
        <f>[15]С2.5!$F$11</f>
        <v>0.245</v>
      </c>
      <c r="D144" s="77"/>
    </row>
    <row r="145" spans="1:4">
      <c r="A145" s="85"/>
      <c r="B145" s="86">
        <f t="shared" ref="B145:B208" si="0">B144+1</f>
        <v>2022</v>
      </c>
      <c r="C145" s="136">
        <f>[15]С2.5!$G$11</f>
        <v>0.121</v>
      </c>
      <c r="D145" s="77"/>
    </row>
    <row r="146" spans="1:4" ht="13.5" thickBot="1">
      <c r="A146" s="85"/>
      <c r="B146" s="87">
        <f t="shared" si="0"/>
        <v>2023</v>
      </c>
      <c r="C146" s="137">
        <f>[15]С2.5!$H$11</f>
        <v>0.02</v>
      </c>
      <c r="D146" s="77"/>
    </row>
    <row r="147" spans="1:4" hidden="1">
      <c r="A147" s="85"/>
      <c r="B147" s="138">
        <f t="shared" si="0"/>
        <v>2024</v>
      </c>
      <c r="C147" s="139">
        <f>[15]С2.5!$I$11</f>
        <v>-2.93E-2</v>
      </c>
      <c r="D147" s="77"/>
    </row>
    <row r="148" spans="1:4" hidden="1">
      <c r="A148" s="85"/>
      <c r="B148" s="86">
        <f t="shared" si="0"/>
        <v>2025</v>
      </c>
      <c r="C148" s="136">
        <f>[15]С2.5!$J$11</f>
        <v>0.21215960863291</v>
      </c>
      <c r="D148" s="77"/>
    </row>
    <row r="149" spans="1:4" hidden="1">
      <c r="A149" s="85"/>
      <c r="B149" s="86">
        <f t="shared" si="0"/>
        <v>2026</v>
      </c>
      <c r="C149" s="136">
        <f>[15]С2.5!$K$11</f>
        <v>3.5813361771260002E-2</v>
      </c>
      <c r="D149" s="77"/>
    </row>
    <row r="150" spans="1:4" hidden="1">
      <c r="A150" s="85"/>
      <c r="B150" s="86">
        <f t="shared" si="0"/>
        <v>2027</v>
      </c>
      <c r="C150" s="136">
        <f>[15]С2.5!$L$11</f>
        <v>3.2682303599220003E-2</v>
      </c>
      <c r="D150" s="77"/>
    </row>
    <row r="151" spans="1:4" hidden="1">
      <c r="A151" s="85"/>
      <c r="B151" s="86">
        <f t="shared" si="0"/>
        <v>2028</v>
      </c>
      <c r="C151" s="136">
        <f>[15]С2.5!$M$11</f>
        <v>0</v>
      </c>
      <c r="D151" s="77"/>
    </row>
    <row r="152" spans="1:4" hidden="1">
      <c r="A152" s="85"/>
      <c r="B152" s="86">
        <f t="shared" si="0"/>
        <v>2029</v>
      </c>
      <c r="C152" s="136">
        <f>[15]С2.5!$N$11</f>
        <v>0</v>
      </c>
      <c r="D152" s="77"/>
    </row>
    <row r="153" spans="1:4" hidden="1">
      <c r="A153" s="85"/>
      <c r="B153" s="86">
        <f t="shared" si="0"/>
        <v>2030</v>
      </c>
      <c r="C153" s="136">
        <f>[15]С2.5!$O$11</f>
        <v>0</v>
      </c>
      <c r="D153" s="77"/>
    </row>
    <row r="154" spans="1:4" hidden="1">
      <c r="A154" s="85"/>
      <c r="B154" s="86">
        <f t="shared" si="0"/>
        <v>2031</v>
      </c>
      <c r="C154" s="136">
        <f>[15]С2.5!$P$11</f>
        <v>0</v>
      </c>
      <c r="D154" s="77"/>
    </row>
    <row r="155" spans="1:4" hidden="1">
      <c r="A155" s="77"/>
      <c r="B155" s="86">
        <f t="shared" si="0"/>
        <v>2032</v>
      </c>
      <c r="C155" s="136">
        <f>[15]С2.5!$Q$11</f>
        <v>0</v>
      </c>
      <c r="D155" s="77"/>
    </row>
    <row r="156" spans="1:4" hidden="1">
      <c r="A156" s="77"/>
      <c r="B156" s="86">
        <f t="shared" si="0"/>
        <v>2033</v>
      </c>
      <c r="C156" s="136">
        <f>[15]С2.5!$R$11</f>
        <v>0</v>
      </c>
      <c r="D156" s="77"/>
    </row>
    <row r="157" spans="1:4" hidden="1">
      <c r="B157" s="86">
        <f t="shared" si="0"/>
        <v>2034</v>
      </c>
      <c r="C157" s="136">
        <f>[15]С2.5!$S$11</f>
        <v>0</v>
      </c>
    </row>
    <row r="158" spans="1:4" hidden="1">
      <c r="B158" s="86">
        <f t="shared" si="0"/>
        <v>2035</v>
      </c>
      <c r="C158" s="136">
        <f>[15]С2.5!$T$11</f>
        <v>0</v>
      </c>
    </row>
    <row r="159" spans="1:4" hidden="1">
      <c r="B159" s="86">
        <f t="shared" si="0"/>
        <v>2036</v>
      </c>
      <c r="C159" s="136">
        <f>[15]С2.5!$U$11</f>
        <v>0</v>
      </c>
    </row>
    <row r="160" spans="1:4" hidden="1">
      <c r="B160" s="86">
        <f t="shared" si="0"/>
        <v>2037</v>
      </c>
      <c r="C160" s="136">
        <f>[15]С2.5!$V$11</f>
        <v>0</v>
      </c>
    </row>
    <row r="161" spans="2:3" hidden="1">
      <c r="B161" s="86">
        <f t="shared" si="0"/>
        <v>2038</v>
      </c>
      <c r="C161" s="136">
        <f>[15]С2.5!$W$11</f>
        <v>0</v>
      </c>
    </row>
    <row r="162" spans="2:3" hidden="1">
      <c r="B162" s="86">
        <f t="shared" si="0"/>
        <v>2039</v>
      </c>
      <c r="C162" s="136">
        <f>[15]С2.5!$X$11</f>
        <v>0</v>
      </c>
    </row>
    <row r="163" spans="2:3" hidden="1">
      <c r="B163" s="86">
        <f t="shared" si="0"/>
        <v>2040</v>
      </c>
      <c r="C163" s="136">
        <f>[15]С2.5!$Y$11</f>
        <v>0</v>
      </c>
    </row>
    <row r="164" spans="2:3" hidden="1">
      <c r="B164" s="86">
        <f t="shared" si="0"/>
        <v>2041</v>
      </c>
      <c r="C164" s="136">
        <f>[15]С2.5!$Z$11</f>
        <v>0</v>
      </c>
    </row>
    <row r="165" spans="2:3" hidden="1">
      <c r="B165" s="86">
        <f t="shared" si="0"/>
        <v>2042</v>
      </c>
      <c r="C165" s="136">
        <f>[15]С2.5!$AA$11</f>
        <v>0</v>
      </c>
    </row>
    <row r="166" spans="2:3" hidden="1">
      <c r="B166" s="86">
        <f t="shared" si="0"/>
        <v>2043</v>
      </c>
      <c r="C166" s="136">
        <f>[15]С2.5!$AB$11</f>
        <v>0</v>
      </c>
    </row>
    <row r="167" spans="2:3" hidden="1">
      <c r="B167" s="86">
        <f t="shared" si="0"/>
        <v>2044</v>
      </c>
      <c r="C167" s="136">
        <f>[15]С2.5!$AC$11</f>
        <v>0</v>
      </c>
    </row>
    <row r="168" spans="2:3" hidden="1">
      <c r="B168" s="86">
        <f t="shared" si="0"/>
        <v>2045</v>
      </c>
      <c r="C168" s="136">
        <f>[15]С2.5!$AD$11</f>
        <v>0</v>
      </c>
    </row>
    <row r="169" spans="2:3" hidden="1">
      <c r="B169" s="86">
        <f t="shared" si="0"/>
        <v>2046</v>
      </c>
      <c r="C169" s="136">
        <f>[15]С2.5!$AE$11</f>
        <v>0</v>
      </c>
    </row>
    <row r="170" spans="2:3" hidden="1">
      <c r="B170" s="86">
        <f t="shared" si="0"/>
        <v>2047</v>
      </c>
      <c r="C170" s="136">
        <f>[15]С2.5!$AF$11</f>
        <v>0</v>
      </c>
    </row>
    <row r="171" spans="2:3" hidden="1">
      <c r="B171" s="86">
        <f t="shared" si="0"/>
        <v>2048</v>
      </c>
      <c r="C171" s="136">
        <f>[15]С2.5!$AG$11</f>
        <v>0</v>
      </c>
    </row>
    <row r="172" spans="2:3" hidden="1">
      <c r="B172" s="86">
        <f t="shared" si="0"/>
        <v>2049</v>
      </c>
      <c r="C172" s="136">
        <f>[15]С2.5!$AH$11</f>
        <v>0</v>
      </c>
    </row>
    <row r="173" spans="2:3" hidden="1">
      <c r="B173" s="86">
        <f t="shared" si="0"/>
        <v>2050</v>
      </c>
      <c r="C173" s="136">
        <f>[15]С2.5!$AI$11</f>
        <v>0</v>
      </c>
    </row>
    <row r="174" spans="2:3" hidden="1">
      <c r="B174" s="86">
        <f t="shared" si="0"/>
        <v>2051</v>
      </c>
      <c r="C174" s="136">
        <f>[15]С2.5!$AJ$11</f>
        <v>0</v>
      </c>
    </row>
    <row r="175" spans="2:3" hidden="1">
      <c r="B175" s="86">
        <f t="shared" si="0"/>
        <v>2052</v>
      </c>
      <c r="C175" s="136">
        <f>[15]С2.5!$AK$11</f>
        <v>0</v>
      </c>
    </row>
    <row r="176" spans="2:3" hidden="1">
      <c r="B176" s="86">
        <f t="shared" si="0"/>
        <v>2053</v>
      </c>
      <c r="C176" s="136">
        <f>[15]С2.5!$AL$11</f>
        <v>0</v>
      </c>
    </row>
    <row r="177" spans="2:3" hidden="1">
      <c r="B177" s="86">
        <f t="shared" si="0"/>
        <v>2054</v>
      </c>
      <c r="C177" s="136">
        <f>[15]С2.5!$AM$11</f>
        <v>0</v>
      </c>
    </row>
    <row r="178" spans="2:3" hidden="1">
      <c r="B178" s="86">
        <f t="shared" si="0"/>
        <v>2055</v>
      </c>
      <c r="C178" s="136">
        <f>[15]С2.5!$AN$11</f>
        <v>0</v>
      </c>
    </row>
    <row r="179" spans="2:3" hidden="1">
      <c r="B179" s="86">
        <f t="shared" si="0"/>
        <v>2056</v>
      </c>
      <c r="C179" s="136">
        <f>[15]С2.5!$AO$11</f>
        <v>0</v>
      </c>
    </row>
    <row r="180" spans="2:3" hidden="1">
      <c r="B180" s="86">
        <f t="shared" si="0"/>
        <v>2057</v>
      </c>
      <c r="C180" s="136">
        <f>[15]С2.5!$AP$11</f>
        <v>0</v>
      </c>
    </row>
    <row r="181" spans="2:3" hidden="1">
      <c r="B181" s="86">
        <f t="shared" si="0"/>
        <v>2058</v>
      </c>
      <c r="C181" s="136">
        <f>[15]С2.5!$AQ$11</f>
        <v>0</v>
      </c>
    </row>
    <row r="182" spans="2:3" hidden="1">
      <c r="B182" s="86">
        <f t="shared" si="0"/>
        <v>2059</v>
      </c>
      <c r="C182" s="136">
        <f>[15]С2.5!$AR$11</f>
        <v>0</v>
      </c>
    </row>
    <row r="183" spans="2:3" hidden="1">
      <c r="B183" s="86">
        <f t="shared" si="0"/>
        <v>2060</v>
      </c>
      <c r="C183" s="136">
        <f>[15]С2.5!$AS$11</f>
        <v>0</v>
      </c>
    </row>
    <row r="184" spans="2:3" hidden="1">
      <c r="B184" s="86">
        <f t="shared" si="0"/>
        <v>2061</v>
      </c>
      <c r="C184" s="136">
        <f>[15]С2.5!$AT$11</f>
        <v>0</v>
      </c>
    </row>
    <row r="185" spans="2:3" hidden="1">
      <c r="B185" s="86">
        <f t="shared" si="0"/>
        <v>2062</v>
      </c>
      <c r="C185" s="136">
        <f>[15]С2.5!$AU$11</f>
        <v>0</v>
      </c>
    </row>
    <row r="186" spans="2:3" hidden="1">
      <c r="B186" s="86">
        <f t="shared" si="0"/>
        <v>2063</v>
      </c>
      <c r="C186" s="136">
        <f>[15]С2.5!$AV$11</f>
        <v>0</v>
      </c>
    </row>
    <row r="187" spans="2:3" hidden="1">
      <c r="B187" s="86">
        <f t="shared" si="0"/>
        <v>2064</v>
      </c>
      <c r="C187" s="136">
        <f>[15]С2.5!$AW$11</f>
        <v>0</v>
      </c>
    </row>
    <row r="188" spans="2:3" hidden="1">
      <c r="B188" s="86">
        <f t="shared" si="0"/>
        <v>2065</v>
      </c>
      <c r="C188" s="136">
        <f>[15]С2.5!$AX$11</f>
        <v>0</v>
      </c>
    </row>
    <row r="189" spans="2:3" hidden="1">
      <c r="B189" s="86">
        <f t="shared" si="0"/>
        <v>2066</v>
      </c>
      <c r="C189" s="136">
        <f>[15]С2.5!$AY$11</f>
        <v>0</v>
      </c>
    </row>
    <row r="190" spans="2:3" hidden="1">
      <c r="B190" s="86">
        <f t="shared" si="0"/>
        <v>2067</v>
      </c>
      <c r="C190" s="136">
        <f>[15]С2.5!$AZ$11</f>
        <v>0</v>
      </c>
    </row>
    <row r="191" spans="2:3" hidden="1">
      <c r="B191" s="86">
        <f t="shared" si="0"/>
        <v>2068</v>
      </c>
      <c r="C191" s="136">
        <f>[15]С2.5!$BA$11</f>
        <v>0</v>
      </c>
    </row>
    <row r="192" spans="2:3" hidden="1">
      <c r="B192" s="86">
        <f t="shared" si="0"/>
        <v>2069</v>
      </c>
      <c r="C192" s="136">
        <f>[15]С2.5!$BB$11</f>
        <v>0</v>
      </c>
    </row>
    <row r="193" spans="2:3" hidden="1">
      <c r="B193" s="86">
        <f t="shared" si="0"/>
        <v>2070</v>
      </c>
      <c r="C193" s="136">
        <f>[15]С2.5!$BC$11</f>
        <v>0</v>
      </c>
    </row>
    <row r="194" spans="2:3" hidden="1">
      <c r="B194" s="86">
        <f t="shared" si="0"/>
        <v>2071</v>
      </c>
      <c r="C194" s="136">
        <f>[15]С2.5!$BD$11</f>
        <v>0</v>
      </c>
    </row>
    <row r="195" spans="2:3" hidden="1">
      <c r="B195" s="86">
        <f t="shared" si="0"/>
        <v>2072</v>
      </c>
      <c r="C195" s="136">
        <f>[15]С2.5!$BE$11</f>
        <v>0</v>
      </c>
    </row>
    <row r="196" spans="2:3" hidden="1">
      <c r="B196" s="86">
        <f t="shared" si="0"/>
        <v>2073</v>
      </c>
      <c r="C196" s="136">
        <f>[15]С2.5!$BF$11</f>
        <v>0</v>
      </c>
    </row>
    <row r="197" spans="2:3" hidden="1">
      <c r="B197" s="86">
        <f t="shared" si="0"/>
        <v>2074</v>
      </c>
      <c r="C197" s="136">
        <f>[15]С2.5!$BG$11</f>
        <v>0</v>
      </c>
    </row>
    <row r="198" spans="2:3" hidden="1">
      <c r="B198" s="86">
        <f t="shared" si="0"/>
        <v>2075</v>
      </c>
      <c r="C198" s="136">
        <f>[15]С2.5!$BH$11</f>
        <v>0</v>
      </c>
    </row>
    <row r="199" spans="2:3" hidden="1">
      <c r="B199" s="86">
        <f t="shared" si="0"/>
        <v>2076</v>
      </c>
      <c r="C199" s="136">
        <f>[15]С2.5!$BI$11</f>
        <v>0</v>
      </c>
    </row>
    <row r="200" spans="2:3" hidden="1">
      <c r="B200" s="86">
        <f t="shared" si="0"/>
        <v>2077</v>
      </c>
      <c r="C200" s="136">
        <f>[15]С2.5!$BJ$11</f>
        <v>0</v>
      </c>
    </row>
    <row r="201" spans="2:3" hidden="1">
      <c r="B201" s="86">
        <f t="shared" si="0"/>
        <v>2078</v>
      </c>
      <c r="C201" s="136">
        <f>[15]С2.5!$BK$11</f>
        <v>0</v>
      </c>
    </row>
    <row r="202" spans="2:3" hidden="1">
      <c r="B202" s="86">
        <f t="shared" si="0"/>
        <v>2079</v>
      </c>
      <c r="C202" s="136">
        <f>[15]С2.5!$BL$11</f>
        <v>0</v>
      </c>
    </row>
    <row r="203" spans="2:3" hidden="1">
      <c r="B203" s="86">
        <f t="shared" si="0"/>
        <v>2080</v>
      </c>
      <c r="C203" s="136">
        <f>[15]С2.5!$BM$11</f>
        <v>0</v>
      </c>
    </row>
    <row r="204" spans="2:3" hidden="1">
      <c r="B204" s="86">
        <f t="shared" si="0"/>
        <v>2081</v>
      </c>
      <c r="C204" s="136">
        <f>[15]С2.5!$BN$11</f>
        <v>0</v>
      </c>
    </row>
    <row r="205" spans="2:3" hidden="1">
      <c r="B205" s="86">
        <f t="shared" si="0"/>
        <v>2082</v>
      </c>
      <c r="C205" s="136">
        <f>[15]С2.5!$BO$11</f>
        <v>0</v>
      </c>
    </row>
    <row r="206" spans="2:3" hidden="1">
      <c r="B206" s="86">
        <f t="shared" si="0"/>
        <v>2083</v>
      </c>
      <c r="C206" s="136">
        <f>[15]С2.5!$BP$11</f>
        <v>0</v>
      </c>
    </row>
    <row r="207" spans="2:3" hidden="1">
      <c r="B207" s="86">
        <f t="shared" si="0"/>
        <v>2084</v>
      </c>
      <c r="C207" s="136">
        <f>[15]С2.5!$BQ$11</f>
        <v>0</v>
      </c>
    </row>
    <row r="208" spans="2:3" hidden="1">
      <c r="B208" s="86">
        <f t="shared" si="0"/>
        <v>2085</v>
      </c>
      <c r="C208" s="136">
        <f>[15]С2.5!$BR$11</f>
        <v>0</v>
      </c>
    </row>
    <row r="209" spans="2:3" hidden="1">
      <c r="B209" s="86">
        <f t="shared" ref="B209:B223" si="1">B208+1</f>
        <v>2086</v>
      </c>
      <c r="C209" s="136">
        <f>[15]С2.5!$BS$11</f>
        <v>0</v>
      </c>
    </row>
    <row r="210" spans="2:3" hidden="1">
      <c r="B210" s="86">
        <f t="shared" si="1"/>
        <v>2087</v>
      </c>
      <c r="C210" s="136">
        <f>[15]С2.5!$BT$11</f>
        <v>0</v>
      </c>
    </row>
    <row r="211" spans="2:3" hidden="1">
      <c r="B211" s="86">
        <f t="shared" si="1"/>
        <v>2088</v>
      </c>
      <c r="C211" s="136">
        <f>[15]С2.5!$BU$11</f>
        <v>0</v>
      </c>
    </row>
    <row r="212" spans="2:3" hidden="1">
      <c r="B212" s="86">
        <f t="shared" si="1"/>
        <v>2089</v>
      </c>
      <c r="C212" s="136">
        <f>[15]С2.5!$BV$11</f>
        <v>0</v>
      </c>
    </row>
    <row r="213" spans="2:3" hidden="1">
      <c r="B213" s="86">
        <f t="shared" si="1"/>
        <v>2090</v>
      </c>
      <c r="C213" s="136">
        <f>[15]С2.5!$BW$11</f>
        <v>0</v>
      </c>
    </row>
    <row r="214" spans="2:3" hidden="1">
      <c r="B214" s="86">
        <f t="shared" si="1"/>
        <v>2091</v>
      </c>
      <c r="C214" s="136">
        <f>[15]С2.5!$BX$11</f>
        <v>0</v>
      </c>
    </row>
    <row r="215" spans="2:3" hidden="1">
      <c r="B215" s="86">
        <f t="shared" si="1"/>
        <v>2092</v>
      </c>
      <c r="C215" s="136">
        <f>[15]С2.5!$BY$11</f>
        <v>0</v>
      </c>
    </row>
    <row r="216" spans="2:3" hidden="1">
      <c r="B216" s="86">
        <f t="shared" si="1"/>
        <v>2093</v>
      </c>
      <c r="C216" s="136">
        <f>[15]С2.5!$BZ$11</f>
        <v>0</v>
      </c>
    </row>
    <row r="217" spans="2:3" hidden="1">
      <c r="B217" s="86">
        <f t="shared" si="1"/>
        <v>2094</v>
      </c>
      <c r="C217" s="136">
        <f>[15]С2.5!$CA$11</f>
        <v>0</v>
      </c>
    </row>
    <row r="218" spans="2:3" hidden="1">
      <c r="B218" s="86">
        <f t="shared" si="1"/>
        <v>2095</v>
      </c>
      <c r="C218" s="136">
        <f>[15]С2.5!$CB$11</f>
        <v>0</v>
      </c>
    </row>
    <row r="219" spans="2:3" hidden="1">
      <c r="B219" s="86">
        <f t="shared" si="1"/>
        <v>2096</v>
      </c>
      <c r="C219" s="136">
        <f>[15]С2.5!$CC$11</f>
        <v>0</v>
      </c>
    </row>
    <row r="220" spans="2:3" hidden="1">
      <c r="B220" s="86">
        <f t="shared" si="1"/>
        <v>2097</v>
      </c>
      <c r="C220" s="136">
        <f>[15]С2.5!$CD$11</f>
        <v>0</v>
      </c>
    </row>
    <row r="221" spans="2:3" hidden="1">
      <c r="B221" s="86">
        <f t="shared" si="1"/>
        <v>2098</v>
      </c>
      <c r="C221" s="136">
        <f>[15]С2.5!$CE$11</f>
        <v>0</v>
      </c>
    </row>
    <row r="222" spans="2:3" hidden="1">
      <c r="B222" s="86">
        <f t="shared" si="1"/>
        <v>2099</v>
      </c>
      <c r="C222" s="136">
        <f>[15]С2.5!$CF$11</f>
        <v>0</v>
      </c>
    </row>
    <row r="223" spans="2:3" ht="13.5" hidden="1" thickBot="1">
      <c r="B223" s="87">
        <f t="shared" si="1"/>
        <v>2100</v>
      </c>
      <c r="C223" s="137">
        <f>[15]С2.5!$CG$11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1985" r:id="rId3"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F23" sqref="F23"/>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[16]И1!D13</f>
        <v>Субъект Российской Федерации</v>
      </c>
      <c r="C4" s="8" t="str">
        <f>[16]И1!E13</f>
        <v>Новосибирская область</v>
      </c>
    </row>
    <row r="5" spans="1:3" ht="25.5">
      <c r="A5" s="6"/>
      <c r="B5" s="7" t="str">
        <f>[16]И1!D14</f>
        <v>Тип муниципального образования (выберите из списка)</v>
      </c>
      <c r="C5" s="8" t="str">
        <f>[16]И1!E14</f>
        <v>село Таган, Чановский муниципальный район</v>
      </c>
    </row>
    <row r="6" spans="1:3">
      <c r="A6" s="6"/>
      <c r="B6" s="7" t="str">
        <f>IF([16]И1!E15="","",[16]И1!D15)</f>
        <v/>
      </c>
      <c r="C6" s="8" t="str">
        <f>IF([16]И1!E15="","",[16]И1!E15)</f>
        <v/>
      </c>
    </row>
    <row r="7" spans="1:3">
      <c r="A7" s="6"/>
      <c r="B7" s="7" t="str">
        <f>[16]И1!D16</f>
        <v>Код ОКТМО</v>
      </c>
      <c r="C7" s="9" t="str">
        <f>[16]И1!E16</f>
        <v>50656431101</v>
      </c>
    </row>
    <row r="8" spans="1:3">
      <c r="A8" s="6"/>
      <c r="B8" s="10" t="str">
        <f>[16]И1!D17</f>
        <v>Система теплоснабжения</v>
      </c>
      <c r="C8" s="11">
        <f>[16]И1!E17</f>
        <v>0</v>
      </c>
    </row>
    <row r="9" spans="1:3">
      <c r="A9" s="6"/>
      <c r="B9" s="7" t="str">
        <f>[16]И1!D8</f>
        <v>Период регулирования (i)-й</v>
      </c>
      <c r="C9" s="12">
        <f>[16]И1!E8</f>
        <v>2023</v>
      </c>
    </row>
    <row r="10" spans="1:3">
      <c r="A10" s="6"/>
      <c r="B10" s="7" t="str">
        <f>[16]И1!D9</f>
        <v>Период регулирования (i-1)-й</v>
      </c>
      <c r="C10" s="12">
        <f>[16]И1!E9</f>
        <v>2022</v>
      </c>
    </row>
    <row r="11" spans="1:3">
      <c r="A11" s="6"/>
      <c r="B11" s="7" t="str">
        <f>[16]И1!D10</f>
        <v>Период регулирования (i-2)-й</v>
      </c>
      <c r="C11" s="12">
        <f>[16]И1!E10</f>
        <v>2021</v>
      </c>
    </row>
    <row r="12" spans="1:3">
      <c r="A12" s="6"/>
      <c r="B12" s="7" t="str">
        <f>[16]И1!D11</f>
        <v>Базовый год (б)</v>
      </c>
      <c r="C12" s="12">
        <f>[16]И1!E11</f>
        <v>2019</v>
      </c>
    </row>
    <row r="13" spans="1:3" ht="38.25">
      <c r="A13" s="6"/>
      <c r="B13" s="7" t="str">
        <f>[16]И1!D18</f>
        <v>Вид топлива, использование которого преобладает в системе теплоснабжения</v>
      </c>
      <c r="C13" s="13" t="str">
        <f>[16]С1.1!E13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4109.0305830285879</v>
      </c>
    </row>
    <row r="18" spans="1:3" ht="42.75">
      <c r="A18" s="16" t="s">
        <v>7</v>
      </c>
      <c r="B18" s="19" t="s">
        <v>8</v>
      </c>
      <c r="C18" s="20">
        <f>[16]С1!F12</f>
        <v>1006.0126910079939</v>
      </c>
    </row>
    <row r="19" spans="1:3" ht="42.75">
      <c r="A19" s="16" t="s">
        <v>9</v>
      </c>
      <c r="B19" s="19" t="s">
        <v>10</v>
      </c>
      <c r="C19" s="20">
        <f>[16]С2!F12</f>
        <v>2104.1852054273977</v>
      </c>
    </row>
    <row r="20" spans="1:3" ht="30">
      <c r="A20" s="16" t="s">
        <v>11</v>
      </c>
      <c r="B20" s="19" t="s">
        <v>12</v>
      </c>
      <c r="C20" s="20">
        <f>[16]С3!F12</f>
        <v>503.33593794803642</v>
      </c>
    </row>
    <row r="21" spans="1:3" ht="42.75">
      <c r="A21" s="16" t="s">
        <v>13</v>
      </c>
      <c r="B21" s="19" t="s">
        <v>226</v>
      </c>
      <c r="C21" s="20">
        <f>[16]С4!F12</f>
        <v>414.92752152695169</v>
      </c>
    </row>
    <row r="22" spans="1:3" ht="30">
      <c r="A22" s="16" t="s">
        <v>14</v>
      </c>
      <c r="B22" s="19" t="s">
        <v>227</v>
      </c>
      <c r="C22" s="20">
        <f>[16]С5!F12</f>
        <v>80.569227118207607</v>
      </c>
    </row>
    <row r="23" spans="1:3" ht="43.5" thickBot="1">
      <c r="A23" s="21" t="s">
        <v>15</v>
      </c>
      <c r="B23" s="111" t="s">
        <v>228</v>
      </c>
      <c r="C23" s="22" t="str">
        <f>[16]С6!F12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[16]С1.1!E16</f>
        <v>5100</v>
      </c>
    </row>
    <row r="29" spans="1:3" ht="42.75">
      <c r="A29" s="16" t="s">
        <v>9</v>
      </c>
      <c r="B29" s="27" t="s">
        <v>230</v>
      </c>
      <c r="C29" s="28">
        <f>[16]С1.1!E27</f>
        <v>2705</v>
      </c>
    </row>
    <row r="30" spans="1:3" ht="17.25">
      <c r="A30" s="16" t="s">
        <v>11</v>
      </c>
      <c r="B30" s="27" t="s">
        <v>17</v>
      </c>
      <c r="C30" s="29">
        <f>[16]С1.1!E19</f>
        <v>0.59499999999999997</v>
      </c>
    </row>
    <row r="31" spans="1:3" ht="17.25">
      <c r="A31" s="16" t="s">
        <v>13</v>
      </c>
      <c r="B31" s="27" t="s">
        <v>18</v>
      </c>
      <c r="C31" s="29">
        <f>[16]С1.1!E20</f>
        <v>-0.113</v>
      </c>
    </row>
    <row r="32" spans="1:3" ht="30">
      <c r="A32" s="16" t="s">
        <v>14</v>
      </c>
      <c r="B32" s="30" t="s">
        <v>231</v>
      </c>
      <c r="C32" s="118">
        <f>[16]С1!F13</f>
        <v>176.4</v>
      </c>
    </row>
    <row r="33" spans="1:3">
      <c r="A33" s="16" t="s">
        <v>15</v>
      </c>
      <c r="B33" s="30" t="s">
        <v>19</v>
      </c>
      <c r="C33" s="31">
        <f>[16]С1!F16</f>
        <v>7000</v>
      </c>
    </row>
    <row r="34" spans="1:3" ht="14.25">
      <c r="A34" s="16" t="s">
        <v>20</v>
      </c>
      <c r="B34" s="32" t="s">
        <v>232</v>
      </c>
      <c r="C34" s="33">
        <f>[16]С1!F17</f>
        <v>0.72857142857142854</v>
      </c>
    </row>
    <row r="35" spans="1:3" ht="15.75">
      <c r="A35" s="119" t="s">
        <v>21</v>
      </c>
      <c r="B35" s="34" t="s">
        <v>22</v>
      </c>
      <c r="C35" s="33">
        <f>[16]С1!F20</f>
        <v>21.588411179999994</v>
      </c>
    </row>
    <row r="36" spans="1:3" ht="15.75">
      <c r="A36" s="119" t="s">
        <v>23</v>
      </c>
      <c r="B36" s="35" t="s">
        <v>24</v>
      </c>
      <c r="C36" s="33">
        <f>[16]С1!F21</f>
        <v>20.818139999999996</v>
      </c>
    </row>
    <row r="37" spans="1:3" ht="14.25">
      <c r="A37" s="119" t="s">
        <v>25</v>
      </c>
      <c r="B37" s="36" t="s">
        <v>26</v>
      </c>
      <c r="C37" s="33">
        <f>[16]С1!F22</f>
        <v>1.0369999999999999</v>
      </c>
    </row>
    <row r="38" spans="1:3" ht="53.25" thickBot="1">
      <c r="A38" s="21" t="s">
        <v>27</v>
      </c>
      <c r="B38" s="37" t="s">
        <v>28</v>
      </c>
      <c r="C38" s="38">
        <f>[16]С1!F23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[16]С2.1!E12</f>
        <v>V</v>
      </c>
    </row>
    <row r="42" spans="1:3" ht="25.5">
      <c r="A42" s="16" t="s">
        <v>33</v>
      </c>
      <c r="B42" s="27" t="s">
        <v>34</v>
      </c>
      <c r="C42" s="41" t="str">
        <f>[16]С2.1!E13</f>
        <v>6 и менее баллов</v>
      </c>
    </row>
    <row r="43" spans="1:3" ht="25.5">
      <c r="A43" s="16" t="s">
        <v>35</v>
      </c>
      <c r="B43" s="27" t="s">
        <v>233</v>
      </c>
      <c r="C43" s="41" t="str">
        <f>[16]С2.1!E14</f>
        <v>от 200 до 500</v>
      </c>
    </row>
    <row r="44" spans="1:3" ht="25.5">
      <c r="A44" s="16" t="s">
        <v>36</v>
      </c>
      <c r="B44" s="27" t="s">
        <v>234</v>
      </c>
      <c r="C44" s="42" t="str">
        <f>[16]С2.1!E15</f>
        <v>нет</v>
      </c>
    </row>
    <row r="45" spans="1:3" ht="30">
      <c r="A45" s="16" t="s">
        <v>37</v>
      </c>
      <c r="B45" s="27" t="s">
        <v>38</v>
      </c>
      <c r="C45" s="28">
        <f>[16]С2!F18</f>
        <v>32402.627334033532</v>
      </c>
    </row>
    <row r="46" spans="1:3" ht="30">
      <c r="A46" s="16" t="s">
        <v>39</v>
      </c>
      <c r="B46" s="43" t="s">
        <v>40</v>
      </c>
      <c r="C46" s="28">
        <f>IF([16]С2!F19&gt;0,[16]С2!F19,[16]С2!F20)</f>
        <v>23441.524932855718</v>
      </c>
    </row>
    <row r="47" spans="1:3" ht="25.5">
      <c r="A47" s="16" t="s">
        <v>41</v>
      </c>
      <c r="B47" s="44" t="s">
        <v>42</v>
      </c>
      <c r="C47" s="28">
        <f>[16]С2.1!E19</f>
        <v>-38</v>
      </c>
    </row>
    <row r="48" spans="1:3" ht="25.5">
      <c r="A48" s="16" t="s">
        <v>43</v>
      </c>
      <c r="B48" s="44" t="s">
        <v>44</v>
      </c>
      <c r="C48" s="28" t="str">
        <f>[16]С2.1!E22</f>
        <v>нет</v>
      </c>
    </row>
    <row r="49" spans="1:3" ht="38.25">
      <c r="A49" s="16" t="s">
        <v>45</v>
      </c>
      <c r="B49" s="45" t="s">
        <v>46</v>
      </c>
      <c r="C49" s="28">
        <f>[16]С2.2!E10</f>
        <v>1287</v>
      </c>
    </row>
    <row r="50" spans="1:3" ht="25.5">
      <c r="A50" s="16" t="s">
        <v>47</v>
      </c>
      <c r="B50" s="46" t="s">
        <v>48</v>
      </c>
      <c r="C50" s="28">
        <f>[16]С2.2!E12</f>
        <v>5.97</v>
      </c>
    </row>
    <row r="51" spans="1:3" ht="52.5">
      <c r="A51" s="16" t="s">
        <v>49</v>
      </c>
      <c r="B51" s="47" t="s">
        <v>50</v>
      </c>
      <c r="C51" s="28">
        <f>[16]С2.2!E13</f>
        <v>1</v>
      </c>
    </row>
    <row r="52" spans="1:3" ht="27.75">
      <c r="A52" s="16" t="s">
        <v>51</v>
      </c>
      <c r="B52" s="46" t="s">
        <v>52</v>
      </c>
      <c r="C52" s="28">
        <f>[16]С2.2!E14</f>
        <v>12104</v>
      </c>
    </row>
    <row r="53" spans="1:3" ht="25.5">
      <c r="A53" s="16" t="s">
        <v>53</v>
      </c>
      <c r="B53" s="47" t="s">
        <v>54</v>
      </c>
      <c r="C53" s="29">
        <f>[16]С2.2!E15</f>
        <v>4.8000000000000001E-2</v>
      </c>
    </row>
    <row r="54" spans="1:3">
      <c r="A54" s="16" t="s">
        <v>55</v>
      </c>
      <c r="B54" s="47" t="s">
        <v>56</v>
      </c>
      <c r="C54" s="28">
        <f>[16]С2.2!E16</f>
        <v>1</v>
      </c>
    </row>
    <row r="55" spans="1:3" ht="15.75">
      <c r="A55" s="16" t="s">
        <v>57</v>
      </c>
      <c r="B55" s="48" t="s">
        <v>58</v>
      </c>
      <c r="C55" s="28">
        <f>[16]С2!F21</f>
        <v>1</v>
      </c>
    </row>
    <row r="56" spans="1:3" ht="30">
      <c r="A56" s="49" t="s">
        <v>59</v>
      </c>
      <c r="B56" s="27" t="s">
        <v>235</v>
      </c>
      <c r="C56" s="28">
        <f>[16]С2!F13</f>
        <v>169640.22915965237</v>
      </c>
    </row>
    <row r="57" spans="1:3" ht="30">
      <c r="A57" s="49" t="s">
        <v>60</v>
      </c>
      <c r="B57" s="48" t="s">
        <v>236</v>
      </c>
      <c r="C57" s="28">
        <f>[16]С2!F14</f>
        <v>113455</v>
      </c>
    </row>
    <row r="58" spans="1:3" ht="15.75">
      <c r="A58" s="49" t="s">
        <v>61</v>
      </c>
      <c r="B58" s="50" t="s">
        <v>62</v>
      </c>
      <c r="C58" s="33">
        <f>[16]С2!F15</f>
        <v>1.071</v>
      </c>
    </row>
    <row r="59" spans="1:3" ht="15.75">
      <c r="A59" s="49" t="s">
        <v>63</v>
      </c>
      <c r="B59" s="50" t="s">
        <v>64</v>
      </c>
      <c r="C59" s="33">
        <f>[16]С2!F16</f>
        <v>1</v>
      </c>
    </row>
    <row r="60" spans="1:3" ht="17.25">
      <c r="A60" s="49" t="s">
        <v>65</v>
      </c>
      <c r="B60" s="48" t="s">
        <v>66</v>
      </c>
      <c r="C60" s="28">
        <f>[16]С2!F17</f>
        <v>1.01</v>
      </c>
    </row>
    <row r="61" spans="1:3" s="53" customFormat="1" ht="14.25">
      <c r="A61" s="49" t="s">
        <v>67</v>
      </c>
      <c r="B61" s="51" t="s">
        <v>68</v>
      </c>
      <c r="C61" s="52">
        <f>[16]С2!F33</f>
        <v>10</v>
      </c>
    </row>
    <row r="62" spans="1:3" ht="30">
      <c r="A62" s="49" t="s">
        <v>69</v>
      </c>
      <c r="B62" s="54" t="s">
        <v>70</v>
      </c>
      <c r="C62" s="28">
        <f>[16]С2!F26</f>
        <v>911.22846603392293</v>
      </c>
    </row>
    <row r="63" spans="1:3" ht="17.25">
      <c r="A63" s="49" t="s">
        <v>71</v>
      </c>
      <c r="B63" s="43" t="s">
        <v>237</v>
      </c>
      <c r="C63" s="28">
        <f>[16]С2!F27</f>
        <v>0.15695805999999998</v>
      </c>
    </row>
    <row r="64" spans="1:3" ht="17.25">
      <c r="A64" s="49" t="s">
        <v>72</v>
      </c>
      <c r="B64" s="48" t="s">
        <v>238</v>
      </c>
      <c r="C64" s="52">
        <f>[16]С2!F28</f>
        <v>4200</v>
      </c>
    </row>
    <row r="65" spans="1:3" ht="42.75">
      <c r="A65" s="49" t="s">
        <v>73</v>
      </c>
      <c r="B65" s="27" t="s">
        <v>239</v>
      </c>
      <c r="C65" s="28">
        <f>[16]С2!F22</f>
        <v>35717.748653137714</v>
      </c>
    </row>
    <row r="66" spans="1:3" ht="30">
      <c r="A66" s="49" t="s">
        <v>74</v>
      </c>
      <c r="B66" s="50" t="s">
        <v>240</v>
      </c>
      <c r="C66" s="28">
        <f>[16]С2!F23</f>
        <v>1990</v>
      </c>
    </row>
    <row r="67" spans="1:3" ht="30">
      <c r="A67" s="49" t="s">
        <v>75</v>
      </c>
      <c r="B67" s="43" t="s">
        <v>76</v>
      </c>
      <c r="C67" s="28">
        <f>[16]С2.1!E27</f>
        <v>14307.876789999998</v>
      </c>
    </row>
    <row r="68" spans="1:3" ht="38.25">
      <c r="A68" s="49" t="s">
        <v>77</v>
      </c>
      <c r="B68" s="55" t="s">
        <v>78</v>
      </c>
      <c r="C68" s="42">
        <f>[16]С2.3!E21</f>
        <v>0</v>
      </c>
    </row>
    <row r="69" spans="1:3" ht="25.5">
      <c r="A69" s="49" t="s">
        <v>79</v>
      </c>
      <c r="B69" s="56" t="s">
        <v>80</v>
      </c>
      <c r="C69" s="57">
        <f>[16]С2.3!E11</f>
        <v>9.89</v>
      </c>
    </row>
    <row r="70" spans="1:3" ht="25.5">
      <c r="A70" s="49" t="s">
        <v>81</v>
      </c>
      <c r="B70" s="56" t="s">
        <v>82</v>
      </c>
      <c r="C70" s="52">
        <f>[16]С2.3!E13</f>
        <v>300</v>
      </c>
    </row>
    <row r="71" spans="1:3" ht="25.5">
      <c r="A71" s="49" t="s">
        <v>83</v>
      </c>
      <c r="B71" s="55" t="s">
        <v>84</v>
      </c>
      <c r="C71" s="58">
        <f>IF([16]С2.3!E22&gt;0,[16]С2.3!E22,[16]С2.3!E14)</f>
        <v>61211</v>
      </c>
    </row>
    <row r="72" spans="1:3" ht="38.25">
      <c r="A72" s="49" t="s">
        <v>85</v>
      </c>
      <c r="B72" s="55" t="s">
        <v>86</v>
      </c>
      <c r="C72" s="58">
        <f>IF([16]С2.3!E23&gt;0,[16]С2.3!E23,[16]С2.3!E15)</f>
        <v>45675</v>
      </c>
    </row>
    <row r="73" spans="1:3" ht="30">
      <c r="A73" s="49" t="s">
        <v>87</v>
      </c>
      <c r="B73" s="43" t="s">
        <v>88</v>
      </c>
      <c r="C73" s="28">
        <f>[16]С2.1!E28</f>
        <v>9541.9567200000001</v>
      </c>
    </row>
    <row r="74" spans="1:3" ht="38.25">
      <c r="A74" s="49" t="s">
        <v>89</v>
      </c>
      <c r="B74" s="55" t="s">
        <v>90</v>
      </c>
      <c r="C74" s="42">
        <f>[16]С2.3!E25</f>
        <v>0</v>
      </c>
    </row>
    <row r="75" spans="1:3" ht="25.5">
      <c r="A75" s="49" t="s">
        <v>91</v>
      </c>
      <c r="B75" s="56" t="s">
        <v>92</v>
      </c>
      <c r="C75" s="57">
        <f>[16]С2.3!E12</f>
        <v>0.56000000000000005</v>
      </c>
    </row>
    <row r="76" spans="1:3" ht="25.5">
      <c r="A76" s="49" t="s">
        <v>93</v>
      </c>
      <c r="B76" s="56" t="s">
        <v>82</v>
      </c>
      <c r="C76" s="52">
        <f>[16]С2.3!E13</f>
        <v>300</v>
      </c>
    </row>
    <row r="77" spans="1:3" ht="25.5">
      <c r="A77" s="49" t="s">
        <v>94</v>
      </c>
      <c r="B77" s="59" t="s">
        <v>95</v>
      </c>
      <c r="C77" s="58">
        <f>IF([16]С2.3!E26&gt;0,[16]С2.3!E26,[16]С2.3!E16)</f>
        <v>65637</v>
      </c>
    </row>
    <row r="78" spans="1:3" ht="38.25">
      <c r="A78" s="49" t="s">
        <v>96</v>
      </c>
      <c r="B78" s="59" t="s">
        <v>97</v>
      </c>
      <c r="C78" s="58">
        <f>IF([16]С2.3!E27&gt;0,[16]С2.3!E27,[16]С2.3!E17)</f>
        <v>31684</v>
      </c>
    </row>
    <row r="79" spans="1:3" ht="17.25">
      <c r="A79" s="49" t="s">
        <v>98</v>
      </c>
      <c r="B79" s="27" t="s">
        <v>99</v>
      </c>
      <c r="C79" s="29">
        <f>[16]С2!F29</f>
        <v>0.128978033685065</v>
      </c>
    </row>
    <row r="80" spans="1:3" ht="30">
      <c r="A80" s="49" t="s">
        <v>100</v>
      </c>
      <c r="B80" s="43" t="s">
        <v>101</v>
      </c>
      <c r="C80" s="60">
        <f>[16]С2!F30</f>
        <v>0.11668498168498169</v>
      </c>
    </row>
    <row r="81" spans="1:3" ht="17.25">
      <c r="A81" s="49" t="s">
        <v>102</v>
      </c>
      <c r="B81" s="61" t="s">
        <v>103</v>
      </c>
      <c r="C81" s="29">
        <f>[16]С2!F31</f>
        <v>0.13880000000000001</v>
      </c>
    </row>
    <row r="82" spans="1:3" s="53" customFormat="1" ht="18" thickBot="1">
      <c r="A82" s="62" t="s">
        <v>104</v>
      </c>
      <c r="B82" s="63" t="s">
        <v>105</v>
      </c>
      <c r="C82" s="64">
        <f>[16]С2!F32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[16]С3!F14</f>
        <v>6988.6287956820188</v>
      </c>
    </row>
    <row r="86" spans="1:3" s="53" customFormat="1" ht="42.75">
      <c r="A86" s="67" t="s">
        <v>110</v>
      </c>
      <c r="B86" s="43" t="s">
        <v>111</v>
      </c>
      <c r="C86" s="68">
        <f>[16]С3!F15</f>
        <v>0.2</v>
      </c>
    </row>
    <row r="87" spans="1:3" s="53" customFormat="1" ht="14.25">
      <c r="A87" s="67" t="s">
        <v>112</v>
      </c>
      <c r="B87" s="69" t="s">
        <v>113</v>
      </c>
      <c r="C87" s="52">
        <f>[16]С3!F18</f>
        <v>15</v>
      </c>
    </row>
    <row r="88" spans="1:3" s="53" customFormat="1" ht="17.25">
      <c r="A88" s="67" t="s">
        <v>114</v>
      </c>
      <c r="B88" s="27" t="s">
        <v>115</v>
      </c>
      <c r="C88" s="28">
        <f>[16]С3!F19</f>
        <v>3487.1555421534131</v>
      </c>
    </row>
    <row r="89" spans="1:3" s="53" customFormat="1" ht="55.5">
      <c r="A89" s="67" t="s">
        <v>116</v>
      </c>
      <c r="B89" s="43" t="s">
        <v>117</v>
      </c>
      <c r="C89" s="70">
        <f>[16]С3!F20</f>
        <v>2.1999999999999999E-2</v>
      </c>
    </row>
    <row r="90" spans="1:3" s="53" customFormat="1" ht="14.25">
      <c r="A90" s="67" t="s">
        <v>118</v>
      </c>
      <c r="B90" s="48" t="s">
        <v>68</v>
      </c>
      <c r="C90" s="52">
        <f>[16]С3!F21</f>
        <v>10</v>
      </c>
    </row>
    <row r="91" spans="1:3" s="53" customFormat="1" ht="17.25">
      <c r="A91" s="67" t="s">
        <v>119</v>
      </c>
      <c r="B91" s="27" t="s">
        <v>120</v>
      </c>
      <c r="C91" s="28">
        <f>[16]С3!F22</f>
        <v>2.7336853981017688</v>
      </c>
    </row>
    <row r="92" spans="1:3" s="53" customFormat="1" ht="55.5">
      <c r="A92" s="67" t="s">
        <v>121</v>
      </c>
      <c r="B92" s="43" t="s">
        <v>122</v>
      </c>
      <c r="C92" s="70">
        <f>[16]С3!F23</f>
        <v>3.0000000000000001E-3</v>
      </c>
    </row>
    <row r="93" spans="1:3" s="53" customFormat="1" ht="27.75" thickBot="1">
      <c r="A93" s="71" t="s">
        <v>123</v>
      </c>
      <c r="B93" s="72" t="s">
        <v>241</v>
      </c>
      <c r="C93" s="73">
        <f>[16]С3!F24</f>
        <v>911.22846603392293</v>
      </c>
    </row>
    <row r="94" spans="1:3" ht="13.5" thickBot="1">
      <c r="A94" s="39"/>
      <c r="B94" s="65"/>
      <c r="C94" s="13"/>
    </row>
    <row r="95" spans="1:3" ht="30" customHeight="1">
      <c r="A95" s="74" t="s">
        <v>124</v>
      </c>
      <c r="B95" s="141" t="s">
        <v>125</v>
      </c>
      <c r="C95" s="141"/>
    </row>
    <row r="96" spans="1:3" ht="30">
      <c r="A96" s="49" t="s">
        <v>126</v>
      </c>
      <c r="B96" s="27" t="s">
        <v>242</v>
      </c>
      <c r="C96" s="28">
        <f>[16]С4!F16</f>
        <v>1652.5</v>
      </c>
    </row>
    <row r="97" spans="1:3" ht="30">
      <c r="A97" s="49" t="s">
        <v>127</v>
      </c>
      <c r="B97" s="48" t="s">
        <v>243</v>
      </c>
      <c r="C97" s="28">
        <f>[16]С4!F17</f>
        <v>73547</v>
      </c>
    </row>
    <row r="98" spans="1:3" ht="17.25">
      <c r="A98" s="49" t="s">
        <v>128</v>
      </c>
      <c r="B98" s="48" t="s">
        <v>129</v>
      </c>
      <c r="C98" s="33">
        <f>[16]С4!F18</f>
        <v>0.02</v>
      </c>
    </row>
    <row r="99" spans="1:3" ht="30">
      <c r="A99" s="49" t="s">
        <v>130</v>
      </c>
      <c r="B99" s="48" t="s">
        <v>131</v>
      </c>
      <c r="C99" s="28">
        <f>[16]С4!F19</f>
        <v>12104</v>
      </c>
    </row>
    <row r="100" spans="1:3" ht="31.5">
      <c r="A100" s="49" t="s">
        <v>132</v>
      </c>
      <c r="B100" s="48" t="s">
        <v>133</v>
      </c>
      <c r="C100" s="33">
        <f>[16]С4!F20</f>
        <v>1.4999999999999999E-2</v>
      </c>
    </row>
    <row r="101" spans="1:3" ht="30">
      <c r="A101" s="49" t="s">
        <v>134</v>
      </c>
      <c r="B101" s="27" t="s">
        <v>244</v>
      </c>
      <c r="C101" s="28">
        <f>[16]С4!F21</f>
        <v>1933.1949342509995</v>
      </c>
    </row>
    <row r="102" spans="1:3" ht="24" customHeight="1">
      <c r="A102" s="49" t="s">
        <v>135</v>
      </c>
      <c r="B102" s="43" t="s">
        <v>136</v>
      </c>
      <c r="C102" s="75">
        <f>IF([16]С4.2!F8="да",[16]С4.2!D21,[16]С4.2!D15)</f>
        <v>0</v>
      </c>
    </row>
    <row r="103" spans="1:3" ht="68.25">
      <c r="A103" s="49" t="s">
        <v>137</v>
      </c>
      <c r="B103" s="43" t="s">
        <v>138</v>
      </c>
      <c r="C103" s="28">
        <f>[16]С4!F22</f>
        <v>3.6112641666666665</v>
      </c>
    </row>
    <row r="104" spans="1:3" ht="30">
      <c r="A104" s="49" t="s">
        <v>139</v>
      </c>
      <c r="B104" s="48" t="s">
        <v>245</v>
      </c>
      <c r="C104" s="28">
        <f>[16]С4!F23</f>
        <v>180</v>
      </c>
    </row>
    <row r="105" spans="1:3" ht="14.25">
      <c r="A105" s="49" t="s">
        <v>140</v>
      </c>
      <c r="B105" s="43" t="s">
        <v>141</v>
      </c>
      <c r="C105" s="28">
        <f>[16]С4!F24</f>
        <v>8497.1999999999989</v>
      </c>
    </row>
    <row r="106" spans="1:3" ht="14.25">
      <c r="A106" s="49" t="s">
        <v>142</v>
      </c>
      <c r="B106" s="48" t="s">
        <v>143</v>
      </c>
      <c r="C106" s="33">
        <f>[16]С4!F25</f>
        <v>0.35</v>
      </c>
    </row>
    <row r="107" spans="1:3" ht="17.25">
      <c r="A107" s="49" t="s">
        <v>144</v>
      </c>
      <c r="B107" s="27" t="s">
        <v>145</v>
      </c>
      <c r="C107" s="28">
        <f>[16]С4!F26</f>
        <v>76.545389999999998</v>
      </c>
    </row>
    <row r="108" spans="1:3" ht="25.5">
      <c r="A108" s="49" t="s">
        <v>146</v>
      </c>
      <c r="B108" s="43" t="s">
        <v>78</v>
      </c>
      <c r="C108" s="75">
        <f>[16]С4.3!E16</f>
        <v>0</v>
      </c>
    </row>
    <row r="109" spans="1:3" ht="25.5">
      <c r="A109" s="49" t="s">
        <v>147</v>
      </c>
      <c r="B109" s="43" t="s">
        <v>148</v>
      </c>
      <c r="C109" s="28">
        <f>[16]С4.3!E17</f>
        <v>19.89</v>
      </c>
    </row>
    <row r="110" spans="1:3" ht="38.25">
      <c r="A110" s="49" t="s">
        <v>149</v>
      </c>
      <c r="B110" s="43" t="s">
        <v>90</v>
      </c>
      <c r="C110" s="75">
        <f>[16]С4.3!E18</f>
        <v>0</v>
      </c>
    </row>
    <row r="111" spans="1:3">
      <c r="A111" s="49" t="s">
        <v>150</v>
      </c>
      <c r="B111" s="43" t="s">
        <v>151</v>
      </c>
      <c r="C111" s="28">
        <f>[16]С4.3!E19</f>
        <v>33.29</v>
      </c>
    </row>
    <row r="112" spans="1:3">
      <c r="A112" s="49" t="s">
        <v>152</v>
      </c>
      <c r="B112" s="48" t="s">
        <v>153</v>
      </c>
      <c r="C112" s="28">
        <f>[16]С4.3!E11</f>
        <v>1871</v>
      </c>
    </row>
    <row r="113" spans="1:3">
      <c r="A113" s="49" t="s">
        <v>154</v>
      </c>
      <c r="B113" s="48" t="s">
        <v>155</v>
      </c>
      <c r="C113" s="42">
        <f>[16]С4.3!E12</f>
        <v>1636</v>
      </c>
    </row>
    <row r="114" spans="1:3">
      <c r="A114" s="49" t="s">
        <v>156</v>
      </c>
      <c r="B114" s="48" t="s">
        <v>157</v>
      </c>
      <c r="C114" s="42">
        <f>[16]С4.3!E13</f>
        <v>204</v>
      </c>
    </row>
    <row r="115" spans="1:3" ht="30">
      <c r="A115" s="49" t="s">
        <v>158</v>
      </c>
      <c r="B115" s="27" t="s">
        <v>246</v>
      </c>
      <c r="C115" s="28">
        <f>[16]С4!F27</f>
        <v>998.55949805489831</v>
      </c>
    </row>
    <row r="116" spans="1:3" ht="25.5">
      <c r="A116" s="49" t="s">
        <v>159</v>
      </c>
      <c r="B116" s="43" t="s">
        <v>247</v>
      </c>
      <c r="C116" s="28">
        <f>[16]С4!F28</f>
        <v>766.94277884400788</v>
      </c>
    </row>
    <row r="117" spans="1:3" ht="42.75">
      <c r="A117" s="49" t="s">
        <v>160</v>
      </c>
      <c r="B117" s="43" t="s">
        <v>161</v>
      </c>
      <c r="C117" s="28">
        <f>[16]С4!F29</f>
        <v>231.61671921089041</v>
      </c>
    </row>
    <row r="118" spans="1:3" ht="30">
      <c r="A118" s="49" t="s">
        <v>162</v>
      </c>
      <c r="B118" s="32" t="s">
        <v>163</v>
      </c>
      <c r="C118" s="28">
        <f>[16]С4!F30</f>
        <v>2195.5134594524357</v>
      </c>
    </row>
    <row r="119" spans="1:3" ht="42.75">
      <c r="A119" s="49" t="s">
        <v>248</v>
      </c>
      <c r="B119" s="76" t="s">
        <v>249</v>
      </c>
      <c r="C119" s="28">
        <f>[16]С4!F33</f>
        <v>1483.072594022681</v>
      </c>
    </row>
    <row r="120" spans="1:3" ht="30">
      <c r="A120" s="49" t="s">
        <v>250</v>
      </c>
      <c r="B120" s="122" t="s">
        <v>251</v>
      </c>
      <c r="C120" s="28">
        <f>[16]С4!F35</f>
        <v>17.040680999999999</v>
      </c>
    </row>
    <row r="121" spans="1:3" ht="14.25">
      <c r="A121" s="49" t="s">
        <v>252</v>
      </c>
      <c r="B121" s="46" t="s">
        <v>253</v>
      </c>
      <c r="C121" s="28">
        <f>[16]С4!F36</f>
        <v>14319.9</v>
      </c>
    </row>
    <row r="122" spans="1:3" ht="28.5" thickBot="1">
      <c r="A122" s="62" t="s">
        <v>254</v>
      </c>
      <c r="B122" s="123" t="s">
        <v>255</v>
      </c>
      <c r="C122" s="73">
        <f>[16]С4!F37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[16]С5!F17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[16]С2!F37</f>
        <v>20.818139999999996</v>
      </c>
    </row>
    <row r="136" spans="1:4" ht="14.25">
      <c r="A136" s="49" t="s">
        <v>183</v>
      </c>
      <c r="B136" s="129" t="s">
        <v>184</v>
      </c>
      <c r="C136" s="28">
        <f>[16]С2!F38</f>
        <v>7</v>
      </c>
    </row>
    <row r="137" spans="1:4" ht="17.25">
      <c r="A137" s="49" t="s">
        <v>185</v>
      </c>
      <c r="B137" s="129" t="s">
        <v>186</v>
      </c>
      <c r="C137" s="28">
        <f>[16]С2!F40</f>
        <v>0.97</v>
      </c>
    </row>
    <row r="138" spans="1:4" ht="15" thickBot="1">
      <c r="A138" s="62" t="s">
        <v>187</v>
      </c>
      <c r="B138" s="130" t="s">
        <v>188</v>
      </c>
      <c r="C138" s="38">
        <f>[16]С2!F42</f>
        <v>0.35</v>
      </c>
    </row>
    <row r="139" spans="1:4" s="77" customFormat="1" ht="13.5" thickBot="1">
      <c r="A139" s="39"/>
      <c r="B139" s="65"/>
      <c r="C139" s="13"/>
    </row>
    <row r="140" spans="1:4" ht="30">
      <c r="A140" s="74" t="s">
        <v>189</v>
      </c>
      <c r="B140" s="84" t="s">
        <v>258</v>
      </c>
      <c r="C140" s="131">
        <f>[16]С2!F35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[16]С2.5!$E$11</f>
        <v>-2.9000000000000026E-2</v>
      </c>
      <c r="D143" s="77"/>
    </row>
    <row r="144" spans="1:4">
      <c r="A144" s="85"/>
      <c r="B144" s="86">
        <f>B143+1</f>
        <v>2021</v>
      </c>
      <c r="C144" s="136">
        <f>[16]С2.5!$F$11</f>
        <v>0.245</v>
      </c>
      <c r="D144" s="77"/>
    </row>
    <row r="145" spans="1:4">
      <c r="A145" s="85"/>
      <c r="B145" s="86">
        <f t="shared" ref="B145:B208" si="0">B144+1</f>
        <v>2022</v>
      </c>
      <c r="C145" s="136">
        <f>[16]С2.5!$G$11</f>
        <v>0.121</v>
      </c>
      <c r="D145" s="77"/>
    </row>
    <row r="146" spans="1:4" ht="13.5" thickBot="1">
      <c r="A146" s="85"/>
      <c r="B146" s="87">
        <f t="shared" si="0"/>
        <v>2023</v>
      </c>
      <c r="C146" s="137">
        <f>[16]С2.5!$H$11</f>
        <v>0.02</v>
      </c>
      <c r="D146" s="77"/>
    </row>
    <row r="147" spans="1:4" hidden="1">
      <c r="A147" s="85"/>
      <c r="B147" s="138">
        <f t="shared" si="0"/>
        <v>2024</v>
      </c>
      <c r="C147" s="139">
        <f>[16]С2.5!$I$11</f>
        <v>-2.93E-2</v>
      </c>
      <c r="D147" s="77"/>
    </row>
    <row r="148" spans="1:4" hidden="1">
      <c r="A148" s="85"/>
      <c r="B148" s="86">
        <f t="shared" si="0"/>
        <v>2025</v>
      </c>
      <c r="C148" s="136">
        <f>[16]С2.5!$J$11</f>
        <v>0.21215960863291</v>
      </c>
      <c r="D148" s="77"/>
    </row>
    <row r="149" spans="1:4" hidden="1">
      <c r="A149" s="85"/>
      <c r="B149" s="86">
        <f t="shared" si="0"/>
        <v>2026</v>
      </c>
      <c r="C149" s="136">
        <f>[16]С2.5!$K$11</f>
        <v>3.5813361771260002E-2</v>
      </c>
      <c r="D149" s="77"/>
    </row>
    <row r="150" spans="1:4" hidden="1">
      <c r="A150" s="85"/>
      <c r="B150" s="86">
        <f t="shared" si="0"/>
        <v>2027</v>
      </c>
      <c r="C150" s="136">
        <f>[16]С2.5!$L$11</f>
        <v>3.2682303599220003E-2</v>
      </c>
      <c r="D150" s="77"/>
    </row>
    <row r="151" spans="1:4" hidden="1">
      <c r="A151" s="85"/>
      <c r="B151" s="86">
        <f t="shared" si="0"/>
        <v>2028</v>
      </c>
      <c r="C151" s="136">
        <f>[16]С2.5!$M$11</f>
        <v>0</v>
      </c>
      <c r="D151" s="77"/>
    </row>
    <row r="152" spans="1:4" hidden="1">
      <c r="A152" s="85"/>
      <c r="B152" s="86">
        <f t="shared" si="0"/>
        <v>2029</v>
      </c>
      <c r="C152" s="136">
        <f>[16]С2.5!$N$11</f>
        <v>0</v>
      </c>
      <c r="D152" s="77"/>
    </row>
    <row r="153" spans="1:4" hidden="1">
      <c r="A153" s="85"/>
      <c r="B153" s="86">
        <f t="shared" si="0"/>
        <v>2030</v>
      </c>
      <c r="C153" s="136">
        <f>[16]С2.5!$O$11</f>
        <v>0</v>
      </c>
      <c r="D153" s="77"/>
    </row>
    <row r="154" spans="1:4" hidden="1">
      <c r="A154" s="85"/>
      <c r="B154" s="86">
        <f t="shared" si="0"/>
        <v>2031</v>
      </c>
      <c r="C154" s="136">
        <f>[16]С2.5!$P$11</f>
        <v>0</v>
      </c>
      <c r="D154" s="77"/>
    </row>
    <row r="155" spans="1:4" hidden="1">
      <c r="A155" s="77"/>
      <c r="B155" s="86">
        <f t="shared" si="0"/>
        <v>2032</v>
      </c>
      <c r="C155" s="136">
        <f>[16]С2.5!$Q$11</f>
        <v>0</v>
      </c>
      <c r="D155" s="77"/>
    </row>
    <row r="156" spans="1:4" hidden="1">
      <c r="A156" s="77"/>
      <c r="B156" s="86">
        <f t="shared" si="0"/>
        <v>2033</v>
      </c>
      <c r="C156" s="136">
        <f>[16]С2.5!$R$11</f>
        <v>0</v>
      </c>
      <c r="D156" s="77"/>
    </row>
    <row r="157" spans="1:4" hidden="1">
      <c r="B157" s="86">
        <f t="shared" si="0"/>
        <v>2034</v>
      </c>
      <c r="C157" s="136">
        <f>[16]С2.5!$S$11</f>
        <v>0</v>
      </c>
    </row>
    <row r="158" spans="1:4" hidden="1">
      <c r="B158" s="86">
        <f t="shared" si="0"/>
        <v>2035</v>
      </c>
      <c r="C158" s="136">
        <f>[16]С2.5!$T$11</f>
        <v>0</v>
      </c>
    </row>
    <row r="159" spans="1:4" hidden="1">
      <c r="B159" s="86">
        <f t="shared" si="0"/>
        <v>2036</v>
      </c>
      <c r="C159" s="136">
        <f>[16]С2.5!$U$11</f>
        <v>0</v>
      </c>
    </row>
    <row r="160" spans="1:4" hidden="1">
      <c r="B160" s="86">
        <f t="shared" si="0"/>
        <v>2037</v>
      </c>
      <c r="C160" s="136">
        <f>[16]С2.5!$V$11</f>
        <v>0</v>
      </c>
    </row>
    <row r="161" spans="2:3" hidden="1">
      <c r="B161" s="86">
        <f t="shared" si="0"/>
        <v>2038</v>
      </c>
      <c r="C161" s="136">
        <f>[16]С2.5!$W$11</f>
        <v>0</v>
      </c>
    </row>
    <row r="162" spans="2:3" hidden="1">
      <c r="B162" s="86">
        <f t="shared" si="0"/>
        <v>2039</v>
      </c>
      <c r="C162" s="136">
        <f>[16]С2.5!$X$11</f>
        <v>0</v>
      </c>
    </row>
    <row r="163" spans="2:3" hidden="1">
      <c r="B163" s="86">
        <f t="shared" si="0"/>
        <v>2040</v>
      </c>
      <c r="C163" s="136">
        <f>[16]С2.5!$Y$11</f>
        <v>0</v>
      </c>
    </row>
    <row r="164" spans="2:3" hidden="1">
      <c r="B164" s="86">
        <f t="shared" si="0"/>
        <v>2041</v>
      </c>
      <c r="C164" s="136">
        <f>[16]С2.5!$Z$11</f>
        <v>0</v>
      </c>
    </row>
    <row r="165" spans="2:3" hidden="1">
      <c r="B165" s="86">
        <f t="shared" si="0"/>
        <v>2042</v>
      </c>
      <c r="C165" s="136">
        <f>[16]С2.5!$AA$11</f>
        <v>0</v>
      </c>
    </row>
    <row r="166" spans="2:3" hidden="1">
      <c r="B166" s="86">
        <f t="shared" si="0"/>
        <v>2043</v>
      </c>
      <c r="C166" s="136">
        <f>[16]С2.5!$AB$11</f>
        <v>0</v>
      </c>
    </row>
    <row r="167" spans="2:3" hidden="1">
      <c r="B167" s="86">
        <f t="shared" si="0"/>
        <v>2044</v>
      </c>
      <c r="C167" s="136">
        <f>[16]С2.5!$AC$11</f>
        <v>0</v>
      </c>
    </row>
    <row r="168" spans="2:3" hidden="1">
      <c r="B168" s="86">
        <f t="shared" si="0"/>
        <v>2045</v>
      </c>
      <c r="C168" s="136">
        <f>[16]С2.5!$AD$11</f>
        <v>0</v>
      </c>
    </row>
    <row r="169" spans="2:3" hidden="1">
      <c r="B169" s="86">
        <f t="shared" si="0"/>
        <v>2046</v>
      </c>
      <c r="C169" s="136">
        <f>[16]С2.5!$AE$11</f>
        <v>0</v>
      </c>
    </row>
    <row r="170" spans="2:3" hidden="1">
      <c r="B170" s="86">
        <f t="shared" si="0"/>
        <v>2047</v>
      </c>
      <c r="C170" s="136">
        <f>[16]С2.5!$AF$11</f>
        <v>0</v>
      </c>
    </row>
    <row r="171" spans="2:3" hidden="1">
      <c r="B171" s="86">
        <f t="shared" si="0"/>
        <v>2048</v>
      </c>
      <c r="C171" s="136">
        <f>[16]С2.5!$AG$11</f>
        <v>0</v>
      </c>
    </row>
    <row r="172" spans="2:3" hidden="1">
      <c r="B172" s="86">
        <f t="shared" si="0"/>
        <v>2049</v>
      </c>
      <c r="C172" s="136">
        <f>[16]С2.5!$AH$11</f>
        <v>0</v>
      </c>
    </row>
    <row r="173" spans="2:3" hidden="1">
      <c r="B173" s="86">
        <f t="shared" si="0"/>
        <v>2050</v>
      </c>
      <c r="C173" s="136">
        <f>[16]С2.5!$AI$11</f>
        <v>0</v>
      </c>
    </row>
    <row r="174" spans="2:3" hidden="1">
      <c r="B174" s="86">
        <f t="shared" si="0"/>
        <v>2051</v>
      </c>
      <c r="C174" s="136">
        <f>[16]С2.5!$AJ$11</f>
        <v>0</v>
      </c>
    </row>
    <row r="175" spans="2:3" hidden="1">
      <c r="B175" s="86">
        <f t="shared" si="0"/>
        <v>2052</v>
      </c>
      <c r="C175" s="136">
        <f>[16]С2.5!$AK$11</f>
        <v>0</v>
      </c>
    </row>
    <row r="176" spans="2:3" hidden="1">
      <c r="B176" s="86">
        <f t="shared" si="0"/>
        <v>2053</v>
      </c>
      <c r="C176" s="136">
        <f>[16]С2.5!$AL$11</f>
        <v>0</v>
      </c>
    </row>
    <row r="177" spans="2:3" hidden="1">
      <c r="B177" s="86">
        <f t="shared" si="0"/>
        <v>2054</v>
      </c>
      <c r="C177" s="136">
        <f>[16]С2.5!$AM$11</f>
        <v>0</v>
      </c>
    </row>
    <row r="178" spans="2:3" hidden="1">
      <c r="B178" s="86">
        <f t="shared" si="0"/>
        <v>2055</v>
      </c>
      <c r="C178" s="136">
        <f>[16]С2.5!$AN$11</f>
        <v>0</v>
      </c>
    </row>
    <row r="179" spans="2:3" hidden="1">
      <c r="B179" s="86">
        <f t="shared" si="0"/>
        <v>2056</v>
      </c>
      <c r="C179" s="136">
        <f>[16]С2.5!$AO$11</f>
        <v>0</v>
      </c>
    </row>
    <row r="180" spans="2:3" hidden="1">
      <c r="B180" s="86">
        <f t="shared" si="0"/>
        <v>2057</v>
      </c>
      <c r="C180" s="136">
        <f>[16]С2.5!$AP$11</f>
        <v>0</v>
      </c>
    </row>
    <row r="181" spans="2:3" hidden="1">
      <c r="B181" s="86">
        <f t="shared" si="0"/>
        <v>2058</v>
      </c>
      <c r="C181" s="136">
        <f>[16]С2.5!$AQ$11</f>
        <v>0</v>
      </c>
    </row>
    <row r="182" spans="2:3" hidden="1">
      <c r="B182" s="86">
        <f t="shared" si="0"/>
        <v>2059</v>
      </c>
      <c r="C182" s="136">
        <f>[16]С2.5!$AR$11</f>
        <v>0</v>
      </c>
    </row>
    <row r="183" spans="2:3" hidden="1">
      <c r="B183" s="86">
        <f t="shared" si="0"/>
        <v>2060</v>
      </c>
      <c r="C183" s="136">
        <f>[16]С2.5!$AS$11</f>
        <v>0</v>
      </c>
    </row>
    <row r="184" spans="2:3" hidden="1">
      <c r="B184" s="86">
        <f t="shared" si="0"/>
        <v>2061</v>
      </c>
      <c r="C184" s="136">
        <f>[16]С2.5!$AT$11</f>
        <v>0</v>
      </c>
    </row>
    <row r="185" spans="2:3" hidden="1">
      <c r="B185" s="86">
        <f t="shared" si="0"/>
        <v>2062</v>
      </c>
      <c r="C185" s="136">
        <f>[16]С2.5!$AU$11</f>
        <v>0</v>
      </c>
    </row>
    <row r="186" spans="2:3" hidden="1">
      <c r="B186" s="86">
        <f t="shared" si="0"/>
        <v>2063</v>
      </c>
      <c r="C186" s="136">
        <f>[16]С2.5!$AV$11</f>
        <v>0</v>
      </c>
    </row>
    <row r="187" spans="2:3" hidden="1">
      <c r="B187" s="86">
        <f t="shared" si="0"/>
        <v>2064</v>
      </c>
      <c r="C187" s="136">
        <f>[16]С2.5!$AW$11</f>
        <v>0</v>
      </c>
    </row>
    <row r="188" spans="2:3" hidden="1">
      <c r="B188" s="86">
        <f t="shared" si="0"/>
        <v>2065</v>
      </c>
      <c r="C188" s="136">
        <f>[16]С2.5!$AX$11</f>
        <v>0</v>
      </c>
    </row>
    <row r="189" spans="2:3" hidden="1">
      <c r="B189" s="86">
        <f t="shared" si="0"/>
        <v>2066</v>
      </c>
      <c r="C189" s="136">
        <f>[16]С2.5!$AY$11</f>
        <v>0</v>
      </c>
    </row>
    <row r="190" spans="2:3" hidden="1">
      <c r="B190" s="86">
        <f t="shared" si="0"/>
        <v>2067</v>
      </c>
      <c r="C190" s="136">
        <f>[16]С2.5!$AZ$11</f>
        <v>0</v>
      </c>
    </row>
    <row r="191" spans="2:3" hidden="1">
      <c r="B191" s="86">
        <f t="shared" si="0"/>
        <v>2068</v>
      </c>
      <c r="C191" s="136">
        <f>[16]С2.5!$BA$11</f>
        <v>0</v>
      </c>
    </row>
    <row r="192" spans="2:3" hidden="1">
      <c r="B192" s="86">
        <f t="shared" si="0"/>
        <v>2069</v>
      </c>
      <c r="C192" s="136">
        <f>[16]С2.5!$BB$11</f>
        <v>0</v>
      </c>
    </row>
    <row r="193" spans="2:3" hidden="1">
      <c r="B193" s="86">
        <f t="shared" si="0"/>
        <v>2070</v>
      </c>
      <c r="C193" s="136">
        <f>[16]С2.5!$BC$11</f>
        <v>0</v>
      </c>
    </row>
    <row r="194" spans="2:3" hidden="1">
      <c r="B194" s="86">
        <f t="shared" si="0"/>
        <v>2071</v>
      </c>
      <c r="C194" s="136">
        <f>[16]С2.5!$BD$11</f>
        <v>0</v>
      </c>
    </row>
    <row r="195" spans="2:3" hidden="1">
      <c r="B195" s="86">
        <f t="shared" si="0"/>
        <v>2072</v>
      </c>
      <c r="C195" s="136">
        <f>[16]С2.5!$BE$11</f>
        <v>0</v>
      </c>
    </row>
    <row r="196" spans="2:3" hidden="1">
      <c r="B196" s="86">
        <f t="shared" si="0"/>
        <v>2073</v>
      </c>
      <c r="C196" s="136">
        <f>[16]С2.5!$BF$11</f>
        <v>0</v>
      </c>
    </row>
    <row r="197" spans="2:3" hidden="1">
      <c r="B197" s="86">
        <f t="shared" si="0"/>
        <v>2074</v>
      </c>
      <c r="C197" s="136">
        <f>[16]С2.5!$BG$11</f>
        <v>0</v>
      </c>
    </row>
    <row r="198" spans="2:3" hidden="1">
      <c r="B198" s="86">
        <f t="shared" si="0"/>
        <v>2075</v>
      </c>
      <c r="C198" s="136">
        <f>[16]С2.5!$BH$11</f>
        <v>0</v>
      </c>
    </row>
    <row r="199" spans="2:3" hidden="1">
      <c r="B199" s="86">
        <f t="shared" si="0"/>
        <v>2076</v>
      </c>
      <c r="C199" s="136">
        <f>[16]С2.5!$BI$11</f>
        <v>0</v>
      </c>
    </row>
    <row r="200" spans="2:3" hidden="1">
      <c r="B200" s="86">
        <f t="shared" si="0"/>
        <v>2077</v>
      </c>
      <c r="C200" s="136">
        <f>[16]С2.5!$BJ$11</f>
        <v>0</v>
      </c>
    </row>
    <row r="201" spans="2:3" hidden="1">
      <c r="B201" s="86">
        <f t="shared" si="0"/>
        <v>2078</v>
      </c>
      <c r="C201" s="136">
        <f>[16]С2.5!$BK$11</f>
        <v>0</v>
      </c>
    </row>
    <row r="202" spans="2:3" hidden="1">
      <c r="B202" s="86">
        <f t="shared" si="0"/>
        <v>2079</v>
      </c>
      <c r="C202" s="136">
        <f>[16]С2.5!$BL$11</f>
        <v>0</v>
      </c>
    </row>
    <row r="203" spans="2:3" hidden="1">
      <c r="B203" s="86">
        <f t="shared" si="0"/>
        <v>2080</v>
      </c>
      <c r="C203" s="136">
        <f>[16]С2.5!$BM$11</f>
        <v>0</v>
      </c>
    </row>
    <row r="204" spans="2:3" hidden="1">
      <c r="B204" s="86">
        <f t="shared" si="0"/>
        <v>2081</v>
      </c>
      <c r="C204" s="136">
        <f>[16]С2.5!$BN$11</f>
        <v>0</v>
      </c>
    </row>
    <row r="205" spans="2:3" hidden="1">
      <c r="B205" s="86">
        <f t="shared" si="0"/>
        <v>2082</v>
      </c>
      <c r="C205" s="136">
        <f>[16]С2.5!$BO$11</f>
        <v>0</v>
      </c>
    </row>
    <row r="206" spans="2:3" hidden="1">
      <c r="B206" s="86">
        <f t="shared" si="0"/>
        <v>2083</v>
      </c>
      <c r="C206" s="136">
        <f>[16]С2.5!$BP$11</f>
        <v>0</v>
      </c>
    </row>
    <row r="207" spans="2:3" hidden="1">
      <c r="B207" s="86">
        <f t="shared" si="0"/>
        <v>2084</v>
      </c>
      <c r="C207" s="136">
        <f>[16]С2.5!$BQ$11</f>
        <v>0</v>
      </c>
    </row>
    <row r="208" spans="2:3" hidden="1">
      <c r="B208" s="86">
        <f t="shared" si="0"/>
        <v>2085</v>
      </c>
      <c r="C208" s="136">
        <f>[16]С2.5!$BR$11</f>
        <v>0</v>
      </c>
    </row>
    <row r="209" spans="2:3" hidden="1">
      <c r="B209" s="86">
        <f t="shared" ref="B209:B223" si="1">B208+1</f>
        <v>2086</v>
      </c>
      <c r="C209" s="136">
        <f>[16]С2.5!$BS$11</f>
        <v>0</v>
      </c>
    </row>
    <row r="210" spans="2:3" hidden="1">
      <c r="B210" s="86">
        <f t="shared" si="1"/>
        <v>2087</v>
      </c>
      <c r="C210" s="136">
        <f>[16]С2.5!$BT$11</f>
        <v>0</v>
      </c>
    </row>
    <row r="211" spans="2:3" hidden="1">
      <c r="B211" s="86">
        <f t="shared" si="1"/>
        <v>2088</v>
      </c>
      <c r="C211" s="136">
        <f>[16]С2.5!$BU$11</f>
        <v>0</v>
      </c>
    </row>
    <row r="212" spans="2:3" hidden="1">
      <c r="B212" s="86">
        <f t="shared" si="1"/>
        <v>2089</v>
      </c>
      <c r="C212" s="136">
        <f>[16]С2.5!$BV$11</f>
        <v>0</v>
      </c>
    </row>
    <row r="213" spans="2:3" hidden="1">
      <c r="B213" s="86">
        <f t="shared" si="1"/>
        <v>2090</v>
      </c>
      <c r="C213" s="136">
        <f>[16]С2.5!$BW$11</f>
        <v>0</v>
      </c>
    </row>
    <row r="214" spans="2:3" hidden="1">
      <c r="B214" s="86">
        <f t="shared" si="1"/>
        <v>2091</v>
      </c>
      <c r="C214" s="136">
        <f>[16]С2.5!$BX$11</f>
        <v>0</v>
      </c>
    </row>
    <row r="215" spans="2:3" hidden="1">
      <c r="B215" s="86">
        <f t="shared" si="1"/>
        <v>2092</v>
      </c>
      <c r="C215" s="136">
        <f>[16]С2.5!$BY$11</f>
        <v>0</v>
      </c>
    </row>
    <row r="216" spans="2:3" hidden="1">
      <c r="B216" s="86">
        <f t="shared" si="1"/>
        <v>2093</v>
      </c>
      <c r="C216" s="136">
        <f>[16]С2.5!$BZ$11</f>
        <v>0</v>
      </c>
    </row>
    <row r="217" spans="2:3" hidden="1">
      <c r="B217" s="86">
        <f t="shared" si="1"/>
        <v>2094</v>
      </c>
      <c r="C217" s="136">
        <f>[16]С2.5!$CA$11</f>
        <v>0</v>
      </c>
    </row>
    <row r="218" spans="2:3" hidden="1">
      <c r="B218" s="86">
        <f t="shared" si="1"/>
        <v>2095</v>
      </c>
      <c r="C218" s="136">
        <f>[16]С2.5!$CB$11</f>
        <v>0</v>
      </c>
    </row>
    <row r="219" spans="2:3" hidden="1">
      <c r="B219" s="86">
        <f t="shared" si="1"/>
        <v>2096</v>
      </c>
      <c r="C219" s="136">
        <f>[16]С2.5!$CC$11</f>
        <v>0</v>
      </c>
    </row>
    <row r="220" spans="2:3" hidden="1">
      <c r="B220" s="86">
        <f t="shared" si="1"/>
        <v>2097</v>
      </c>
      <c r="C220" s="136">
        <f>[16]С2.5!$CD$11</f>
        <v>0</v>
      </c>
    </row>
    <row r="221" spans="2:3" hidden="1">
      <c r="B221" s="86">
        <f t="shared" si="1"/>
        <v>2098</v>
      </c>
      <c r="C221" s="136">
        <f>[16]С2.5!$CE$11</f>
        <v>0</v>
      </c>
    </row>
    <row r="222" spans="2:3" hidden="1">
      <c r="B222" s="86">
        <f t="shared" si="1"/>
        <v>2099</v>
      </c>
      <c r="C222" s="136">
        <f>[16]С2.5!$CF$11</f>
        <v>0</v>
      </c>
    </row>
    <row r="223" spans="2:3" ht="13.5" hidden="1" thickBot="1">
      <c r="B223" s="87">
        <f t="shared" si="1"/>
        <v>2100</v>
      </c>
      <c r="C223" s="137">
        <f>[16]С2.5!$CG$11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3009" r:id="rId3" name="Button 1">
              <controlPr defaultSize="0" print="0" autoFill="0" autoPict="0" macro="[1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F22" sqref="F22"/>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[17]И1!D13</f>
        <v>Субъект Российской Федерации</v>
      </c>
      <c r="C4" s="8" t="str">
        <f>[17]И1!E13</f>
        <v>Новосибирская область</v>
      </c>
    </row>
    <row r="5" spans="1:3" ht="38.25">
      <c r="A5" s="6"/>
      <c r="B5" s="7" t="str">
        <f>[17]И1!D14</f>
        <v>Тип муниципального образования (выберите из списка)</v>
      </c>
      <c r="C5" s="8" t="str">
        <f>[17]И1!E14</f>
        <v>село Тебисское, Чановский муниципальный район</v>
      </c>
    </row>
    <row r="6" spans="1:3">
      <c r="A6" s="6"/>
      <c r="B6" s="7" t="str">
        <f>IF([17]И1!E15="","",[17]И1!D15)</f>
        <v/>
      </c>
      <c r="C6" s="8" t="str">
        <f>IF([17]И1!E15="","",[17]И1!E15)</f>
        <v/>
      </c>
    </row>
    <row r="7" spans="1:3">
      <c r="A7" s="6"/>
      <c r="B7" s="7" t="str">
        <f>[17]И1!D16</f>
        <v>Код ОКТМО</v>
      </c>
      <c r="C7" s="9" t="str">
        <f>[17]И1!E16</f>
        <v>50656425101</v>
      </c>
    </row>
    <row r="8" spans="1:3">
      <c r="A8" s="6"/>
      <c r="B8" s="10" t="str">
        <f>[17]И1!D17</f>
        <v>Система теплоснабжения</v>
      </c>
      <c r="C8" s="11">
        <f>[17]И1!E17</f>
        <v>0</v>
      </c>
    </row>
    <row r="9" spans="1:3">
      <c r="A9" s="6"/>
      <c r="B9" s="7" t="str">
        <f>[17]И1!D8</f>
        <v>Период регулирования (i)-й</v>
      </c>
      <c r="C9" s="12">
        <f>[17]И1!E8</f>
        <v>2023</v>
      </c>
    </row>
    <row r="10" spans="1:3">
      <c r="A10" s="6"/>
      <c r="B10" s="7" t="str">
        <f>[17]И1!D9</f>
        <v>Период регулирования (i-1)-й</v>
      </c>
      <c r="C10" s="12">
        <f>[17]И1!E9</f>
        <v>2022</v>
      </c>
    </row>
    <row r="11" spans="1:3">
      <c r="A11" s="6"/>
      <c r="B11" s="7" t="str">
        <f>[17]И1!D10</f>
        <v>Период регулирования (i-2)-й</v>
      </c>
      <c r="C11" s="12">
        <f>[17]И1!E10</f>
        <v>2021</v>
      </c>
    </row>
    <row r="12" spans="1:3">
      <c r="A12" s="6"/>
      <c r="B12" s="7" t="str">
        <f>[17]И1!D11</f>
        <v>Базовый год (б)</v>
      </c>
      <c r="C12" s="12">
        <f>[17]И1!E11</f>
        <v>2019</v>
      </c>
    </row>
    <row r="13" spans="1:3" ht="38.25">
      <c r="A13" s="6"/>
      <c r="B13" s="7" t="str">
        <f>[17]И1!D18</f>
        <v>Вид топлива, использование которого преобладает в системе теплоснабжения</v>
      </c>
      <c r="C13" s="13" t="str">
        <f>[17]С1.1!E13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4109.9283842220448</v>
      </c>
    </row>
    <row r="18" spans="1:3" ht="42.75">
      <c r="A18" s="16" t="s">
        <v>7</v>
      </c>
      <c r="B18" s="19" t="s">
        <v>8</v>
      </c>
      <c r="C18" s="20">
        <f>[17]С1!F12</f>
        <v>1006.0126910079939</v>
      </c>
    </row>
    <row r="19" spans="1:3" ht="42.75">
      <c r="A19" s="16" t="s">
        <v>9</v>
      </c>
      <c r="B19" s="19" t="s">
        <v>10</v>
      </c>
      <c r="C19" s="20">
        <f>[17]С2!F12</f>
        <v>2104.1852054273977</v>
      </c>
    </row>
    <row r="20" spans="1:3" ht="30">
      <c r="A20" s="16" t="s">
        <v>11</v>
      </c>
      <c r="B20" s="19" t="s">
        <v>12</v>
      </c>
      <c r="C20" s="20">
        <f>[17]С3!F12</f>
        <v>503.33593794803642</v>
      </c>
    </row>
    <row r="21" spans="1:3" ht="42.75">
      <c r="A21" s="16" t="s">
        <v>13</v>
      </c>
      <c r="B21" s="19" t="s">
        <v>226</v>
      </c>
      <c r="C21" s="20">
        <f>[17]С4!F12</f>
        <v>415.8077187754389</v>
      </c>
    </row>
    <row r="22" spans="1:3" ht="30">
      <c r="A22" s="16" t="s">
        <v>14</v>
      </c>
      <c r="B22" s="19" t="s">
        <v>227</v>
      </c>
      <c r="C22" s="20">
        <f>[17]С5!F12</f>
        <v>80.586831063177343</v>
      </c>
    </row>
    <row r="23" spans="1:3" ht="43.5" thickBot="1">
      <c r="A23" s="21" t="s">
        <v>15</v>
      </c>
      <c r="B23" s="111" t="s">
        <v>228</v>
      </c>
      <c r="C23" s="22" t="str">
        <f>[17]С6!F12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[17]С1.1!E16</f>
        <v>5100</v>
      </c>
    </row>
    <row r="29" spans="1:3" ht="42.75">
      <c r="A29" s="16" t="s">
        <v>9</v>
      </c>
      <c r="B29" s="27" t="s">
        <v>230</v>
      </c>
      <c r="C29" s="28">
        <f>[17]С1.1!E27</f>
        <v>2705</v>
      </c>
    </row>
    <row r="30" spans="1:3" ht="17.25">
      <c r="A30" s="16" t="s">
        <v>11</v>
      </c>
      <c r="B30" s="27" t="s">
        <v>17</v>
      </c>
      <c r="C30" s="29">
        <f>[17]С1.1!E19</f>
        <v>0.59499999999999997</v>
      </c>
    </row>
    <row r="31" spans="1:3" ht="17.25">
      <c r="A31" s="16" t="s">
        <v>13</v>
      </c>
      <c r="B31" s="27" t="s">
        <v>18</v>
      </c>
      <c r="C31" s="29">
        <f>[17]С1.1!E20</f>
        <v>-0.113</v>
      </c>
    </row>
    <row r="32" spans="1:3" ht="30">
      <c r="A32" s="16" t="s">
        <v>14</v>
      </c>
      <c r="B32" s="30" t="s">
        <v>231</v>
      </c>
      <c r="C32" s="118">
        <f>[17]С1!F13</f>
        <v>176.4</v>
      </c>
    </row>
    <row r="33" spans="1:3">
      <c r="A33" s="16" t="s">
        <v>15</v>
      </c>
      <c r="B33" s="30" t="s">
        <v>19</v>
      </c>
      <c r="C33" s="31">
        <f>[17]С1!F16</f>
        <v>7000</v>
      </c>
    </row>
    <row r="34" spans="1:3" ht="14.25">
      <c r="A34" s="16" t="s">
        <v>20</v>
      </c>
      <c r="B34" s="32" t="s">
        <v>232</v>
      </c>
      <c r="C34" s="33">
        <f>[17]С1!F17</f>
        <v>0.72857142857142854</v>
      </c>
    </row>
    <row r="35" spans="1:3" ht="15.75">
      <c r="A35" s="119" t="s">
        <v>21</v>
      </c>
      <c r="B35" s="34" t="s">
        <v>22</v>
      </c>
      <c r="C35" s="33">
        <f>[17]С1!F20</f>
        <v>21.588411179999994</v>
      </c>
    </row>
    <row r="36" spans="1:3" ht="15.75">
      <c r="A36" s="119" t="s">
        <v>23</v>
      </c>
      <c r="B36" s="35" t="s">
        <v>24</v>
      </c>
      <c r="C36" s="33">
        <f>[17]С1!F21</f>
        <v>20.818139999999996</v>
      </c>
    </row>
    <row r="37" spans="1:3" ht="14.25">
      <c r="A37" s="119" t="s">
        <v>25</v>
      </c>
      <c r="B37" s="36" t="s">
        <v>26</v>
      </c>
      <c r="C37" s="33">
        <f>[17]С1!F22</f>
        <v>1.0369999999999999</v>
      </c>
    </row>
    <row r="38" spans="1:3" ht="53.25" thickBot="1">
      <c r="A38" s="21" t="s">
        <v>27</v>
      </c>
      <c r="B38" s="37" t="s">
        <v>28</v>
      </c>
      <c r="C38" s="38">
        <f>[17]С1!F23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[17]С2.1!E12</f>
        <v>V</v>
      </c>
    </row>
    <row r="42" spans="1:3" ht="25.5">
      <c r="A42" s="16" t="s">
        <v>33</v>
      </c>
      <c r="B42" s="27" t="s">
        <v>34</v>
      </c>
      <c r="C42" s="41" t="str">
        <f>[17]С2.1!E13</f>
        <v>6 и менее баллов</v>
      </c>
    </row>
    <row r="43" spans="1:3" ht="25.5">
      <c r="A43" s="16" t="s">
        <v>35</v>
      </c>
      <c r="B43" s="27" t="s">
        <v>233</v>
      </c>
      <c r="C43" s="41" t="str">
        <f>[17]С2.1!E14</f>
        <v>от 200 до 500</v>
      </c>
    </row>
    <row r="44" spans="1:3" ht="25.5">
      <c r="A44" s="16" t="s">
        <v>36</v>
      </c>
      <c r="B44" s="27" t="s">
        <v>234</v>
      </c>
      <c r="C44" s="42" t="str">
        <f>[17]С2.1!E15</f>
        <v>нет</v>
      </c>
    </row>
    <row r="45" spans="1:3" ht="30">
      <c r="A45" s="16" t="s">
        <v>37</v>
      </c>
      <c r="B45" s="27" t="s">
        <v>38</v>
      </c>
      <c r="C45" s="28">
        <f>[17]С2!F18</f>
        <v>32402.627334033532</v>
      </c>
    </row>
    <row r="46" spans="1:3" ht="30">
      <c r="A46" s="16" t="s">
        <v>39</v>
      </c>
      <c r="B46" s="43" t="s">
        <v>40</v>
      </c>
      <c r="C46" s="28">
        <f>IF([17]С2!F19&gt;0,[17]С2!F19,[17]С2!F20)</f>
        <v>23441.524932855718</v>
      </c>
    </row>
    <row r="47" spans="1:3" ht="25.5">
      <c r="A47" s="16" t="s">
        <v>41</v>
      </c>
      <c r="B47" s="44" t="s">
        <v>42</v>
      </c>
      <c r="C47" s="28">
        <f>[17]С2.1!E19</f>
        <v>-38</v>
      </c>
    </row>
    <row r="48" spans="1:3" ht="25.5">
      <c r="A48" s="16" t="s">
        <v>43</v>
      </c>
      <c r="B48" s="44" t="s">
        <v>44</v>
      </c>
      <c r="C48" s="28" t="str">
        <f>[17]С2.1!E22</f>
        <v>нет</v>
      </c>
    </row>
    <row r="49" spans="1:3" ht="38.25">
      <c r="A49" s="16" t="s">
        <v>45</v>
      </c>
      <c r="B49" s="45" t="s">
        <v>46</v>
      </c>
      <c r="C49" s="28">
        <f>[17]С2.2!E10</f>
        <v>1287</v>
      </c>
    </row>
    <row r="50" spans="1:3" ht="25.5">
      <c r="A50" s="16" t="s">
        <v>47</v>
      </c>
      <c r="B50" s="46" t="s">
        <v>48</v>
      </c>
      <c r="C50" s="28">
        <f>[17]С2.2!E12</f>
        <v>5.97</v>
      </c>
    </row>
    <row r="51" spans="1:3" ht="52.5">
      <c r="A51" s="16" t="s">
        <v>49</v>
      </c>
      <c r="B51" s="47" t="s">
        <v>50</v>
      </c>
      <c r="C51" s="28">
        <f>[17]С2.2!E13</f>
        <v>1</v>
      </c>
    </row>
    <row r="52" spans="1:3" ht="27.75">
      <c r="A52" s="16" t="s">
        <v>51</v>
      </c>
      <c r="B52" s="46" t="s">
        <v>52</v>
      </c>
      <c r="C52" s="28">
        <f>[17]С2.2!E14</f>
        <v>12104</v>
      </c>
    </row>
    <row r="53" spans="1:3" ht="25.5">
      <c r="A53" s="16" t="s">
        <v>53</v>
      </c>
      <c r="B53" s="47" t="s">
        <v>54</v>
      </c>
      <c r="C53" s="29">
        <f>[17]С2.2!E15</f>
        <v>4.8000000000000001E-2</v>
      </c>
    </row>
    <row r="54" spans="1:3">
      <c r="A54" s="16" t="s">
        <v>55</v>
      </c>
      <c r="B54" s="47" t="s">
        <v>56</v>
      </c>
      <c r="C54" s="28">
        <f>[17]С2.2!E16</f>
        <v>1</v>
      </c>
    </row>
    <row r="55" spans="1:3" ht="15.75">
      <c r="A55" s="16" t="s">
        <v>57</v>
      </c>
      <c r="B55" s="48" t="s">
        <v>58</v>
      </c>
      <c r="C55" s="28">
        <f>[17]С2!F21</f>
        <v>1</v>
      </c>
    </row>
    <row r="56" spans="1:3" ht="30">
      <c r="A56" s="49" t="s">
        <v>59</v>
      </c>
      <c r="B56" s="27" t="s">
        <v>235</v>
      </c>
      <c r="C56" s="28">
        <f>[17]С2!F13</f>
        <v>169640.22915965237</v>
      </c>
    </row>
    <row r="57" spans="1:3" ht="30">
      <c r="A57" s="49" t="s">
        <v>60</v>
      </c>
      <c r="B57" s="48" t="s">
        <v>236</v>
      </c>
      <c r="C57" s="28">
        <f>[17]С2!F14</f>
        <v>113455</v>
      </c>
    </row>
    <row r="58" spans="1:3" ht="15.75">
      <c r="A58" s="49" t="s">
        <v>61</v>
      </c>
      <c r="B58" s="50" t="s">
        <v>62</v>
      </c>
      <c r="C58" s="33">
        <f>[17]С2!F15</f>
        <v>1.071</v>
      </c>
    </row>
    <row r="59" spans="1:3" ht="15.75">
      <c r="A59" s="49" t="s">
        <v>63</v>
      </c>
      <c r="B59" s="50" t="s">
        <v>64</v>
      </c>
      <c r="C59" s="33">
        <f>[17]С2!F16</f>
        <v>1</v>
      </c>
    </row>
    <row r="60" spans="1:3" ht="17.25">
      <c r="A60" s="49" t="s">
        <v>65</v>
      </c>
      <c r="B60" s="48" t="s">
        <v>66</v>
      </c>
      <c r="C60" s="28">
        <f>[17]С2!F17</f>
        <v>1.01</v>
      </c>
    </row>
    <row r="61" spans="1:3" s="53" customFormat="1" ht="14.25">
      <c r="A61" s="49" t="s">
        <v>67</v>
      </c>
      <c r="B61" s="51" t="s">
        <v>68</v>
      </c>
      <c r="C61" s="52">
        <f>[17]С2!F33</f>
        <v>10</v>
      </c>
    </row>
    <row r="62" spans="1:3" ht="30">
      <c r="A62" s="49" t="s">
        <v>69</v>
      </c>
      <c r="B62" s="54" t="s">
        <v>70</v>
      </c>
      <c r="C62" s="28">
        <f>[17]С2!F26</f>
        <v>911.22846603392293</v>
      </c>
    </row>
    <row r="63" spans="1:3" ht="17.25">
      <c r="A63" s="49" t="s">
        <v>71</v>
      </c>
      <c r="B63" s="43" t="s">
        <v>237</v>
      </c>
      <c r="C63" s="28">
        <f>[17]С2!F27</f>
        <v>0.15695805999999998</v>
      </c>
    </row>
    <row r="64" spans="1:3" ht="17.25">
      <c r="A64" s="49" t="s">
        <v>72</v>
      </c>
      <c r="B64" s="48" t="s">
        <v>238</v>
      </c>
      <c r="C64" s="52">
        <f>[17]С2!F28</f>
        <v>4200</v>
      </c>
    </row>
    <row r="65" spans="1:3" ht="42.75">
      <c r="A65" s="49" t="s">
        <v>73</v>
      </c>
      <c r="B65" s="27" t="s">
        <v>239</v>
      </c>
      <c r="C65" s="28">
        <f>[17]С2!F22</f>
        <v>35717.748653137714</v>
      </c>
    </row>
    <row r="66" spans="1:3" ht="30">
      <c r="A66" s="49" t="s">
        <v>74</v>
      </c>
      <c r="B66" s="50" t="s">
        <v>240</v>
      </c>
      <c r="C66" s="28">
        <f>[17]С2!F23</f>
        <v>1990</v>
      </c>
    </row>
    <row r="67" spans="1:3" ht="30">
      <c r="A67" s="49" t="s">
        <v>75</v>
      </c>
      <c r="B67" s="43" t="s">
        <v>76</v>
      </c>
      <c r="C67" s="28">
        <f>[17]С2.1!E27</f>
        <v>14307.876789999998</v>
      </c>
    </row>
    <row r="68" spans="1:3" ht="38.25">
      <c r="A68" s="49" t="s">
        <v>77</v>
      </c>
      <c r="B68" s="55" t="s">
        <v>78</v>
      </c>
      <c r="C68" s="42">
        <f>[17]С2.3!E21</f>
        <v>0</v>
      </c>
    </row>
    <row r="69" spans="1:3" ht="25.5">
      <c r="A69" s="49" t="s">
        <v>79</v>
      </c>
      <c r="B69" s="56" t="s">
        <v>80</v>
      </c>
      <c r="C69" s="57">
        <f>[17]С2.3!E11</f>
        <v>9.89</v>
      </c>
    </row>
    <row r="70" spans="1:3" ht="25.5">
      <c r="A70" s="49" t="s">
        <v>81</v>
      </c>
      <c r="B70" s="56" t="s">
        <v>82</v>
      </c>
      <c r="C70" s="52">
        <f>[17]С2.3!E13</f>
        <v>300</v>
      </c>
    </row>
    <row r="71" spans="1:3" ht="25.5">
      <c r="A71" s="49" t="s">
        <v>83</v>
      </c>
      <c r="B71" s="55" t="s">
        <v>84</v>
      </c>
      <c r="C71" s="58">
        <f>IF([17]С2.3!E22&gt;0,[17]С2.3!E22,[17]С2.3!E14)</f>
        <v>61211</v>
      </c>
    </row>
    <row r="72" spans="1:3" ht="38.25">
      <c r="A72" s="49" t="s">
        <v>85</v>
      </c>
      <c r="B72" s="55" t="s">
        <v>86</v>
      </c>
      <c r="C72" s="58">
        <f>IF([17]С2.3!E23&gt;0,[17]С2.3!E23,[17]С2.3!E15)</f>
        <v>45675</v>
      </c>
    </row>
    <row r="73" spans="1:3" ht="30">
      <c r="A73" s="49" t="s">
        <v>87</v>
      </c>
      <c r="B73" s="43" t="s">
        <v>88</v>
      </c>
      <c r="C73" s="28">
        <f>[17]С2.1!E28</f>
        <v>9541.9567200000001</v>
      </c>
    </row>
    <row r="74" spans="1:3" ht="38.25">
      <c r="A74" s="49" t="s">
        <v>89</v>
      </c>
      <c r="B74" s="55" t="s">
        <v>90</v>
      </c>
      <c r="C74" s="42">
        <f>[17]С2.3!E25</f>
        <v>0</v>
      </c>
    </row>
    <row r="75" spans="1:3" ht="25.5">
      <c r="A75" s="49" t="s">
        <v>91</v>
      </c>
      <c r="B75" s="56" t="s">
        <v>92</v>
      </c>
      <c r="C75" s="57">
        <f>[17]С2.3!E12</f>
        <v>0.56000000000000005</v>
      </c>
    </row>
    <row r="76" spans="1:3" ht="25.5">
      <c r="A76" s="49" t="s">
        <v>93</v>
      </c>
      <c r="B76" s="56" t="s">
        <v>82</v>
      </c>
      <c r="C76" s="52">
        <f>[17]С2.3!E13</f>
        <v>300</v>
      </c>
    </row>
    <row r="77" spans="1:3" ht="25.5">
      <c r="A77" s="49" t="s">
        <v>94</v>
      </c>
      <c r="B77" s="59" t="s">
        <v>95</v>
      </c>
      <c r="C77" s="58">
        <f>IF([17]С2.3!E26&gt;0,[17]С2.3!E26,[17]С2.3!E16)</f>
        <v>65637</v>
      </c>
    </row>
    <row r="78" spans="1:3" ht="38.25">
      <c r="A78" s="49" t="s">
        <v>96</v>
      </c>
      <c r="B78" s="59" t="s">
        <v>97</v>
      </c>
      <c r="C78" s="58">
        <f>IF([17]С2.3!E27&gt;0,[17]С2.3!E27,[17]С2.3!E17)</f>
        <v>31684</v>
      </c>
    </row>
    <row r="79" spans="1:3" ht="17.25">
      <c r="A79" s="49" t="s">
        <v>98</v>
      </c>
      <c r="B79" s="27" t="s">
        <v>99</v>
      </c>
      <c r="C79" s="29">
        <f>[17]С2!F29</f>
        <v>0.128978033685065</v>
      </c>
    </row>
    <row r="80" spans="1:3" ht="30">
      <c r="A80" s="49" t="s">
        <v>100</v>
      </c>
      <c r="B80" s="43" t="s">
        <v>101</v>
      </c>
      <c r="C80" s="60">
        <f>[17]С2!F30</f>
        <v>0.11668498168498169</v>
      </c>
    </row>
    <row r="81" spans="1:3" ht="17.25">
      <c r="A81" s="49" t="s">
        <v>102</v>
      </c>
      <c r="B81" s="61" t="s">
        <v>103</v>
      </c>
      <c r="C81" s="29">
        <f>[17]С2!F31</f>
        <v>0.13880000000000001</v>
      </c>
    </row>
    <row r="82" spans="1:3" s="53" customFormat="1" ht="18" thickBot="1">
      <c r="A82" s="62" t="s">
        <v>104</v>
      </c>
      <c r="B82" s="63" t="s">
        <v>105</v>
      </c>
      <c r="C82" s="64">
        <f>[17]С2!F32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[17]С3!F14</f>
        <v>6988.6287956820188</v>
      </c>
    </row>
    <row r="86" spans="1:3" s="53" customFormat="1" ht="42.75">
      <c r="A86" s="67" t="s">
        <v>110</v>
      </c>
      <c r="B86" s="43" t="s">
        <v>111</v>
      </c>
      <c r="C86" s="68">
        <f>[17]С3!F15</f>
        <v>0.2</v>
      </c>
    </row>
    <row r="87" spans="1:3" s="53" customFormat="1" ht="14.25">
      <c r="A87" s="67" t="s">
        <v>112</v>
      </c>
      <c r="B87" s="69" t="s">
        <v>113</v>
      </c>
      <c r="C87" s="52">
        <f>[17]С3!F18</f>
        <v>15</v>
      </c>
    </row>
    <row r="88" spans="1:3" s="53" customFormat="1" ht="17.25">
      <c r="A88" s="67" t="s">
        <v>114</v>
      </c>
      <c r="B88" s="27" t="s">
        <v>115</v>
      </c>
      <c r="C88" s="28">
        <f>[17]С3!F19</f>
        <v>3487.1555421534131</v>
      </c>
    </row>
    <row r="89" spans="1:3" s="53" customFormat="1" ht="55.5">
      <c r="A89" s="67" t="s">
        <v>116</v>
      </c>
      <c r="B89" s="43" t="s">
        <v>117</v>
      </c>
      <c r="C89" s="70">
        <f>[17]С3!F20</f>
        <v>2.1999999999999999E-2</v>
      </c>
    </row>
    <row r="90" spans="1:3" s="53" customFormat="1" ht="14.25">
      <c r="A90" s="67" t="s">
        <v>118</v>
      </c>
      <c r="B90" s="48" t="s">
        <v>68</v>
      </c>
      <c r="C90" s="52">
        <f>[17]С3!F21</f>
        <v>10</v>
      </c>
    </row>
    <row r="91" spans="1:3" s="53" customFormat="1" ht="17.25">
      <c r="A91" s="67" t="s">
        <v>119</v>
      </c>
      <c r="B91" s="27" t="s">
        <v>120</v>
      </c>
      <c r="C91" s="28">
        <f>[17]С3!F22</f>
        <v>2.7336853981017688</v>
      </c>
    </row>
    <row r="92" spans="1:3" s="53" customFormat="1" ht="55.5">
      <c r="A92" s="67" t="s">
        <v>121</v>
      </c>
      <c r="B92" s="43" t="s">
        <v>122</v>
      </c>
      <c r="C92" s="70">
        <f>[17]С3!F23</f>
        <v>3.0000000000000001E-3</v>
      </c>
    </row>
    <row r="93" spans="1:3" s="53" customFormat="1" ht="27.75" thickBot="1">
      <c r="A93" s="71" t="s">
        <v>123</v>
      </c>
      <c r="B93" s="72" t="s">
        <v>241</v>
      </c>
      <c r="C93" s="73">
        <f>[17]С3!F24</f>
        <v>911.22846603392293</v>
      </c>
    </row>
    <row r="94" spans="1:3" ht="13.5" thickBot="1">
      <c r="A94" s="39"/>
      <c r="B94" s="65"/>
      <c r="C94" s="13"/>
    </row>
    <row r="95" spans="1:3" ht="30" customHeight="1">
      <c r="A95" s="74" t="s">
        <v>124</v>
      </c>
      <c r="B95" s="141" t="s">
        <v>125</v>
      </c>
      <c r="C95" s="141"/>
    </row>
    <row r="96" spans="1:3" ht="30">
      <c r="A96" s="49" t="s">
        <v>126</v>
      </c>
      <c r="B96" s="27" t="s">
        <v>242</v>
      </c>
      <c r="C96" s="28">
        <f>[17]С4!F16</f>
        <v>1652.5</v>
      </c>
    </row>
    <row r="97" spans="1:3" ht="30">
      <c r="A97" s="49" t="s">
        <v>127</v>
      </c>
      <c r="B97" s="48" t="s">
        <v>243</v>
      </c>
      <c r="C97" s="28">
        <f>[17]С4!F17</f>
        <v>73547</v>
      </c>
    </row>
    <row r="98" spans="1:3" ht="17.25">
      <c r="A98" s="49" t="s">
        <v>128</v>
      </c>
      <c r="B98" s="48" t="s">
        <v>129</v>
      </c>
      <c r="C98" s="33">
        <f>[17]С4!F18</f>
        <v>0.02</v>
      </c>
    </row>
    <row r="99" spans="1:3" ht="30">
      <c r="A99" s="49" t="s">
        <v>130</v>
      </c>
      <c r="B99" s="48" t="s">
        <v>131</v>
      </c>
      <c r="C99" s="28">
        <f>[17]С4!F19</f>
        <v>12104</v>
      </c>
    </row>
    <row r="100" spans="1:3" ht="31.5">
      <c r="A100" s="49" t="s">
        <v>132</v>
      </c>
      <c r="B100" s="48" t="s">
        <v>133</v>
      </c>
      <c r="C100" s="33">
        <f>[17]С4!F20</f>
        <v>1.4999999999999999E-2</v>
      </c>
    </row>
    <row r="101" spans="1:3" ht="30">
      <c r="A101" s="49" t="s">
        <v>134</v>
      </c>
      <c r="B101" s="27" t="s">
        <v>244</v>
      </c>
      <c r="C101" s="28">
        <f>[17]С4!F21</f>
        <v>1933.1949342509995</v>
      </c>
    </row>
    <row r="102" spans="1:3" ht="24" customHeight="1">
      <c r="A102" s="49" t="s">
        <v>135</v>
      </c>
      <c r="B102" s="43" t="s">
        <v>136</v>
      </c>
      <c r="C102" s="75">
        <f>IF([17]С4.2!F8="да",[17]С4.2!D21,[17]С4.2!D15)</f>
        <v>0</v>
      </c>
    </row>
    <row r="103" spans="1:3" ht="68.25">
      <c r="A103" s="49" t="s">
        <v>137</v>
      </c>
      <c r="B103" s="43" t="s">
        <v>138</v>
      </c>
      <c r="C103" s="28">
        <f>[17]С4!F22</f>
        <v>3.6112641666666665</v>
      </c>
    </row>
    <row r="104" spans="1:3" ht="30">
      <c r="A104" s="49" t="s">
        <v>139</v>
      </c>
      <c r="B104" s="48" t="s">
        <v>245</v>
      </c>
      <c r="C104" s="28">
        <f>[17]С4!F23</f>
        <v>180</v>
      </c>
    </row>
    <row r="105" spans="1:3" ht="14.25">
      <c r="A105" s="49" t="s">
        <v>140</v>
      </c>
      <c r="B105" s="43" t="s">
        <v>141</v>
      </c>
      <c r="C105" s="28">
        <f>[17]С4!F24</f>
        <v>8497.1999999999989</v>
      </c>
    </row>
    <row r="106" spans="1:3" ht="14.25">
      <c r="A106" s="49" t="s">
        <v>142</v>
      </c>
      <c r="B106" s="48" t="s">
        <v>143</v>
      </c>
      <c r="C106" s="33">
        <f>[17]С4!F25</f>
        <v>0.35</v>
      </c>
    </row>
    <row r="107" spans="1:3" ht="17.25">
      <c r="A107" s="49" t="s">
        <v>144</v>
      </c>
      <c r="B107" s="27" t="s">
        <v>145</v>
      </c>
      <c r="C107" s="28">
        <f>[17]С4!F26</f>
        <v>89.17058999999999</v>
      </c>
    </row>
    <row r="108" spans="1:3" ht="25.5">
      <c r="A108" s="49" t="s">
        <v>146</v>
      </c>
      <c r="B108" s="43" t="s">
        <v>78</v>
      </c>
      <c r="C108" s="75">
        <f>[17]С4.3!E16</f>
        <v>0</v>
      </c>
    </row>
    <row r="109" spans="1:3" ht="25.5">
      <c r="A109" s="49" t="s">
        <v>147</v>
      </c>
      <c r="B109" s="43" t="s">
        <v>148</v>
      </c>
      <c r="C109" s="28">
        <f>[17]С4.3!E17</f>
        <v>23.49</v>
      </c>
    </row>
    <row r="110" spans="1:3" ht="38.25">
      <c r="A110" s="49" t="s">
        <v>149</v>
      </c>
      <c r="B110" s="43" t="s">
        <v>90</v>
      </c>
      <c r="C110" s="75">
        <f>[17]С4.3!E18</f>
        <v>0</v>
      </c>
    </row>
    <row r="111" spans="1:3">
      <c r="A111" s="49" t="s">
        <v>150</v>
      </c>
      <c r="B111" s="43" t="s">
        <v>151</v>
      </c>
      <c r="C111" s="28">
        <f>[17]С4.3!E19</f>
        <v>33.29</v>
      </c>
    </row>
    <row r="112" spans="1:3">
      <c r="A112" s="49" t="s">
        <v>152</v>
      </c>
      <c r="B112" s="48" t="s">
        <v>153</v>
      </c>
      <c r="C112" s="28">
        <f>[17]С4.3!E11</f>
        <v>1871</v>
      </c>
    </row>
    <row r="113" spans="1:3">
      <c r="A113" s="49" t="s">
        <v>154</v>
      </c>
      <c r="B113" s="48" t="s">
        <v>155</v>
      </c>
      <c r="C113" s="42">
        <f>[17]С4.3!E12</f>
        <v>1636</v>
      </c>
    </row>
    <row r="114" spans="1:3">
      <c r="A114" s="49" t="s">
        <v>156</v>
      </c>
      <c r="B114" s="48" t="s">
        <v>157</v>
      </c>
      <c r="C114" s="42">
        <f>[17]С4.3!E13</f>
        <v>204</v>
      </c>
    </row>
    <row r="115" spans="1:3" ht="30">
      <c r="A115" s="49" t="s">
        <v>158</v>
      </c>
      <c r="B115" s="27" t="s">
        <v>246</v>
      </c>
      <c r="C115" s="28">
        <f>[17]С4!F27</f>
        <v>998.55949805489831</v>
      </c>
    </row>
    <row r="116" spans="1:3" ht="25.5">
      <c r="A116" s="49" t="s">
        <v>159</v>
      </c>
      <c r="B116" s="43" t="s">
        <v>247</v>
      </c>
      <c r="C116" s="28">
        <f>[17]С4!F28</f>
        <v>766.94277884400788</v>
      </c>
    </row>
    <row r="117" spans="1:3" ht="42.75">
      <c r="A117" s="49" t="s">
        <v>160</v>
      </c>
      <c r="B117" s="43" t="s">
        <v>161</v>
      </c>
      <c r="C117" s="28">
        <f>[17]С4!F29</f>
        <v>231.61671921089041</v>
      </c>
    </row>
    <row r="118" spans="1:3" ht="30">
      <c r="A118" s="49" t="s">
        <v>162</v>
      </c>
      <c r="B118" s="32" t="s">
        <v>163</v>
      </c>
      <c r="C118" s="28">
        <f>[17]С4!F30</f>
        <v>2196.3860341927511</v>
      </c>
    </row>
    <row r="119" spans="1:3" ht="42.75">
      <c r="A119" s="49" t="s">
        <v>248</v>
      </c>
      <c r="B119" s="76" t="s">
        <v>249</v>
      </c>
      <c r="C119" s="28">
        <f>[17]С4!F33</f>
        <v>1483.072594022681</v>
      </c>
    </row>
    <row r="120" spans="1:3" ht="30">
      <c r="A120" s="49" t="s">
        <v>250</v>
      </c>
      <c r="B120" s="122" t="s">
        <v>251</v>
      </c>
      <c r="C120" s="28">
        <f>[17]С4!F35</f>
        <v>17.040680999999999</v>
      </c>
    </row>
    <row r="121" spans="1:3" ht="14.25">
      <c r="A121" s="49" t="s">
        <v>252</v>
      </c>
      <c r="B121" s="46" t="s">
        <v>253</v>
      </c>
      <c r="C121" s="28">
        <f>[17]С4!F36</f>
        <v>14319.9</v>
      </c>
    </row>
    <row r="122" spans="1:3" ht="28.5" thickBot="1">
      <c r="A122" s="62" t="s">
        <v>254</v>
      </c>
      <c r="B122" s="123" t="s">
        <v>255</v>
      </c>
      <c r="C122" s="73">
        <f>[17]С4!F37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[17]С5!F17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[17]С2!F37</f>
        <v>20.818139999999996</v>
      </c>
    </row>
    <row r="136" spans="1:4" ht="14.25">
      <c r="A136" s="49" t="s">
        <v>183</v>
      </c>
      <c r="B136" s="129" t="s">
        <v>184</v>
      </c>
      <c r="C136" s="28">
        <f>[17]С2!F38</f>
        <v>7</v>
      </c>
    </row>
    <row r="137" spans="1:4" ht="17.25">
      <c r="A137" s="49" t="s">
        <v>185</v>
      </c>
      <c r="B137" s="129" t="s">
        <v>186</v>
      </c>
      <c r="C137" s="28">
        <f>[17]С2!F40</f>
        <v>0.97</v>
      </c>
    </row>
    <row r="138" spans="1:4" ht="15" thickBot="1">
      <c r="A138" s="62" t="s">
        <v>187</v>
      </c>
      <c r="B138" s="130" t="s">
        <v>188</v>
      </c>
      <c r="C138" s="38">
        <f>[17]С2!F42</f>
        <v>0.35</v>
      </c>
    </row>
    <row r="139" spans="1:4" s="77" customFormat="1" ht="13.5" thickBot="1">
      <c r="A139" s="39"/>
      <c r="B139" s="65"/>
      <c r="C139" s="13"/>
    </row>
    <row r="140" spans="1:4" ht="30">
      <c r="A140" s="74" t="s">
        <v>189</v>
      </c>
      <c r="B140" s="84" t="s">
        <v>258</v>
      </c>
      <c r="C140" s="131">
        <f>[17]С2!F35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[17]С2.5!$E$11</f>
        <v>-2.9000000000000026E-2</v>
      </c>
      <c r="D143" s="77"/>
    </row>
    <row r="144" spans="1:4">
      <c r="A144" s="85"/>
      <c r="B144" s="86">
        <f>B143+1</f>
        <v>2021</v>
      </c>
      <c r="C144" s="136">
        <f>[17]С2.5!$F$11</f>
        <v>0.245</v>
      </c>
      <c r="D144" s="77"/>
    </row>
    <row r="145" spans="1:4">
      <c r="A145" s="85"/>
      <c r="B145" s="86">
        <f t="shared" ref="B145:B208" si="0">B144+1</f>
        <v>2022</v>
      </c>
      <c r="C145" s="136">
        <f>[17]С2.5!$G$11</f>
        <v>0.121</v>
      </c>
      <c r="D145" s="77"/>
    </row>
    <row r="146" spans="1:4" ht="13.5" thickBot="1">
      <c r="A146" s="85"/>
      <c r="B146" s="87">
        <f t="shared" si="0"/>
        <v>2023</v>
      </c>
      <c r="C146" s="137">
        <f>[17]С2.5!$H$11</f>
        <v>0.02</v>
      </c>
      <c r="D146" s="77"/>
    </row>
    <row r="147" spans="1:4" hidden="1">
      <c r="A147" s="85"/>
      <c r="B147" s="138">
        <f t="shared" si="0"/>
        <v>2024</v>
      </c>
      <c r="C147" s="139">
        <f>[17]С2.5!$I$11</f>
        <v>-2.93E-2</v>
      </c>
      <c r="D147" s="77"/>
    </row>
    <row r="148" spans="1:4" hidden="1">
      <c r="A148" s="85"/>
      <c r="B148" s="86">
        <f t="shared" si="0"/>
        <v>2025</v>
      </c>
      <c r="C148" s="136">
        <f>[17]С2.5!$J$11</f>
        <v>0.21215960863291</v>
      </c>
      <c r="D148" s="77"/>
    </row>
    <row r="149" spans="1:4" hidden="1">
      <c r="A149" s="85"/>
      <c r="B149" s="86">
        <f t="shared" si="0"/>
        <v>2026</v>
      </c>
      <c r="C149" s="136">
        <f>[17]С2.5!$K$11</f>
        <v>3.5813361771260002E-2</v>
      </c>
      <c r="D149" s="77"/>
    </row>
    <row r="150" spans="1:4" hidden="1">
      <c r="A150" s="85"/>
      <c r="B150" s="86">
        <f t="shared" si="0"/>
        <v>2027</v>
      </c>
      <c r="C150" s="136">
        <f>[17]С2.5!$L$11</f>
        <v>3.2682303599220003E-2</v>
      </c>
      <c r="D150" s="77"/>
    </row>
    <row r="151" spans="1:4" hidden="1">
      <c r="A151" s="85"/>
      <c r="B151" s="86">
        <f t="shared" si="0"/>
        <v>2028</v>
      </c>
      <c r="C151" s="136">
        <f>[17]С2.5!$M$11</f>
        <v>0</v>
      </c>
      <c r="D151" s="77"/>
    </row>
    <row r="152" spans="1:4" hidden="1">
      <c r="A152" s="85"/>
      <c r="B152" s="86">
        <f t="shared" si="0"/>
        <v>2029</v>
      </c>
      <c r="C152" s="136">
        <f>[17]С2.5!$N$11</f>
        <v>0</v>
      </c>
      <c r="D152" s="77"/>
    </row>
    <row r="153" spans="1:4" hidden="1">
      <c r="A153" s="85"/>
      <c r="B153" s="86">
        <f t="shared" si="0"/>
        <v>2030</v>
      </c>
      <c r="C153" s="136">
        <f>[17]С2.5!$O$11</f>
        <v>0</v>
      </c>
      <c r="D153" s="77"/>
    </row>
    <row r="154" spans="1:4" hidden="1">
      <c r="A154" s="85"/>
      <c r="B154" s="86">
        <f t="shared" si="0"/>
        <v>2031</v>
      </c>
      <c r="C154" s="136">
        <f>[17]С2.5!$P$11</f>
        <v>0</v>
      </c>
      <c r="D154" s="77"/>
    </row>
    <row r="155" spans="1:4" hidden="1">
      <c r="A155" s="77"/>
      <c r="B155" s="86">
        <f t="shared" si="0"/>
        <v>2032</v>
      </c>
      <c r="C155" s="136">
        <f>[17]С2.5!$Q$11</f>
        <v>0</v>
      </c>
      <c r="D155" s="77"/>
    </row>
    <row r="156" spans="1:4" hidden="1">
      <c r="A156" s="77"/>
      <c r="B156" s="86">
        <f t="shared" si="0"/>
        <v>2033</v>
      </c>
      <c r="C156" s="136">
        <f>[17]С2.5!$R$11</f>
        <v>0</v>
      </c>
      <c r="D156" s="77"/>
    </row>
    <row r="157" spans="1:4" hidden="1">
      <c r="B157" s="86">
        <f t="shared" si="0"/>
        <v>2034</v>
      </c>
      <c r="C157" s="136">
        <f>[17]С2.5!$S$11</f>
        <v>0</v>
      </c>
    </row>
    <row r="158" spans="1:4" hidden="1">
      <c r="B158" s="86">
        <f t="shared" si="0"/>
        <v>2035</v>
      </c>
      <c r="C158" s="136">
        <f>[17]С2.5!$T$11</f>
        <v>0</v>
      </c>
    </row>
    <row r="159" spans="1:4" hidden="1">
      <c r="B159" s="86">
        <f t="shared" si="0"/>
        <v>2036</v>
      </c>
      <c r="C159" s="136">
        <f>[17]С2.5!$U$11</f>
        <v>0</v>
      </c>
    </row>
    <row r="160" spans="1:4" hidden="1">
      <c r="B160" s="86">
        <f t="shared" si="0"/>
        <v>2037</v>
      </c>
      <c r="C160" s="136">
        <f>[17]С2.5!$V$11</f>
        <v>0</v>
      </c>
    </row>
    <row r="161" spans="2:3" hidden="1">
      <c r="B161" s="86">
        <f t="shared" si="0"/>
        <v>2038</v>
      </c>
      <c r="C161" s="136">
        <f>[17]С2.5!$W$11</f>
        <v>0</v>
      </c>
    </row>
    <row r="162" spans="2:3" hidden="1">
      <c r="B162" s="86">
        <f t="shared" si="0"/>
        <v>2039</v>
      </c>
      <c r="C162" s="136">
        <f>[17]С2.5!$X$11</f>
        <v>0</v>
      </c>
    </row>
    <row r="163" spans="2:3" hidden="1">
      <c r="B163" s="86">
        <f t="shared" si="0"/>
        <v>2040</v>
      </c>
      <c r="C163" s="136">
        <f>[17]С2.5!$Y$11</f>
        <v>0</v>
      </c>
    </row>
    <row r="164" spans="2:3" hidden="1">
      <c r="B164" s="86">
        <f t="shared" si="0"/>
        <v>2041</v>
      </c>
      <c r="C164" s="136">
        <f>[17]С2.5!$Z$11</f>
        <v>0</v>
      </c>
    </row>
    <row r="165" spans="2:3" hidden="1">
      <c r="B165" s="86">
        <f t="shared" si="0"/>
        <v>2042</v>
      </c>
      <c r="C165" s="136">
        <f>[17]С2.5!$AA$11</f>
        <v>0</v>
      </c>
    </row>
    <row r="166" spans="2:3" hidden="1">
      <c r="B166" s="86">
        <f t="shared" si="0"/>
        <v>2043</v>
      </c>
      <c r="C166" s="136">
        <f>[17]С2.5!$AB$11</f>
        <v>0</v>
      </c>
    </row>
    <row r="167" spans="2:3" hidden="1">
      <c r="B167" s="86">
        <f t="shared" si="0"/>
        <v>2044</v>
      </c>
      <c r="C167" s="136">
        <f>[17]С2.5!$AC$11</f>
        <v>0</v>
      </c>
    </row>
    <row r="168" spans="2:3" hidden="1">
      <c r="B168" s="86">
        <f t="shared" si="0"/>
        <v>2045</v>
      </c>
      <c r="C168" s="136">
        <f>[17]С2.5!$AD$11</f>
        <v>0</v>
      </c>
    </row>
    <row r="169" spans="2:3" hidden="1">
      <c r="B169" s="86">
        <f t="shared" si="0"/>
        <v>2046</v>
      </c>
      <c r="C169" s="136">
        <f>[17]С2.5!$AE$11</f>
        <v>0</v>
      </c>
    </row>
    <row r="170" spans="2:3" hidden="1">
      <c r="B170" s="86">
        <f t="shared" si="0"/>
        <v>2047</v>
      </c>
      <c r="C170" s="136">
        <f>[17]С2.5!$AF$11</f>
        <v>0</v>
      </c>
    </row>
    <row r="171" spans="2:3" hidden="1">
      <c r="B171" s="86">
        <f t="shared" si="0"/>
        <v>2048</v>
      </c>
      <c r="C171" s="136">
        <f>[17]С2.5!$AG$11</f>
        <v>0</v>
      </c>
    </row>
    <row r="172" spans="2:3" hidden="1">
      <c r="B172" s="86">
        <f t="shared" si="0"/>
        <v>2049</v>
      </c>
      <c r="C172" s="136">
        <f>[17]С2.5!$AH$11</f>
        <v>0</v>
      </c>
    </row>
    <row r="173" spans="2:3" hidden="1">
      <c r="B173" s="86">
        <f t="shared" si="0"/>
        <v>2050</v>
      </c>
      <c r="C173" s="136">
        <f>[17]С2.5!$AI$11</f>
        <v>0</v>
      </c>
    </row>
    <row r="174" spans="2:3" hidden="1">
      <c r="B174" s="86">
        <f t="shared" si="0"/>
        <v>2051</v>
      </c>
      <c r="C174" s="136">
        <f>[17]С2.5!$AJ$11</f>
        <v>0</v>
      </c>
    </row>
    <row r="175" spans="2:3" hidden="1">
      <c r="B175" s="86">
        <f t="shared" si="0"/>
        <v>2052</v>
      </c>
      <c r="C175" s="136">
        <f>[17]С2.5!$AK$11</f>
        <v>0</v>
      </c>
    </row>
    <row r="176" spans="2:3" hidden="1">
      <c r="B176" s="86">
        <f t="shared" si="0"/>
        <v>2053</v>
      </c>
      <c r="C176" s="136">
        <f>[17]С2.5!$AL$11</f>
        <v>0</v>
      </c>
    </row>
    <row r="177" spans="2:3" hidden="1">
      <c r="B177" s="86">
        <f t="shared" si="0"/>
        <v>2054</v>
      </c>
      <c r="C177" s="136">
        <f>[17]С2.5!$AM$11</f>
        <v>0</v>
      </c>
    </row>
    <row r="178" spans="2:3" hidden="1">
      <c r="B178" s="86">
        <f t="shared" si="0"/>
        <v>2055</v>
      </c>
      <c r="C178" s="136">
        <f>[17]С2.5!$AN$11</f>
        <v>0</v>
      </c>
    </row>
    <row r="179" spans="2:3" hidden="1">
      <c r="B179" s="86">
        <f t="shared" si="0"/>
        <v>2056</v>
      </c>
      <c r="C179" s="136">
        <f>[17]С2.5!$AO$11</f>
        <v>0</v>
      </c>
    </row>
    <row r="180" spans="2:3" hidden="1">
      <c r="B180" s="86">
        <f t="shared" si="0"/>
        <v>2057</v>
      </c>
      <c r="C180" s="136">
        <f>[17]С2.5!$AP$11</f>
        <v>0</v>
      </c>
    </row>
    <row r="181" spans="2:3" hidden="1">
      <c r="B181" s="86">
        <f t="shared" si="0"/>
        <v>2058</v>
      </c>
      <c r="C181" s="136">
        <f>[17]С2.5!$AQ$11</f>
        <v>0</v>
      </c>
    </row>
    <row r="182" spans="2:3" hidden="1">
      <c r="B182" s="86">
        <f t="shared" si="0"/>
        <v>2059</v>
      </c>
      <c r="C182" s="136">
        <f>[17]С2.5!$AR$11</f>
        <v>0</v>
      </c>
    </row>
    <row r="183" spans="2:3" hidden="1">
      <c r="B183" s="86">
        <f t="shared" si="0"/>
        <v>2060</v>
      </c>
      <c r="C183" s="136">
        <f>[17]С2.5!$AS$11</f>
        <v>0</v>
      </c>
    </row>
    <row r="184" spans="2:3" hidden="1">
      <c r="B184" s="86">
        <f t="shared" si="0"/>
        <v>2061</v>
      </c>
      <c r="C184" s="136">
        <f>[17]С2.5!$AT$11</f>
        <v>0</v>
      </c>
    </row>
    <row r="185" spans="2:3" hidden="1">
      <c r="B185" s="86">
        <f t="shared" si="0"/>
        <v>2062</v>
      </c>
      <c r="C185" s="136">
        <f>[17]С2.5!$AU$11</f>
        <v>0</v>
      </c>
    </row>
    <row r="186" spans="2:3" hidden="1">
      <c r="B186" s="86">
        <f t="shared" si="0"/>
        <v>2063</v>
      </c>
      <c r="C186" s="136">
        <f>[17]С2.5!$AV$11</f>
        <v>0</v>
      </c>
    </row>
    <row r="187" spans="2:3" hidden="1">
      <c r="B187" s="86">
        <f t="shared" si="0"/>
        <v>2064</v>
      </c>
      <c r="C187" s="136">
        <f>[17]С2.5!$AW$11</f>
        <v>0</v>
      </c>
    </row>
    <row r="188" spans="2:3" hidden="1">
      <c r="B188" s="86">
        <f t="shared" si="0"/>
        <v>2065</v>
      </c>
      <c r="C188" s="136">
        <f>[17]С2.5!$AX$11</f>
        <v>0</v>
      </c>
    </row>
    <row r="189" spans="2:3" hidden="1">
      <c r="B189" s="86">
        <f t="shared" si="0"/>
        <v>2066</v>
      </c>
      <c r="C189" s="136">
        <f>[17]С2.5!$AY$11</f>
        <v>0</v>
      </c>
    </row>
    <row r="190" spans="2:3" hidden="1">
      <c r="B190" s="86">
        <f t="shared" si="0"/>
        <v>2067</v>
      </c>
      <c r="C190" s="136">
        <f>[17]С2.5!$AZ$11</f>
        <v>0</v>
      </c>
    </row>
    <row r="191" spans="2:3" hidden="1">
      <c r="B191" s="86">
        <f t="shared" si="0"/>
        <v>2068</v>
      </c>
      <c r="C191" s="136">
        <f>[17]С2.5!$BA$11</f>
        <v>0</v>
      </c>
    </row>
    <row r="192" spans="2:3" hidden="1">
      <c r="B192" s="86">
        <f t="shared" si="0"/>
        <v>2069</v>
      </c>
      <c r="C192" s="136">
        <f>[17]С2.5!$BB$11</f>
        <v>0</v>
      </c>
    </row>
    <row r="193" spans="2:3" hidden="1">
      <c r="B193" s="86">
        <f t="shared" si="0"/>
        <v>2070</v>
      </c>
      <c r="C193" s="136">
        <f>[17]С2.5!$BC$11</f>
        <v>0</v>
      </c>
    </row>
    <row r="194" spans="2:3" hidden="1">
      <c r="B194" s="86">
        <f t="shared" si="0"/>
        <v>2071</v>
      </c>
      <c r="C194" s="136">
        <f>[17]С2.5!$BD$11</f>
        <v>0</v>
      </c>
    </row>
    <row r="195" spans="2:3" hidden="1">
      <c r="B195" s="86">
        <f t="shared" si="0"/>
        <v>2072</v>
      </c>
      <c r="C195" s="136">
        <f>[17]С2.5!$BE$11</f>
        <v>0</v>
      </c>
    </row>
    <row r="196" spans="2:3" hidden="1">
      <c r="B196" s="86">
        <f t="shared" si="0"/>
        <v>2073</v>
      </c>
      <c r="C196" s="136">
        <f>[17]С2.5!$BF$11</f>
        <v>0</v>
      </c>
    </row>
    <row r="197" spans="2:3" hidden="1">
      <c r="B197" s="86">
        <f t="shared" si="0"/>
        <v>2074</v>
      </c>
      <c r="C197" s="136">
        <f>[17]С2.5!$BG$11</f>
        <v>0</v>
      </c>
    </row>
    <row r="198" spans="2:3" hidden="1">
      <c r="B198" s="86">
        <f t="shared" si="0"/>
        <v>2075</v>
      </c>
      <c r="C198" s="136">
        <f>[17]С2.5!$BH$11</f>
        <v>0</v>
      </c>
    </row>
    <row r="199" spans="2:3" hidden="1">
      <c r="B199" s="86">
        <f t="shared" si="0"/>
        <v>2076</v>
      </c>
      <c r="C199" s="136">
        <f>[17]С2.5!$BI$11</f>
        <v>0</v>
      </c>
    </row>
    <row r="200" spans="2:3" hidden="1">
      <c r="B200" s="86">
        <f t="shared" si="0"/>
        <v>2077</v>
      </c>
      <c r="C200" s="136">
        <f>[17]С2.5!$BJ$11</f>
        <v>0</v>
      </c>
    </row>
    <row r="201" spans="2:3" hidden="1">
      <c r="B201" s="86">
        <f t="shared" si="0"/>
        <v>2078</v>
      </c>
      <c r="C201" s="136">
        <f>[17]С2.5!$BK$11</f>
        <v>0</v>
      </c>
    </row>
    <row r="202" spans="2:3" hidden="1">
      <c r="B202" s="86">
        <f t="shared" si="0"/>
        <v>2079</v>
      </c>
      <c r="C202" s="136">
        <f>[17]С2.5!$BL$11</f>
        <v>0</v>
      </c>
    </row>
    <row r="203" spans="2:3" hidden="1">
      <c r="B203" s="86">
        <f t="shared" si="0"/>
        <v>2080</v>
      </c>
      <c r="C203" s="136">
        <f>[17]С2.5!$BM$11</f>
        <v>0</v>
      </c>
    </row>
    <row r="204" spans="2:3" hidden="1">
      <c r="B204" s="86">
        <f t="shared" si="0"/>
        <v>2081</v>
      </c>
      <c r="C204" s="136">
        <f>[17]С2.5!$BN$11</f>
        <v>0</v>
      </c>
    </row>
    <row r="205" spans="2:3" hidden="1">
      <c r="B205" s="86">
        <f t="shared" si="0"/>
        <v>2082</v>
      </c>
      <c r="C205" s="136">
        <f>[17]С2.5!$BO$11</f>
        <v>0</v>
      </c>
    </row>
    <row r="206" spans="2:3" hidden="1">
      <c r="B206" s="86">
        <f t="shared" si="0"/>
        <v>2083</v>
      </c>
      <c r="C206" s="136">
        <f>[17]С2.5!$BP$11</f>
        <v>0</v>
      </c>
    </row>
    <row r="207" spans="2:3" hidden="1">
      <c r="B207" s="86">
        <f t="shared" si="0"/>
        <v>2084</v>
      </c>
      <c r="C207" s="136">
        <f>[17]С2.5!$BQ$11</f>
        <v>0</v>
      </c>
    </row>
    <row r="208" spans="2:3" hidden="1">
      <c r="B208" s="86">
        <f t="shared" si="0"/>
        <v>2085</v>
      </c>
      <c r="C208" s="136">
        <f>[17]С2.5!$BR$11</f>
        <v>0</v>
      </c>
    </row>
    <row r="209" spans="2:3" hidden="1">
      <c r="B209" s="86">
        <f t="shared" ref="B209:B223" si="1">B208+1</f>
        <v>2086</v>
      </c>
      <c r="C209" s="136">
        <f>[17]С2.5!$BS$11</f>
        <v>0</v>
      </c>
    </row>
    <row r="210" spans="2:3" hidden="1">
      <c r="B210" s="86">
        <f t="shared" si="1"/>
        <v>2087</v>
      </c>
      <c r="C210" s="136">
        <f>[17]С2.5!$BT$11</f>
        <v>0</v>
      </c>
    </row>
    <row r="211" spans="2:3" hidden="1">
      <c r="B211" s="86">
        <f t="shared" si="1"/>
        <v>2088</v>
      </c>
      <c r="C211" s="136">
        <f>[17]С2.5!$BU$11</f>
        <v>0</v>
      </c>
    </row>
    <row r="212" spans="2:3" hidden="1">
      <c r="B212" s="86">
        <f t="shared" si="1"/>
        <v>2089</v>
      </c>
      <c r="C212" s="136">
        <f>[17]С2.5!$BV$11</f>
        <v>0</v>
      </c>
    </row>
    <row r="213" spans="2:3" hidden="1">
      <c r="B213" s="86">
        <f t="shared" si="1"/>
        <v>2090</v>
      </c>
      <c r="C213" s="136">
        <f>[17]С2.5!$BW$11</f>
        <v>0</v>
      </c>
    </row>
    <row r="214" spans="2:3" hidden="1">
      <c r="B214" s="86">
        <f t="shared" si="1"/>
        <v>2091</v>
      </c>
      <c r="C214" s="136">
        <f>[17]С2.5!$BX$11</f>
        <v>0</v>
      </c>
    </row>
    <row r="215" spans="2:3" hidden="1">
      <c r="B215" s="86">
        <f t="shared" si="1"/>
        <v>2092</v>
      </c>
      <c r="C215" s="136">
        <f>[17]С2.5!$BY$11</f>
        <v>0</v>
      </c>
    </row>
    <row r="216" spans="2:3" hidden="1">
      <c r="B216" s="86">
        <f t="shared" si="1"/>
        <v>2093</v>
      </c>
      <c r="C216" s="136">
        <f>[17]С2.5!$BZ$11</f>
        <v>0</v>
      </c>
    </row>
    <row r="217" spans="2:3" hidden="1">
      <c r="B217" s="86">
        <f t="shared" si="1"/>
        <v>2094</v>
      </c>
      <c r="C217" s="136">
        <f>[17]С2.5!$CA$11</f>
        <v>0</v>
      </c>
    </row>
    <row r="218" spans="2:3" hidden="1">
      <c r="B218" s="86">
        <f t="shared" si="1"/>
        <v>2095</v>
      </c>
      <c r="C218" s="136">
        <f>[17]С2.5!$CB$11</f>
        <v>0</v>
      </c>
    </row>
    <row r="219" spans="2:3" hidden="1">
      <c r="B219" s="86">
        <f t="shared" si="1"/>
        <v>2096</v>
      </c>
      <c r="C219" s="136">
        <f>[17]С2.5!$CC$11</f>
        <v>0</v>
      </c>
    </row>
    <row r="220" spans="2:3" hidden="1">
      <c r="B220" s="86">
        <f t="shared" si="1"/>
        <v>2097</v>
      </c>
      <c r="C220" s="136">
        <f>[17]С2.5!$CD$11</f>
        <v>0</v>
      </c>
    </row>
    <row r="221" spans="2:3" hidden="1">
      <c r="B221" s="86">
        <f t="shared" si="1"/>
        <v>2098</v>
      </c>
      <c r="C221" s="136">
        <f>[17]С2.5!$CE$11</f>
        <v>0</v>
      </c>
    </row>
    <row r="222" spans="2:3" hidden="1">
      <c r="B222" s="86">
        <f t="shared" si="1"/>
        <v>2099</v>
      </c>
      <c r="C222" s="136">
        <f>[17]С2.5!$CF$11</f>
        <v>0</v>
      </c>
    </row>
    <row r="223" spans="2:3" ht="13.5" hidden="1" thickBot="1">
      <c r="B223" s="87">
        <f t="shared" si="1"/>
        <v>2100</v>
      </c>
      <c r="C223" s="137">
        <f>[17]С2.5!$CG$11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4033" r:id="rId3" name="Button 1">
              <controlPr defaultSize="0" print="0" autoFill="0" autoPict="0" macro="[1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F20" sqref="F20"/>
    </sheetView>
  </sheetViews>
  <sheetFormatPr defaultRowHeight="12.75"/>
  <cols>
    <col min="1" max="1" width="9.140625" style="1" customWidth="1"/>
    <col min="2" max="2" width="100.5703125" style="1" customWidth="1"/>
    <col min="3" max="3" width="20.85546875" style="5" customWidth="1"/>
    <col min="4" max="4" width="5.140625" style="1" customWidth="1"/>
    <col min="5" max="5" width="17.5703125" style="1" customWidth="1"/>
    <col min="6" max="249" width="9.140625" style="1"/>
    <col min="250" max="250" width="3.5703125" style="1" customWidth="1"/>
    <col min="251" max="251" width="96.85546875" style="1" customWidth="1"/>
    <col min="252" max="252" width="30.85546875" style="1" customWidth="1"/>
    <col min="253" max="253" width="12.5703125" style="1" customWidth="1"/>
    <col min="254" max="254" width="5.140625" style="1" customWidth="1"/>
    <col min="255" max="255" width="9.140625" style="1"/>
    <col min="256" max="256" width="4.85546875" style="1" customWidth="1"/>
    <col min="257" max="257" width="30.5703125" style="1" customWidth="1"/>
    <col min="258" max="258" width="33.85546875" style="1" customWidth="1"/>
    <col min="259" max="259" width="5.140625" style="1" customWidth="1"/>
    <col min="260" max="261" width="17.5703125" style="1" customWidth="1"/>
    <col min="262" max="505" width="9.140625" style="1"/>
    <col min="506" max="506" width="3.5703125" style="1" customWidth="1"/>
    <col min="507" max="507" width="96.85546875" style="1" customWidth="1"/>
    <col min="508" max="508" width="30.85546875" style="1" customWidth="1"/>
    <col min="509" max="509" width="12.5703125" style="1" customWidth="1"/>
    <col min="510" max="510" width="5.140625" style="1" customWidth="1"/>
    <col min="511" max="511" width="9.140625" style="1"/>
    <col min="512" max="512" width="4.85546875" style="1" customWidth="1"/>
    <col min="513" max="513" width="30.5703125" style="1" customWidth="1"/>
    <col min="514" max="514" width="33.85546875" style="1" customWidth="1"/>
    <col min="515" max="515" width="5.140625" style="1" customWidth="1"/>
    <col min="516" max="517" width="17.5703125" style="1" customWidth="1"/>
    <col min="518" max="761" width="9.140625" style="1"/>
    <col min="762" max="762" width="3.5703125" style="1" customWidth="1"/>
    <col min="763" max="763" width="96.85546875" style="1" customWidth="1"/>
    <col min="764" max="764" width="30.85546875" style="1" customWidth="1"/>
    <col min="765" max="765" width="12.5703125" style="1" customWidth="1"/>
    <col min="766" max="766" width="5.140625" style="1" customWidth="1"/>
    <col min="767" max="767" width="9.140625" style="1"/>
    <col min="768" max="768" width="4.85546875" style="1" customWidth="1"/>
    <col min="769" max="769" width="30.5703125" style="1" customWidth="1"/>
    <col min="770" max="770" width="33.85546875" style="1" customWidth="1"/>
    <col min="771" max="771" width="5.140625" style="1" customWidth="1"/>
    <col min="772" max="773" width="17.5703125" style="1" customWidth="1"/>
    <col min="774" max="1017" width="9.140625" style="1"/>
    <col min="1018" max="1018" width="3.5703125" style="1" customWidth="1"/>
    <col min="1019" max="1019" width="96.85546875" style="1" customWidth="1"/>
    <col min="1020" max="1020" width="30.85546875" style="1" customWidth="1"/>
    <col min="1021" max="1021" width="12.5703125" style="1" customWidth="1"/>
    <col min="1022" max="1022" width="5.140625" style="1" customWidth="1"/>
    <col min="1023" max="1023" width="9.140625" style="1"/>
    <col min="1024" max="1024" width="4.85546875" style="1" customWidth="1"/>
    <col min="1025" max="1025" width="30.5703125" style="1" customWidth="1"/>
    <col min="1026" max="1026" width="33.85546875" style="1" customWidth="1"/>
    <col min="1027" max="1027" width="5.140625" style="1" customWidth="1"/>
    <col min="1028" max="1029" width="17.5703125" style="1" customWidth="1"/>
    <col min="1030" max="1273" width="9.140625" style="1"/>
    <col min="1274" max="1274" width="3.5703125" style="1" customWidth="1"/>
    <col min="1275" max="1275" width="96.85546875" style="1" customWidth="1"/>
    <col min="1276" max="1276" width="30.85546875" style="1" customWidth="1"/>
    <col min="1277" max="1277" width="12.5703125" style="1" customWidth="1"/>
    <col min="1278" max="1278" width="5.140625" style="1" customWidth="1"/>
    <col min="1279" max="1279" width="9.140625" style="1"/>
    <col min="1280" max="1280" width="4.85546875" style="1" customWidth="1"/>
    <col min="1281" max="1281" width="30.5703125" style="1" customWidth="1"/>
    <col min="1282" max="1282" width="33.85546875" style="1" customWidth="1"/>
    <col min="1283" max="1283" width="5.140625" style="1" customWidth="1"/>
    <col min="1284" max="1285" width="17.5703125" style="1" customWidth="1"/>
    <col min="1286" max="1529" width="9.140625" style="1"/>
    <col min="1530" max="1530" width="3.5703125" style="1" customWidth="1"/>
    <col min="1531" max="1531" width="96.85546875" style="1" customWidth="1"/>
    <col min="1532" max="1532" width="30.85546875" style="1" customWidth="1"/>
    <col min="1533" max="1533" width="12.5703125" style="1" customWidth="1"/>
    <col min="1534" max="1534" width="5.140625" style="1" customWidth="1"/>
    <col min="1535" max="1535" width="9.140625" style="1"/>
    <col min="1536" max="1536" width="4.85546875" style="1" customWidth="1"/>
    <col min="1537" max="1537" width="30.5703125" style="1" customWidth="1"/>
    <col min="1538" max="1538" width="33.85546875" style="1" customWidth="1"/>
    <col min="1539" max="1539" width="5.140625" style="1" customWidth="1"/>
    <col min="1540" max="1541" width="17.5703125" style="1" customWidth="1"/>
    <col min="1542" max="1785" width="9.140625" style="1"/>
    <col min="1786" max="1786" width="3.5703125" style="1" customWidth="1"/>
    <col min="1787" max="1787" width="96.85546875" style="1" customWidth="1"/>
    <col min="1788" max="1788" width="30.85546875" style="1" customWidth="1"/>
    <col min="1789" max="1789" width="12.5703125" style="1" customWidth="1"/>
    <col min="1790" max="1790" width="5.140625" style="1" customWidth="1"/>
    <col min="1791" max="1791" width="9.140625" style="1"/>
    <col min="1792" max="1792" width="4.85546875" style="1" customWidth="1"/>
    <col min="1793" max="1793" width="30.5703125" style="1" customWidth="1"/>
    <col min="1794" max="1794" width="33.85546875" style="1" customWidth="1"/>
    <col min="1795" max="1795" width="5.140625" style="1" customWidth="1"/>
    <col min="1796" max="1797" width="17.5703125" style="1" customWidth="1"/>
    <col min="1798" max="2041" width="9.140625" style="1"/>
    <col min="2042" max="2042" width="3.5703125" style="1" customWidth="1"/>
    <col min="2043" max="2043" width="96.85546875" style="1" customWidth="1"/>
    <col min="2044" max="2044" width="30.85546875" style="1" customWidth="1"/>
    <col min="2045" max="2045" width="12.5703125" style="1" customWidth="1"/>
    <col min="2046" max="2046" width="5.140625" style="1" customWidth="1"/>
    <col min="2047" max="2047" width="9.140625" style="1"/>
    <col min="2048" max="2048" width="4.85546875" style="1" customWidth="1"/>
    <col min="2049" max="2049" width="30.5703125" style="1" customWidth="1"/>
    <col min="2050" max="2050" width="33.85546875" style="1" customWidth="1"/>
    <col min="2051" max="2051" width="5.140625" style="1" customWidth="1"/>
    <col min="2052" max="2053" width="17.5703125" style="1" customWidth="1"/>
    <col min="2054" max="2297" width="9.140625" style="1"/>
    <col min="2298" max="2298" width="3.5703125" style="1" customWidth="1"/>
    <col min="2299" max="2299" width="96.85546875" style="1" customWidth="1"/>
    <col min="2300" max="2300" width="30.85546875" style="1" customWidth="1"/>
    <col min="2301" max="2301" width="12.5703125" style="1" customWidth="1"/>
    <col min="2302" max="2302" width="5.140625" style="1" customWidth="1"/>
    <col min="2303" max="2303" width="9.140625" style="1"/>
    <col min="2304" max="2304" width="4.85546875" style="1" customWidth="1"/>
    <col min="2305" max="2305" width="30.5703125" style="1" customWidth="1"/>
    <col min="2306" max="2306" width="33.85546875" style="1" customWidth="1"/>
    <col min="2307" max="2307" width="5.140625" style="1" customWidth="1"/>
    <col min="2308" max="2309" width="17.5703125" style="1" customWidth="1"/>
    <col min="2310" max="2553" width="9.140625" style="1"/>
    <col min="2554" max="2554" width="3.5703125" style="1" customWidth="1"/>
    <col min="2555" max="2555" width="96.85546875" style="1" customWidth="1"/>
    <col min="2556" max="2556" width="30.85546875" style="1" customWidth="1"/>
    <col min="2557" max="2557" width="12.5703125" style="1" customWidth="1"/>
    <col min="2558" max="2558" width="5.140625" style="1" customWidth="1"/>
    <col min="2559" max="2559" width="9.140625" style="1"/>
    <col min="2560" max="2560" width="4.85546875" style="1" customWidth="1"/>
    <col min="2561" max="2561" width="30.5703125" style="1" customWidth="1"/>
    <col min="2562" max="2562" width="33.85546875" style="1" customWidth="1"/>
    <col min="2563" max="2563" width="5.140625" style="1" customWidth="1"/>
    <col min="2564" max="2565" width="17.5703125" style="1" customWidth="1"/>
    <col min="2566" max="2809" width="9.140625" style="1"/>
    <col min="2810" max="2810" width="3.5703125" style="1" customWidth="1"/>
    <col min="2811" max="2811" width="96.85546875" style="1" customWidth="1"/>
    <col min="2812" max="2812" width="30.85546875" style="1" customWidth="1"/>
    <col min="2813" max="2813" width="12.5703125" style="1" customWidth="1"/>
    <col min="2814" max="2814" width="5.140625" style="1" customWidth="1"/>
    <col min="2815" max="2815" width="9.140625" style="1"/>
    <col min="2816" max="2816" width="4.85546875" style="1" customWidth="1"/>
    <col min="2817" max="2817" width="30.5703125" style="1" customWidth="1"/>
    <col min="2818" max="2818" width="33.85546875" style="1" customWidth="1"/>
    <col min="2819" max="2819" width="5.140625" style="1" customWidth="1"/>
    <col min="2820" max="2821" width="17.5703125" style="1" customWidth="1"/>
    <col min="2822" max="3065" width="9.140625" style="1"/>
    <col min="3066" max="3066" width="3.5703125" style="1" customWidth="1"/>
    <col min="3067" max="3067" width="96.85546875" style="1" customWidth="1"/>
    <col min="3068" max="3068" width="30.85546875" style="1" customWidth="1"/>
    <col min="3069" max="3069" width="12.5703125" style="1" customWidth="1"/>
    <col min="3070" max="3070" width="5.140625" style="1" customWidth="1"/>
    <col min="3071" max="3071" width="9.140625" style="1"/>
    <col min="3072" max="3072" width="4.85546875" style="1" customWidth="1"/>
    <col min="3073" max="3073" width="30.5703125" style="1" customWidth="1"/>
    <col min="3074" max="3074" width="33.85546875" style="1" customWidth="1"/>
    <col min="3075" max="3075" width="5.140625" style="1" customWidth="1"/>
    <col min="3076" max="3077" width="17.5703125" style="1" customWidth="1"/>
    <col min="3078" max="3321" width="9.140625" style="1"/>
    <col min="3322" max="3322" width="3.5703125" style="1" customWidth="1"/>
    <col min="3323" max="3323" width="96.85546875" style="1" customWidth="1"/>
    <col min="3324" max="3324" width="30.85546875" style="1" customWidth="1"/>
    <col min="3325" max="3325" width="12.5703125" style="1" customWidth="1"/>
    <col min="3326" max="3326" width="5.140625" style="1" customWidth="1"/>
    <col min="3327" max="3327" width="9.140625" style="1"/>
    <col min="3328" max="3328" width="4.85546875" style="1" customWidth="1"/>
    <col min="3329" max="3329" width="30.5703125" style="1" customWidth="1"/>
    <col min="3330" max="3330" width="33.85546875" style="1" customWidth="1"/>
    <col min="3331" max="3331" width="5.140625" style="1" customWidth="1"/>
    <col min="3332" max="3333" width="17.5703125" style="1" customWidth="1"/>
    <col min="3334" max="3577" width="9.140625" style="1"/>
    <col min="3578" max="3578" width="3.5703125" style="1" customWidth="1"/>
    <col min="3579" max="3579" width="96.85546875" style="1" customWidth="1"/>
    <col min="3580" max="3580" width="30.85546875" style="1" customWidth="1"/>
    <col min="3581" max="3581" width="12.5703125" style="1" customWidth="1"/>
    <col min="3582" max="3582" width="5.140625" style="1" customWidth="1"/>
    <col min="3583" max="3583" width="9.140625" style="1"/>
    <col min="3584" max="3584" width="4.85546875" style="1" customWidth="1"/>
    <col min="3585" max="3585" width="30.5703125" style="1" customWidth="1"/>
    <col min="3586" max="3586" width="33.85546875" style="1" customWidth="1"/>
    <col min="3587" max="3587" width="5.140625" style="1" customWidth="1"/>
    <col min="3588" max="3589" width="17.5703125" style="1" customWidth="1"/>
    <col min="3590" max="3833" width="9.140625" style="1"/>
    <col min="3834" max="3834" width="3.5703125" style="1" customWidth="1"/>
    <col min="3835" max="3835" width="96.85546875" style="1" customWidth="1"/>
    <col min="3836" max="3836" width="30.85546875" style="1" customWidth="1"/>
    <col min="3837" max="3837" width="12.5703125" style="1" customWidth="1"/>
    <col min="3838" max="3838" width="5.140625" style="1" customWidth="1"/>
    <col min="3839" max="3839" width="9.140625" style="1"/>
    <col min="3840" max="3840" width="4.85546875" style="1" customWidth="1"/>
    <col min="3841" max="3841" width="30.5703125" style="1" customWidth="1"/>
    <col min="3842" max="3842" width="33.85546875" style="1" customWidth="1"/>
    <col min="3843" max="3843" width="5.140625" style="1" customWidth="1"/>
    <col min="3844" max="3845" width="17.5703125" style="1" customWidth="1"/>
    <col min="3846" max="4089" width="9.140625" style="1"/>
    <col min="4090" max="4090" width="3.5703125" style="1" customWidth="1"/>
    <col min="4091" max="4091" width="96.85546875" style="1" customWidth="1"/>
    <col min="4092" max="4092" width="30.85546875" style="1" customWidth="1"/>
    <col min="4093" max="4093" width="12.5703125" style="1" customWidth="1"/>
    <col min="4094" max="4094" width="5.140625" style="1" customWidth="1"/>
    <col min="4095" max="4095" width="9.140625" style="1"/>
    <col min="4096" max="4096" width="4.85546875" style="1" customWidth="1"/>
    <col min="4097" max="4097" width="30.5703125" style="1" customWidth="1"/>
    <col min="4098" max="4098" width="33.85546875" style="1" customWidth="1"/>
    <col min="4099" max="4099" width="5.140625" style="1" customWidth="1"/>
    <col min="4100" max="4101" width="17.5703125" style="1" customWidth="1"/>
    <col min="4102" max="4345" width="9.140625" style="1"/>
    <col min="4346" max="4346" width="3.5703125" style="1" customWidth="1"/>
    <col min="4347" max="4347" width="96.85546875" style="1" customWidth="1"/>
    <col min="4348" max="4348" width="30.85546875" style="1" customWidth="1"/>
    <col min="4349" max="4349" width="12.5703125" style="1" customWidth="1"/>
    <col min="4350" max="4350" width="5.140625" style="1" customWidth="1"/>
    <col min="4351" max="4351" width="9.140625" style="1"/>
    <col min="4352" max="4352" width="4.85546875" style="1" customWidth="1"/>
    <col min="4353" max="4353" width="30.5703125" style="1" customWidth="1"/>
    <col min="4354" max="4354" width="33.85546875" style="1" customWidth="1"/>
    <col min="4355" max="4355" width="5.140625" style="1" customWidth="1"/>
    <col min="4356" max="4357" width="17.5703125" style="1" customWidth="1"/>
    <col min="4358" max="4601" width="9.140625" style="1"/>
    <col min="4602" max="4602" width="3.5703125" style="1" customWidth="1"/>
    <col min="4603" max="4603" width="96.85546875" style="1" customWidth="1"/>
    <col min="4604" max="4604" width="30.85546875" style="1" customWidth="1"/>
    <col min="4605" max="4605" width="12.5703125" style="1" customWidth="1"/>
    <col min="4606" max="4606" width="5.140625" style="1" customWidth="1"/>
    <col min="4607" max="4607" width="9.140625" style="1"/>
    <col min="4608" max="4608" width="4.85546875" style="1" customWidth="1"/>
    <col min="4609" max="4609" width="30.5703125" style="1" customWidth="1"/>
    <col min="4610" max="4610" width="33.85546875" style="1" customWidth="1"/>
    <col min="4611" max="4611" width="5.140625" style="1" customWidth="1"/>
    <col min="4612" max="4613" width="17.5703125" style="1" customWidth="1"/>
    <col min="4614" max="4857" width="9.140625" style="1"/>
    <col min="4858" max="4858" width="3.5703125" style="1" customWidth="1"/>
    <col min="4859" max="4859" width="96.85546875" style="1" customWidth="1"/>
    <col min="4860" max="4860" width="30.85546875" style="1" customWidth="1"/>
    <col min="4861" max="4861" width="12.5703125" style="1" customWidth="1"/>
    <col min="4862" max="4862" width="5.140625" style="1" customWidth="1"/>
    <col min="4863" max="4863" width="9.140625" style="1"/>
    <col min="4864" max="4864" width="4.85546875" style="1" customWidth="1"/>
    <col min="4865" max="4865" width="30.5703125" style="1" customWidth="1"/>
    <col min="4866" max="4866" width="33.85546875" style="1" customWidth="1"/>
    <col min="4867" max="4867" width="5.140625" style="1" customWidth="1"/>
    <col min="4868" max="4869" width="17.5703125" style="1" customWidth="1"/>
    <col min="4870" max="5113" width="9.140625" style="1"/>
    <col min="5114" max="5114" width="3.5703125" style="1" customWidth="1"/>
    <col min="5115" max="5115" width="96.85546875" style="1" customWidth="1"/>
    <col min="5116" max="5116" width="30.85546875" style="1" customWidth="1"/>
    <col min="5117" max="5117" width="12.5703125" style="1" customWidth="1"/>
    <col min="5118" max="5118" width="5.140625" style="1" customWidth="1"/>
    <col min="5119" max="5119" width="9.140625" style="1"/>
    <col min="5120" max="5120" width="4.85546875" style="1" customWidth="1"/>
    <col min="5121" max="5121" width="30.5703125" style="1" customWidth="1"/>
    <col min="5122" max="5122" width="33.85546875" style="1" customWidth="1"/>
    <col min="5123" max="5123" width="5.140625" style="1" customWidth="1"/>
    <col min="5124" max="5125" width="17.5703125" style="1" customWidth="1"/>
    <col min="5126" max="5369" width="9.140625" style="1"/>
    <col min="5370" max="5370" width="3.5703125" style="1" customWidth="1"/>
    <col min="5371" max="5371" width="96.85546875" style="1" customWidth="1"/>
    <col min="5372" max="5372" width="30.85546875" style="1" customWidth="1"/>
    <col min="5373" max="5373" width="12.5703125" style="1" customWidth="1"/>
    <col min="5374" max="5374" width="5.140625" style="1" customWidth="1"/>
    <col min="5375" max="5375" width="9.140625" style="1"/>
    <col min="5376" max="5376" width="4.85546875" style="1" customWidth="1"/>
    <col min="5377" max="5377" width="30.5703125" style="1" customWidth="1"/>
    <col min="5378" max="5378" width="33.85546875" style="1" customWidth="1"/>
    <col min="5379" max="5379" width="5.140625" style="1" customWidth="1"/>
    <col min="5380" max="5381" width="17.5703125" style="1" customWidth="1"/>
    <col min="5382" max="5625" width="9.140625" style="1"/>
    <col min="5626" max="5626" width="3.5703125" style="1" customWidth="1"/>
    <col min="5627" max="5627" width="96.85546875" style="1" customWidth="1"/>
    <col min="5628" max="5628" width="30.85546875" style="1" customWidth="1"/>
    <col min="5629" max="5629" width="12.5703125" style="1" customWidth="1"/>
    <col min="5630" max="5630" width="5.140625" style="1" customWidth="1"/>
    <col min="5631" max="5631" width="9.140625" style="1"/>
    <col min="5632" max="5632" width="4.85546875" style="1" customWidth="1"/>
    <col min="5633" max="5633" width="30.5703125" style="1" customWidth="1"/>
    <col min="5634" max="5634" width="33.85546875" style="1" customWidth="1"/>
    <col min="5635" max="5635" width="5.140625" style="1" customWidth="1"/>
    <col min="5636" max="5637" width="17.5703125" style="1" customWidth="1"/>
    <col min="5638" max="5881" width="9.140625" style="1"/>
    <col min="5882" max="5882" width="3.5703125" style="1" customWidth="1"/>
    <col min="5883" max="5883" width="96.85546875" style="1" customWidth="1"/>
    <col min="5884" max="5884" width="30.85546875" style="1" customWidth="1"/>
    <col min="5885" max="5885" width="12.5703125" style="1" customWidth="1"/>
    <col min="5886" max="5886" width="5.140625" style="1" customWidth="1"/>
    <col min="5887" max="5887" width="9.140625" style="1"/>
    <col min="5888" max="5888" width="4.85546875" style="1" customWidth="1"/>
    <col min="5889" max="5889" width="30.5703125" style="1" customWidth="1"/>
    <col min="5890" max="5890" width="33.85546875" style="1" customWidth="1"/>
    <col min="5891" max="5891" width="5.140625" style="1" customWidth="1"/>
    <col min="5892" max="5893" width="17.5703125" style="1" customWidth="1"/>
    <col min="5894" max="6137" width="9.140625" style="1"/>
    <col min="6138" max="6138" width="3.5703125" style="1" customWidth="1"/>
    <col min="6139" max="6139" width="96.85546875" style="1" customWidth="1"/>
    <col min="6140" max="6140" width="30.85546875" style="1" customWidth="1"/>
    <col min="6141" max="6141" width="12.5703125" style="1" customWidth="1"/>
    <col min="6142" max="6142" width="5.140625" style="1" customWidth="1"/>
    <col min="6143" max="6143" width="9.140625" style="1"/>
    <col min="6144" max="6144" width="4.85546875" style="1" customWidth="1"/>
    <col min="6145" max="6145" width="30.5703125" style="1" customWidth="1"/>
    <col min="6146" max="6146" width="33.85546875" style="1" customWidth="1"/>
    <col min="6147" max="6147" width="5.140625" style="1" customWidth="1"/>
    <col min="6148" max="6149" width="17.5703125" style="1" customWidth="1"/>
    <col min="6150" max="6393" width="9.140625" style="1"/>
    <col min="6394" max="6394" width="3.5703125" style="1" customWidth="1"/>
    <col min="6395" max="6395" width="96.85546875" style="1" customWidth="1"/>
    <col min="6396" max="6396" width="30.85546875" style="1" customWidth="1"/>
    <col min="6397" max="6397" width="12.5703125" style="1" customWidth="1"/>
    <col min="6398" max="6398" width="5.140625" style="1" customWidth="1"/>
    <col min="6399" max="6399" width="9.140625" style="1"/>
    <col min="6400" max="6400" width="4.85546875" style="1" customWidth="1"/>
    <col min="6401" max="6401" width="30.5703125" style="1" customWidth="1"/>
    <col min="6402" max="6402" width="33.85546875" style="1" customWidth="1"/>
    <col min="6403" max="6403" width="5.140625" style="1" customWidth="1"/>
    <col min="6404" max="6405" width="17.5703125" style="1" customWidth="1"/>
    <col min="6406" max="6649" width="9.140625" style="1"/>
    <col min="6650" max="6650" width="3.5703125" style="1" customWidth="1"/>
    <col min="6651" max="6651" width="96.85546875" style="1" customWidth="1"/>
    <col min="6652" max="6652" width="30.85546875" style="1" customWidth="1"/>
    <col min="6653" max="6653" width="12.5703125" style="1" customWidth="1"/>
    <col min="6654" max="6654" width="5.140625" style="1" customWidth="1"/>
    <col min="6655" max="6655" width="9.140625" style="1"/>
    <col min="6656" max="6656" width="4.85546875" style="1" customWidth="1"/>
    <col min="6657" max="6657" width="30.5703125" style="1" customWidth="1"/>
    <col min="6658" max="6658" width="33.85546875" style="1" customWidth="1"/>
    <col min="6659" max="6659" width="5.140625" style="1" customWidth="1"/>
    <col min="6660" max="6661" width="17.5703125" style="1" customWidth="1"/>
    <col min="6662" max="6905" width="9.140625" style="1"/>
    <col min="6906" max="6906" width="3.5703125" style="1" customWidth="1"/>
    <col min="6907" max="6907" width="96.85546875" style="1" customWidth="1"/>
    <col min="6908" max="6908" width="30.85546875" style="1" customWidth="1"/>
    <col min="6909" max="6909" width="12.5703125" style="1" customWidth="1"/>
    <col min="6910" max="6910" width="5.140625" style="1" customWidth="1"/>
    <col min="6911" max="6911" width="9.140625" style="1"/>
    <col min="6912" max="6912" width="4.85546875" style="1" customWidth="1"/>
    <col min="6913" max="6913" width="30.5703125" style="1" customWidth="1"/>
    <col min="6914" max="6914" width="33.85546875" style="1" customWidth="1"/>
    <col min="6915" max="6915" width="5.140625" style="1" customWidth="1"/>
    <col min="6916" max="6917" width="17.5703125" style="1" customWidth="1"/>
    <col min="6918" max="7161" width="9.140625" style="1"/>
    <col min="7162" max="7162" width="3.5703125" style="1" customWidth="1"/>
    <col min="7163" max="7163" width="96.85546875" style="1" customWidth="1"/>
    <col min="7164" max="7164" width="30.85546875" style="1" customWidth="1"/>
    <col min="7165" max="7165" width="12.5703125" style="1" customWidth="1"/>
    <col min="7166" max="7166" width="5.140625" style="1" customWidth="1"/>
    <col min="7167" max="7167" width="9.140625" style="1"/>
    <col min="7168" max="7168" width="4.85546875" style="1" customWidth="1"/>
    <col min="7169" max="7169" width="30.5703125" style="1" customWidth="1"/>
    <col min="7170" max="7170" width="33.85546875" style="1" customWidth="1"/>
    <col min="7171" max="7171" width="5.140625" style="1" customWidth="1"/>
    <col min="7172" max="7173" width="17.5703125" style="1" customWidth="1"/>
    <col min="7174" max="7417" width="9.140625" style="1"/>
    <col min="7418" max="7418" width="3.5703125" style="1" customWidth="1"/>
    <col min="7419" max="7419" width="96.85546875" style="1" customWidth="1"/>
    <col min="7420" max="7420" width="30.85546875" style="1" customWidth="1"/>
    <col min="7421" max="7421" width="12.5703125" style="1" customWidth="1"/>
    <col min="7422" max="7422" width="5.140625" style="1" customWidth="1"/>
    <col min="7423" max="7423" width="9.140625" style="1"/>
    <col min="7424" max="7424" width="4.85546875" style="1" customWidth="1"/>
    <col min="7425" max="7425" width="30.5703125" style="1" customWidth="1"/>
    <col min="7426" max="7426" width="33.85546875" style="1" customWidth="1"/>
    <col min="7427" max="7427" width="5.140625" style="1" customWidth="1"/>
    <col min="7428" max="7429" width="17.5703125" style="1" customWidth="1"/>
    <col min="7430" max="7673" width="9.140625" style="1"/>
    <col min="7674" max="7674" width="3.5703125" style="1" customWidth="1"/>
    <col min="7675" max="7675" width="96.85546875" style="1" customWidth="1"/>
    <col min="7676" max="7676" width="30.85546875" style="1" customWidth="1"/>
    <col min="7677" max="7677" width="12.5703125" style="1" customWidth="1"/>
    <col min="7678" max="7678" width="5.140625" style="1" customWidth="1"/>
    <col min="7679" max="7679" width="9.140625" style="1"/>
    <col min="7680" max="7680" width="4.85546875" style="1" customWidth="1"/>
    <col min="7681" max="7681" width="30.5703125" style="1" customWidth="1"/>
    <col min="7682" max="7682" width="33.85546875" style="1" customWidth="1"/>
    <col min="7683" max="7683" width="5.140625" style="1" customWidth="1"/>
    <col min="7684" max="7685" width="17.5703125" style="1" customWidth="1"/>
    <col min="7686" max="7929" width="9.140625" style="1"/>
    <col min="7930" max="7930" width="3.5703125" style="1" customWidth="1"/>
    <col min="7931" max="7931" width="96.85546875" style="1" customWidth="1"/>
    <col min="7932" max="7932" width="30.85546875" style="1" customWidth="1"/>
    <col min="7933" max="7933" width="12.5703125" style="1" customWidth="1"/>
    <col min="7934" max="7934" width="5.140625" style="1" customWidth="1"/>
    <col min="7935" max="7935" width="9.140625" style="1"/>
    <col min="7936" max="7936" width="4.85546875" style="1" customWidth="1"/>
    <col min="7937" max="7937" width="30.5703125" style="1" customWidth="1"/>
    <col min="7938" max="7938" width="33.85546875" style="1" customWidth="1"/>
    <col min="7939" max="7939" width="5.140625" style="1" customWidth="1"/>
    <col min="7940" max="7941" width="17.5703125" style="1" customWidth="1"/>
    <col min="7942" max="8185" width="9.140625" style="1"/>
    <col min="8186" max="8186" width="3.5703125" style="1" customWidth="1"/>
    <col min="8187" max="8187" width="96.85546875" style="1" customWidth="1"/>
    <col min="8188" max="8188" width="30.85546875" style="1" customWidth="1"/>
    <col min="8189" max="8189" width="12.5703125" style="1" customWidth="1"/>
    <col min="8190" max="8190" width="5.140625" style="1" customWidth="1"/>
    <col min="8191" max="8191" width="9.140625" style="1"/>
    <col min="8192" max="8192" width="4.85546875" style="1" customWidth="1"/>
    <col min="8193" max="8193" width="30.5703125" style="1" customWidth="1"/>
    <col min="8194" max="8194" width="33.85546875" style="1" customWidth="1"/>
    <col min="8195" max="8195" width="5.140625" style="1" customWidth="1"/>
    <col min="8196" max="8197" width="17.5703125" style="1" customWidth="1"/>
    <col min="8198" max="8441" width="9.140625" style="1"/>
    <col min="8442" max="8442" width="3.5703125" style="1" customWidth="1"/>
    <col min="8443" max="8443" width="96.85546875" style="1" customWidth="1"/>
    <col min="8444" max="8444" width="30.85546875" style="1" customWidth="1"/>
    <col min="8445" max="8445" width="12.5703125" style="1" customWidth="1"/>
    <col min="8446" max="8446" width="5.140625" style="1" customWidth="1"/>
    <col min="8447" max="8447" width="9.140625" style="1"/>
    <col min="8448" max="8448" width="4.85546875" style="1" customWidth="1"/>
    <col min="8449" max="8449" width="30.5703125" style="1" customWidth="1"/>
    <col min="8450" max="8450" width="33.85546875" style="1" customWidth="1"/>
    <col min="8451" max="8451" width="5.140625" style="1" customWidth="1"/>
    <col min="8452" max="8453" width="17.5703125" style="1" customWidth="1"/>
    <col min="8454" max="8697" width="9.140625" style="1"/>
    <col min="8698" max="8698" width="3.5703125" style="1" customWidth="1"/>
    <col min="8699" max="8699" width="96.85546875" style="1" customWidth="1"/>
    <col min="8700" max="8700" width="30.85546875" style="1" customWidth="1"/>
    <col min="8701" max="8701" width="12.5703125" style="1" customWidth="1"/>
    <col min="8702" max="8702" width="5.140625" style="1" customWidth="1"/>
    <col min="8703" max="8703" width="9.140625" style="1"/>
    <col min="8704" max="8704" width="4.85546875" style="1" customWidth="1"/>
    <col min="8705" max="8705" width="30.5703125" style="1" customWidth="1"/>
    <col min="8706" max="8706" width="33.85546875" style="1" customWidth="1"/>
    <col min="8707" max="8707" width="5.140625" style="1" customWidth="1"/>
    <col min="8708" max="8709" width="17.5703125" style="1" customWidth="1"/>
    <col min="8710" max="8953" width="9.140625" style="1"/>
    <col min="8954" max="8954" width="3.5703125" style="1" customWidth="1"/>
    <col min="8955" max="8955" width="96.85546875" style="1" customWidth="1"/>
    <col min="8956" max="8956" width="30.85546875" style="1" customWidth="1"/>
    <col min="8957" max="8957" width="12.5703125" style="1" customWidth="1"/>
    <col min="8958" max="8958" width="5.140625" style="1" customWidth="1"/>
    <col min="8959" max="8959" width="9.140625" style="1"/>
    <col min="8960" max="8960" width="4.85546875" style="1" customWidth="1"/>
    <col min="8961" max="8961" width="30.5703125" style="1" customWidth="1"/>
    <col min="8962" max="8962" width="33.85546875" style="1" customWidth="1"/>
    <col min="8963" max="8963" width="5.140625" style="1" customWidth="1"/>
    <col min="8964" max="8965" width="17.5703125" style="1" customWidth="1"/>
    <col min="8966" max="9209" width="9.140625" style="1"/>
    <col min="9210" max="9210" width="3.5703125" style="1" customWidth="1"/>
    <col min="9211" max="9211" width="96.85546875" style="1" customWidth="1"/>
    <col min="9212" max="9212" width="30.85546875" style="1" customWidth="1"/>
    <col min="9213" max="9213" width="12.5703125" style="1" customWidth="1"/>
    <col min="9214" max="9214" width="5.140625" style="1" customWidth="1"/>
    <col min="9215" max="9215" width="9.140625" style="1"/>
    <col min="9216" max="9216" width="4.85546875" style="1" customWidth="1"/>
    <col min="9217" max="9217" width="30.5703125" style="1" customWidth="1"/>
    <col min="9218" max="9218" width="33.85546875" style="1" customWidth="1"/>
    <col min="9219" max="9219" width="5.140625" style="1" customWidth="1"/>
    <col min="9220" max="9221" width="17.5703125" style="1" customWidth="1"/>
    <col min="9222" max="9465" width="9.140625" style="1"/>
    <col min="9466" max="9466" width="3.5703125" style="1" customWidth="1"/>
    <col min="9467" max="9467" width="96.85546875" style="1" customWidth="1"/>
    <col min="9468" max="9468" width="30.85546875" style="1" customWidth="1"/>
    <col min="9469" max="9469" width="12.5703125" style="1" customWidth="1"/>
    <col min="9470" max="9470" width="5.140625" style="1" customWidth="1"/>
    <col min="9471" max="9471" width="9.140625" style="1"/>
    <col min="9472" max="9472" width="4.85546875" style="1" customWidth="1"/>
    <col min="9473" max="9473" width="30.5703125" style="1" customWidth="1"/>
    <col min="9474" max="9474" width="33.85546875" style="1" customWidth="1"/>
    <col min="9475" max="9475" width="5.140625" style="1" customWidth="1"/>
    <col min="9476" max="9477" width="17.5703125" style="1" customWidth="1"/>
    <col min="9478" max="9721" width="9.140625" style="1"/>
    <col min="9722" max="9722" width="3.5703125" style="1" customWidth="1"/>
    <col min="9723" max="9723" width="96.85546875" style="1" customWidth="1"/>
    <col min="9724" max="9724" width="30.85546875" style="1" customWidth="1"/>
    <col min="9725" max="9725" width="12.5703125" style="1" customWidth="1"/>
    <col min="9726" max="9726" width="5.140625" style="1" customWidth="1"/>
    <col min="9727" max="9727" width="9.140625" style="1"/>
    <col min="9728" max="9728" width="4.85546875" style="1" customWidth="1"/>
    <col min="9729" max="9729" width="30.5703125" style="1" customWidth="1"/>
    <col min="9730" max="9730" width="33.85546875" style="1" customWidth="1"/>
    <col min="9731" max="9731" width="5.140625" style="1" customWidth="1"/>
    <col min="9732" max="9733" width="17.5703125" style="1" customWidth="1"/>
    <col min="9734" max="9977" width="9.140625" style="1"/>
    <col min="9978" max="9978" width="3.5703125" style="1" customWidth="1"/>
    <col min="9979" max="9979" width="96.85546875" style="1" customWidth="1"/>
    <col min="9980" max="9980" width="30.85546875" style="1" customWidth="1"/>
    <col min="9981" max="9981" width="12.5703125" style="1" customWidth="1"/>
    <col min="9982" max="9982" width="5.140625" style="1" customWidth="1"/>
    <col min="9983" max="9983" width="9.140625" style="1"/>
    <col min="9984" max="9984" width="4.85546875" style="1" customWidth="1"/>
    <col min="9985" max="9985" width="30.5703125" style="1" customWidth="1"/>
    <col min="9986" max="9986" width="33.85546875" style="1" customWidth="1"/>
    <col min="9987" max="9987" width="5.140625" style="1" customWidth="1"/>
    <col min="9988" max="9989" width="17.5703125" style="1" customWidth="1"/>
    <col min="9990" max="10233" width="9.140625" style="1"/>
    <col min="10234" max="10234" width="3.5703125" style="1" customWidth="1"/>
    <col min="10235" max="10235" width="96.85546875" style="1" customWidth="1"/>
    <col min="10236" max="10236" width="30.85546875" style="1" customWidth="1"/>
    <col min="10237" max="10237" width="12.5703125" style="1" customWidth="1"/>
    <col min="10238" max="10238" width="5.140625" style="1" customWidth="1"/>
    <col min="10239" max="10239" width="9.140625" style="1"/>
    <col min="10240" max="10240" width="4.85546875" style="1" customWidth="1"/>
    <col min="10241" max="10241" width="30.5703125" style="1" customWidth="1"/>
    <col min="10242" max="10242" width="33.85546875" style="1" customWidth="1"/>
    <col min="10243" max="10243" width="5.140625" style="1" customWidth="1"/>
    <col min="10244" max="10245" width="17.5703125" style="1" customWidth="1"/>
    <col min="10246" max="10489" width="9.140625" style="1"/>
    <col min="10490" max="10490" width="3.5703125" style="1" customWidth="1"/>
    <col min="10491" max="10491" width="96.85546875" style="1" customWidth="1"/>
    <col min="10492" max="10492" width="30.85546875" style="1" customWidth="1"/>
    <col min="10493" max="10493" width="12.5703125" style="1" customWidth="1"/>
    <col min="10494" max="10494" width="5.140625" style="1" customWidth="1"/>
    <col min="10495" max="10495" width="9.140625" style="1"/>
    <col min="10496" max="10496" width="4.85546875" style="1" customWidth="1"/>
    <col min="10497" max="10497" width="30.5703125" style="1" customWidth="1"/>
    <col min="10498" max="10498" width="33.85546875" style="1" customWidth="1"/>
    <col min="10499" max="10499" width="5.140625" style="1" customWidth="1"/>
    <col min="10500" max="10501" width="17.5703125" style="1" customWidth="1"/>
    <col min="10502" max="10745" width="9.140625" style="1"/>
    <col min="10746" max="10746" width="3.5703125" style="1" customWidth="1"/>
    <col min="10747" max="10747" width="96.85546875" style="1" customWidth="1"/>
    <col min="10748" max="10748" width="30.85546875" style="1" customWidth="1"/>
    <col min="10749" max="10749" width="12.5703125" style="1" customWidth="1"/>
    <col min="10750" max="10750" width="5.140625" style="1" customWidth="1"/>
    <col min="10751" max="10751" width="9.140625" style="1"/>
    <col min="10752" max="10752" width="4.85546875" style="1" customWidth="1"/>
    <col min="10753" max="10753" width="30.5703125" style="1" customWidth="1"/>
    <col min="10754" max="10754" width="33.85546875" style="1" customWidth="1"/>
    <col min="10755" max="10755" width="5.140625" style="1" customWidth="1"/>
    <col min="10756" max="10757" width="17.5703125" style="1" customWidth="1"/>
    <col min="10758" max="11001" width="9.140625" style="1"/>
    <col min="11002" max="11002" width="3.5703125" style="1" customWidth="1"/>
    <col min="11003" max="11003" width="96.85546875" style="1" customWidth="1"/>
    <col min="11004" max="11004" width="30.85546875" style="1" customWidth="1"/>
    <col min="11005" max="11005" width="12.5703125" style="1" customWidth="1"/>
    <col min="11006" max="11006" width="5.140625" style="1" customWidth="1"/>
    <col min="11007" max="11007" width="9.140625" style="1"/>
    <col min="11008" max="11008" width="4.85546875" style="1" customWidth="1"/>
    <col min="11009" max="11009" width="30.5703125" style="1" customWidth="1"/>
    <col min="11010" max="11010" width="33.85546875" style="1" customWidth="1"/>
    <col min="11011" max="11011" width="5.140625" style="1" customWidth="1"/>
    <col min="11012" max="11013" width="17.5703125" style="1" customWidth="1"/>
    <col min="11014" max="11257" width="9.140625" style="1"/>
    <col min="11258" max="11258" width="3.5703125" style="1" customWidth="1"/>
    <col min="11259" max="11259" width="96.85546875" style="1" customWidth="1"/>
    <col min="11260" max="11260" width="30.85546875" style="1" customWidth="1"/>
    <col min="11261" max="11261" width="12.5703125" style="1" customWidth="1"/>
    <col min="11262" max="11262" width="5.140625" style="1" customWidth="1"/>
    <col min="11263" max="11263" width="9.140625" style="1"/>
    <col min="11264" max="11264" width="4.85546875" style="1" customWidth="1"/>
    <col min="11265" max="11265" width="30.5703125" style="1" customWidth="1"/>
    <col min="11266" max="11266" width="33.85546875" style="1" customWidth="1"/>
    <col min="11267" max="11267" width="5.140625" style="1" customWidth="1"/>
    <col min="11268" max="11269" width="17.5703125" style="1" customWidth="1"/>
    <col min="11270" max="11513" width="9.140625" style="1"/>
    <col min="11514" max="11514" width="3.5703125" style="1" customWidth="1"/>
    <col min="11515" max="11515" width="96.85546875" style="1" customWidth="1"/>
    <col min="11516" max="11516" width="30.85546875" style="1" customWidth="1"/>
    <col min="11517" max="11517" width="12.5703125" style="1" customWidth="1"/>
    <col min="11518" max="11518" width="5.140625" style="1" customWidth="1"/>
    <col min="11519" max="11519" width="9.140625" style="1"/>
    <col min="11520" max="11520" width="4.85546875" style="1" customWidth="1"/>
    <col min="11521" max="11521" width="30.5703125" style="1" customWidth="1"/>
    <col min="11522" max="11522" width="33.85546875" style="1" customWidth="1"/>
    <col min="11523" max="11523" width="5.140625" style="1" customWidth="1"/>
    <col min="11524" max="11525" width="17.5703125" style="1" customWidth="1"/>
    <col min="11526" max="11769" width="9.140625" style="1"/>
    <col min="11770" max="11770" width="3.5703125" style="1" customWidth="1"/>
    <col min="11771" max="11771" width="96.85546875" style="1" customWidth="1"/>
    <col min="11772" max="11772" width="30.85546875" style="1" customWidth="1"/>
    <col min="11773" max="11773" width="12.5703125" style="1" customWidth="1"/>
    <col min="11774" max="11774" width="5.140625" style="1" customWidth="1"/>
    <col min="11775" max="11775" width="9.140625" style="1"/>
    <col min="11776" max="11776" width="4.85546875" style="1" customWidth="1"/>
    <col min="11777" max="11777" width="30.5703125" style="1" customWidth="1"/>
    <col min="11778" max="11778" width="33.85546875" style="1" customWidth="1"/>
    <col min="11779" max="11779" width="5.140625" style="1" customWidth="1"/>
    <col min="11780" max="11781" width="17.5703125" style="1" customWidth="1"/>
    <col min="11782" max="12025" width="9.140625" style="1"/>
    <col min="12026" max="12026" width="3.5703125" style="1" customWidth="1"/>
    <col min="12027" max="12027" width="96.85546875" style="1" customWidth="1"/>
    <col min="12028" max="12028" width="30.85546875" style="1" customWidth="1"/>
    <col min="12029" max="12029" width="12.5703125" style="1" customWidth="1"/>
    <col min="12030" max="12030" width="5.140625" style="1" customWidth="1"/>
    <col min="12031" max="12031" width="9.140625" style="1"/>
    <col min="12032" max="12032" width="4.85546875" style="1" customWidth="1"/>
    <col min="12033" max="12033" width="30.5703125" style="1" customWidth="1"/>
    <col min="12034" max="12034" width="33.85546875" style="1" customWidth="1"/>
    <col min="12035" max="12035" width="5.140625" style="1" customWidth="1"/>
    <col min="12036" max="12037" width="17.5703125" style="1" customWidth="1"/>
    <col min="12038" max="12281" width="9.140625" style="1"/>
    <col min="12282" max="12282" width="3.5703125" style="1" customWidth="1"/>
    <col min="12283" max="12283" width="96.85546875" style="1" customWidth="1"/>
    <col min="12284" max="12284" width="30.85546875" style="1" customWidth="1"/>
    <col min="12285" max="12285" width="12.5703125" style="1" customWidth="1"/>
    <col min="12286" max="12286" width="5.140625" style="1" customWidth="1"/>
    <col min="12287" max="12287" width="9.140625" style="1"/>
    <col min="12288" max="12288" width="4.85546875" style="1" customWidth="1"/>
    <col min="12289" max="12289" width="30.5703125" style="1" customWidth="1"/>
    <col min="12290" max="12290" width="33.85546875" style="1" customWidth="1"/>
    <col min="12291" max="12291" width="5.140625" style="1" customWidth="1"/>
    <col min="12292" max="12293" width="17.5703125" style="1" customWidth="1"/>
    <col min="12294" max="12537" width="9.140625" style="1"/>
    <col min="12538" max="12538" width="3.5703125" style="1" customWidth="1"/>
    <col min="12539" max="12539" width="96.85546875" style="1" customWidth="1"/>
    <col min="12540" max="12540" width="30.85546875" style="1" customWidth="1"/>
    <col min="12541" max="12541" width="12.5703125" style="1" customWidth="1"/>
    <col min="12542" max="12542" width="5.140625" style="1" customWidth="1"/>
    <col min="12543" max="12543" width="9.140625" style="1"/>
    <col min="12544" max="12544" width="4.85546875" style="1" customWidth="1"/>
    <col min="12545" max="12545" width="30.5703125" style="1" customWidth="1"/>
    <col min="12546" max="12546" width="33.85546875" style="1" customWidth="1"/>
    <col min="12547" max="12547" width="5.140625" style="1" customWidth="1"/>
    <col min="12548" max="12549" width="17.5703125" style="1" customWidth="1"/>
    <col min="12550" max="12793" width="9.140625" style="1"/>
    <col min="12794" max="12794" width="3.5703125" style="1" customWidth="1"/>
    <col min="12795" max="12795" width="96.85546875" style="1" customWidth="1"/>
    <col min="12796" max="12796" width="30.85546875" style="1" customWidth="1"/>
    <col min="12797" max="12797" width="12.5703125" style="1" customWidth="1"/>
    <col min="12798" max="12798" width="5.140625" style="1" customWidth="1"/>
    <col min="12799" max="12799" width="9.140625" style="1"/>
    <col min="12800" max="12800" width="4.85546875" style="1" customWidth="1"/>
    <col min="12801" max="12801" width="30.5703125" style="1" customWidth="1"/>
    <col min="12802" max="12802" width="33.85546875" style="1" customWidth="1"/>
    <col min="12803" max="12803" width="5.140625" style="1" customWidth="1"/>
    <col min="12804" max="12805" width="17.5703125" style="1" customWidth="1"/>
    <col min="12806" max="13049" width="9.140625" style="1"/>
    <col min="13050" max="13050" width="3.5703125" style="1" customWidth="1"/>
    <col min="13051" max="13051" width="96.85546875" style="1" customWidth="1"/>
    <col min="13052" max="13052" width="30.85546875" style="1" customWidth="1"/>
    <col min="13053" max="13053" width="12.5703125" style="1" customWidth="1"/>
    <col min="13054" max="13054" width="5.140625" style="1" customWidth="1"/>
    <col min="13055" max="13055" width="9.140625" style="1"/>
    <col min="13056" max="13056" width="4.85546875" style="1" customWidth="1"/>
    <col min="13057" max="13057" width="30.5703125" style="1" customWidth="1"/>
    <col min="13058" max="13058" width="33.85546875" style="1" customWidth="1"/>
    <col min="13059" max="13059" width="5.140625" style="1" customWidth="1"/>
    <col min="13060" max="13061" width="17.5703125" style="1" customWidth="1"/>
    <col min="13062" max="13305" width="9.140625" style="1"/>
    <col min="13306" max="13306" width="3.5703125" style="1" customWidth="1"/>
    <col min="13307" max="13307" width="96.85546875" style="1" customWidth="1"/>
    <col min="13308" max="13308" width="30.85546875" style="1" customWidth="1"/>
    <col min="13309" max="13309" width="12.5703125" style="1" customWidth="1"/>
    <col min="13310" max="13310" width="5.140625" style="1" customWidth="1"/>
    <col min="13311" max="13311" width="9.140625" style="1"/>
    <col min="13312" max="13312" width="4.85546875" style="1" customWidth="1"/>
    <col min="13313" max="13313" width="30.5703125" style="1" customWidth="1"/>
    <col min="13314" max="13314" width="33.85546875" style="1" customWidth="1"/>
    <col min="13315" max="13315" width="5.140625" style="1" customWidth="1"/>
    <col min="13316" max="13317" width="17.5703125" style="1" customWidth="1"/>
    <col min="13318" max="13561" width="9.140625" style="1"/>
    <col min="13562" max="13562" width="3.5703125" style="1" customWidth="1"/>
    <col min="13563" max="13563" width="96.85546875" style="1" customWidth="1"/>
    <col min="13564" max="13564" width="30.85546875" style="1" customWidth="1"/>
    <col min="13565" max="13565" width="12.5703125" style="1" customWidth="1"/>
    <col min="13566" max="13566" width="5.140625" style="1" customWidth="1"/>
    <col min="13567" max="13567" width="9.140625" style="1"/>
    <col min="13568" max="13568" width="4.85546875" style="1" customWidth="1"/>
    <col min="13569" max="13569" width="30.5703125" style="1" customWidth="1"/>
    <col min="13570" max="13570" width="33.85546875" style="1" customWidth="1"/>
    <col min="13571" max="13571" width="5.140625" style="1" customWidth="1"/>
    <col min="13572" max="13573" width="17.5703125" style="1" customWidth="1"/>
    <col min="13574" max="13817" width="9.140625" style="1"/>
    <col min="13818" max="13818" width="3.5703125" style="1" customWidth="1"/>
    <col min="13819" max="13819" width="96.85546875" style="1" customWidth="1"/>
    <col min="13820" max="13820" width="30.85546875" style="1" customWidth="1"/>
    <col min="13821" max="13821" width="12.5703125" style="1" customWidth="1"/>
    <col min="13822" max="13822" width="5.140625" style="1" customWidth="1"/>
    <col min="13823" max="13823" width="9.140625" style="1"/>
    <col min="13824" max="13824" width="4.85546875" style="1" customWidth="1"/>
    <col min="13825" max="13825" width="30.5703125" style="1" customWidth="1"/>
    <col min="13826" max="13826" width="33.85546875" style="1" customWidth="1"/>
    <col min="13827" max="13827" width="5.140625" style="1" customWidth="1"/>
    <col min="13828" max="13829" width="17.5703125" style="1" customWidth="1"/>
    <col min="13830" max="14073" width="9.140625" style="1"/>
    <col min="14074" max="14074" width="3.5703125" style="1" customWidth="1"/>
    <col min="14075" max="14075" width="96.85546875" style="1" customWidth="1"/>
    <col min="14076" max="14076" width="30.85546875" style="1" customWidth="1"/>
    <col min="14077" max="14077" width="12.5703125" style="1" customWidth="1"/>
    <col min="14078" max="14078" width="5.140625" style="1" customWidth="1"/>
    <col min="14079" max="14079" width="9.140625" style="1"/>
    <col min="14080" max="14080" width="4.85546875" style="1" customWidth="1"/>
    <col min="14081" max="14081" width="30.5703125" style="1" customWidth="1"/>
    <col min="14082" max="14082" width="33.85546875" style="1" customWidth="1"/>
    <col min="14083" max="14083" width="5.140625" style="1" customWidth="1"/>
    <col min="14084" max="14085" width="17.5703125" style="1" customWidth="1"/>
    <col min="14086" max="14329" width="9.140625" style="1"/>
    <col min="14330" max="14330" width="3.5703125" style="1" customWidth="1"/>
    <col min="14331" max="14331" width="96.85546875" style="1" customWidth="1"/>
    <col min="14332" max="14332" width="30.85546875" style="1" customWidth="1"/>
    <col min="14333" max="14333" width="12.5703125" style="1" customWidth="1"/>
    <col min="14334" max="14334" width="5.140625" style="1" customWidth="1"/>
    <col min="14335" max="14335" width="9.140625" style="1"/>
    <col min="14336" max="14336" width="4.85546875" style="1" customWidth="1"/>
    <col min="14337" max="14337" width="30.5703125" style="1" customWidth="1"/>
    <col min="14338" max="14338" width="33.85546875" style="1" customWidth="1"/>
    <col min="14339" max="14339" width="5.140625" style="1" customWidth="1"/>
    <col min="14340" max="14341" width="17.5703125" style="1" customWidth="1"/>
    <col min="14342" max="14585" width="9.140625" style="1"/>
    <col min="14586" max="14586" width="3.5703125" style="1" customWidth="1"/>
    <col min="14587" max="14587" width="96.85546875" style="1" customWidth="1"/>
    <col min="14588" max="14588" width="30.85546875" style="1" customWidth="1"/>
    <col min="14589" max="14589" width="12.5703125" style="1" customWidth="1"/>
    <col min="14590" max="14590" width="5.140625" style="1" customWidth="1"/>
    <col min="14591" max="14591" width="9.140625" style="1"/>
    <col min="14592" max="14592" width="4.85546875" style="1" customWidth="1"/>
    <col min="14593" max="14593" width="30.5703125" style="1" customWidth="1"/>
    <col min="14594" max="14594" width="33.85546875" style="1" customWidth="1"/>
    <col min="14595" max="14595" width="5.140625" style="1" customWidth="1"/>
    <col min="14596" max="14597" width="17.5703125" style="1" customWidth="1"/>
    <col min="14598" max="14841" width="9.140625" style="1"/>
    <col min="14842" max="14842" width="3.5703125" style="1" customWidth="1"/>
    <col min="14843" max="14843" width="96.85546875" style="1" customWidth="1"/>
    <col min="14844" max="14844" width="30.85546875" style="1" customWidth="1"/>
    <col min="14845" max="14845" width="12.5703125" style="1" customWidth="1"/>
    <col min="14846" max="14846" width="5.140625" style="1" customWidth="1"/>
    <col min="14847" max="14847" width="9.140625" style="1"/>
    <col min="14848" max="14848" width="4.85546875" style="1" customWidth="1"/>
    <col min="14849" max="14849" width="30.5703125" style="1" customWidth="1"/>
    <col min="14850" max="14850" width="33.85546875" style="1" customWidth="1"/>
    <col min="14851" max="14851" width="5.140625" style="1" customWidth="1"/>
    <col min="14852" max="14853" width="17.5703125" style="1" customWidth="1"/>
    <col min="14854" max="15097" width="9.140625" style="1"/>
    <col min="15098" max="15098" width="3.5703125" style="1" customWidth="1"/>
    <col min="15099" max="15099" width="96.85546875" style="1" customWidth="1"/>
    <col min="15100" max="15100" width="30.85546875" style="1" customWidth="1"/>
    <col min="15101" max="15101" width="12.5703125" style="1" customWidth="1"/>
    <col min="15102" max="15102" width="5.140625" style="1" customWidth="1"/>
    <col min="15103" max="15103" width="9.140625" style="1"/>
    <col min="15104" max="15104" width="4.85546875" style="1" customWidth="1"/>
    <col min="15105" max="15105" width="30.5703125" style="1" customWidth="1"/>
    <col min="15106" max="15106" width="33.85546875" style="1" customWidth="1"/>
    <col min="15107" max="15107" width="5.140625" style="1" customWidth="1"/>
    <col min="15108" max="15109" width="17.5703125" style="1" customWidth="1"/>
    <col min="15110" max="15353" width="9.140625" style="1"/>
    <col min="15354" max="15354" width="3.5703125" style="1" customWidth="1"/>
    <col min="15355" max="15355" width="96.85546875" style="1" customWidth="1"/>
    <col min="15356" max="15356" width="30.85546875" style="1" customWidth="1"/>
    <col min="15357" max="15357" width="12.5703125" style="1" customWidth="1"/>
    <col min="15358" max="15358" width="5.140625" style="1" customWidth="1"/>
    <col min="15359" max="15359" width="9.140625" style="1"/>
    <col min="15360" max="15360" width="4.85546875" style="1" customWidth="1"/>
    <col min="15361" max="15361" width="30.5703125" style="1" customWidth="1"/>
    <col min="15362" max="15362" width="33.85546875" style="1" customWidth="1"/>
    <col min="15363" max="15363" width="5.140625" style="1" customWidth="1"/>
    <col min="15364" max="15365" width="17.5703125" style="1" customWidth="1"/>
    <col min="15366" max="15609" width="9.140625" style="1"/>
    <col min="15610" max="15610" width="3.5703125" style="1" customWidth="1"/>
    <col min="15611" max="15611" width="96.85546875" style="1" customWidth="1"/>
    <col min="15612" max="15612" width="30.85546875" style="1" customWidth="1"/>
    <col min="15613" max="15613" width="12.5703125" style="1" customWidth="1"/>
    <col min="15614" max="15614" width="5.140625" style="1" customWidth="1"/>
    <col min="15615" max="15615" width="9.140625" style="1"/>
    <col min="15616" max="15616" width="4.85546875" style="1" customWidth="1"/>
    <col min="15617" max="15617" width="30.5703125" style="1" customWidth="1"/>
    <col min="15618" max="15618" width="33.85546875" style="1" customWidth="1"/>
    <col min="15619" max="15619" width="5.140625" style="1" customWidth="1"/>
    <col min="15620" max="15621" width="17.5703125" style="1" customWidth="1"/>
    <col min="15622" max="15865" width="9.140625" style="1"/>
    <col min="15866" max="15866" width="3.5703125" style="1" customWidth="1"/>
    <col min="15867" max="15867" width="96.85546875" style="1" customWidth="1"/>
    <col min="15868" max="15868" width="30.85546875" style="1" customWidth="1"/>
    <col min="15869" max="15869" width="12.5703125" style="1" customWidth="1"/>
    <col min="15870" max="15870" width="5.140625" style="1" customWidth="1"/>
    <col min="15871" max="15871" width="9.140625" style="1"/>
    <col min="15872" max="15872" width="4.85546875" style="1" customWidth="1"/>
    <col min="15873" max="15873" width="30.5703125" style="1" customWidth="1"/>
    <col min="15874" max="15874" width="33.85546875" style="1" customWidth="1"/>
    <col min="15875" max="15875" width="5.140625" style="1" customWidth="1"/>
    <col min="15876" max="15877" width="17.5703125" style="1" customWidth="1"/>
    <col min="15878" max="16121" width="9.140625" style="1"/>
    <col min="16122" max="16122" width="3.5703125" style="1" customWidth="1"/>
    <col min="16123" max="16123" width="96.85546875" style="1" customWidth="1"/>
    <col min="16124" max="16124" width="30.85546875" style="1" customWidth="1"/>
    <col min="16125" max="16125" width="12.5703125" style="1" customWidth="1"/>
    <col min="16126" max="16126" width="5.140625" style="1" customWidth="1"/>
    <col min="16127" max="16127" width="9.140625" style="1"/>
    <col min="16128" max="16128" width="4.85546875" style="1" customWidth="1"/>
    <col min="16129" max="16129" width="30.5703125" style="1" customWidth="1"/>
    <col min="16130" max="16130" width="33.85546875" style="1" customWidth="1"/>
    <col min="16131" max="16131" width="5.140625" style="1" customWidth="1"/>
    <col min="16132" max="16133" width="17.5703125" style="1" customWidth="1"/>
    <col min="16134" max="16384" width="9.140625" style="1"/>
  </cols>
  <sheetData>
    <row r="1" spans="1:3" ht="48" customHeight="1">
      <c r="A1" s="112"/>
      <c r="B1" s="144" t="s">
        <v>225</v>
      </c>
      <c r="C1" s="144"/>
    </row>
    <row r="2" spans="1:3">
      <c r="A2" s="2"/>
      <c r="B2" s="3" t="s">
        <v>0</v>
      </c>
      <c r="C2" s="4">
        <f ca="1">TODAY()</f>
        <v>44944</v>
      </c>
    </row>
    <row r="3" spans="1:3">
      <c r="A3" s="2"/>
      <c r="B3" s="113" t="s">
        <v>1</v>
      </c>
    </row>
    <row r="4" spans="1:3" ht="25.5">
      <c r="A4" s="6"/>
      <c r="B4" s="7" t="str">
        <f>[18]И1!D13</f>
        <v>Субъект Российской Федерации</v>
      </c>
      <c r="C4" s="8" t="str">
        <f>[18]И1!E13</f>
        <v>Новосибирская область</v>
      </c>
    </row>
    <row r="5" spans="1:3" ht="38.25">
      <c r="A5" s="6"/>
      <c r="B5" s="7" t="str">
        <f>[18]И1!D14</f>
        <v>Тип муниципального образования (выберите из списка)</v>
      </c>
      <c r="C5" s="8" t="str">
        <f>[18]И1!E14</f>
        <v>село Щеглово, Чановский муниципальный район</v>
      </c>
    </row>
    <row r="6" spans="1:3">
      <c r="A6" s="6"/>
      <c r="B6" s="7" t="str">
        <f>IF([18]И1!E15="","",[18]И1!D15)</f>
        <v/>
      </c>
      <c r="C6" s="8" t="str">
        <f>IF([18]И1!E15="","",[18]И1!E15)</f>
        <v/>
      </c>
    </row>
    <row r="7" spans="1:3">
      <c r="A7" s="6"/>
      <c r="B7" s="7" t="str">
        <f>[18]И1!D16</f>
        <v>Код ОКТМО</v>
      </c>
      <c r="C7" s="9" t="str">
        <f>[18]И1!E16</f>
        <v>50656434101</v>
      </c>
    </row>
    <row r="8" spans="1:3">
      <c r="A8" s="6"/>
      <c r="B8" s="10" t="str">
        <f>[18]И1!D17</f>
        <v>Система теплоснабжения</v>
      </c>
      <c r="C8" s="11">
        <f>[18]И1!E17</f>
        <v>0</v>
      </c>
    </row>
    <row r="9" spans="1:3">
      <c r="A9" s="6"/>
      <c r="B9" s="7" t="str">
        <f>[18]И1!D8</f>
        <v>Период регулирования (i)-й</v>
      </c>
      <c r="C9" s="12">
        <f>[18]И1!E8</f>
        <v>2023</v>
      </c>
    </row>
    <row r="10" spans="1:3">
      <c r="A10" s="6"/>
      <c r="B10" s="7" t="str">
        <f>[18]И1!D9</f>
        <v>Период регулирования (i-1)-й</v>
      </c>
      <c r="C10" s="12">
        <f>[18]И1!E9</f>
        <v>2022</v>
      </c>
    </row>
    <row r="11" spans="1:3">
      <c r="A11" s="6"/>
      <c r="B11" s="7" t="str">
        <f>[18]И1!D10</f>
        <v>Период регулирования (i-2)-й</v>
      </c>
      <c r="C11" s="12">
        <f>[18]И1!E10</f>
        <v>2021</v>
      </c>
    </row>
    <row r="12" spans="1:3">
      <c r="A12" s="6"/>
      <c r="B12" s="7" t="str">
        <f>[18]И1!D11</f>
        <v>Базовый год (б)</v>
      </c>
      <c r="C12" s="12">
        <f>[18]И1!E11</f>
        <v>2019</v>
      </c>
    </row>
    <row r="13" spans="1:3" ht="38.25">
      <c r="A13" s="6"/>
      <c r="B13" s="7" t="str">
        <f>[18]И1!D18</f>
        <v>Вид топлива, использование которого преобладает в системе теплоснабжения</v>
      </c>
      <c r="C13" s="13" t="str">
        <f>[18]С1.1!E13</f>
        <v>уголь (вид угля не указан в топливном балансе)</v>
      </c>
    </row>
    <row r="14" spans="1:3" ht="31.7" customHeight="1" thickBot="1">
      <c r="A14" s="145" t="s">
        <v>2</v>
      </c>
      <c r="B14" s="145"/>
      <c r="C14" s="145"/>
    </row>
    <row r="15" spans="1:3">
      <c r="A15" s="14" t="s">
        <v>3</v>
      </c>
      <c r="B15" s="114" t="s">
        <v>4</v>
      </c>
      <c r="C15" s="115" t="s">
        <v>5</v>
      </c>
    </row>
    <row r="16" spans="1:3">
      <c r="A16" s="15">
        <v>1</v>
      </c>
      <c r="B16" s="116">
        <v>2</v>
      </c>
      <c r="C16" s="117">
        <v>3</v>
      </c>
    </row>
    <row r="17" spans="1:3">
      <c r="A17" s="16">
        <v>1</v>
      </c>
      <c r="B17" s="17" t="s">
        <v>6</v>
      </c>
      <c r="C17" s="18">
        <f>SUM(C18:C22)</f>
        <v>4109.4545447032751</v>
      </c>
    </row>
    <row r="18" spans="1:3" ht="42.75">
      <c r="A18" s="16" t="s">
        <v>7</v>
      </c>
      <c r="B18" s="19" t="s">
        <v>8</v>
      </c>
      <c r="C18" s="20">
        <f>[18]С1!F12</f>
        <v>1006.0126910079939</v>
      </c>
    </row>
    <row r="19" spans="1:3" ht="42.75">
      <c r="A19" s="16" t="s">
        <v>9</v>
      </c>
      <c r="B19" s="19" t="s">
        <v>10</v>
      </c>
      <c r="C19" s="20">
        <f>[18]С2!F12</f>
        <v>2104.1852054273977</v>
      </c>
    </row>
    <row r="20" spans="1:3" ht="30">
      <c r="A20" s="16" t="s">
        <v>11</v>
      </c>
      <c r="B20" s="19" t="s">
        <v>12</v>
      </c>
      <c r="C20" s="20">
        <f>[18]С3!F12</f>
        <v>503.33593794803642</v>
      </c>
    </row>
    <row r="21" spans="1:3" ht="42.75">
      <c r="A21" s="16" t="s">
        <v>13</v>
      </c>
      <c r="B21" s="19" t="s">
        <v>226</v>
      </c>
      <c r="C21" s="20">
        <f>[18]С4!F12</f>
        <v>415.34317022762616</v>
      </c>
    </row>
    <row r="22" spans="1:3" ht="30">
      <c r="A22" s="16" t="s">
        <v>14</v>
      </c>
      <c r="B22" s="19" t="s">
        <v>227</v>
      </c>
      <c r="C22" s="20">
        <f>[18]С5!F12</f>
        <v>80.577540092221085</v>
      </c>
    </row>
    <row r="23" spans="1:3" ht="43.5" thickBot="1">
      <c r="A23" s="21" t="s">
        <v>15</v>
      </c>
      <c r="B23" s="111" t="s">
        <v>228</v>
      </c>
      <c r="C23" s="22" t="str">
        <f>[18]С6!F12</f>
        <v>-</v>
      </c>
    </row>
    <row r="24" spans="1:3" ht="13.5" thickBot="1">
      <c r="A24" s="2"/>
    </row>
    <row r="25" spans="1:3">
      <c r="A25" s="14" t="s">
        <v>3</v>
      </c>
      <c r="B25" s="23" t="s">
        <v>4</v>
      </c>
      <c r="C25" s="24" t="s">
        <v>5</v>
      </c>
    </row>
    <row r="26" spans="1:3">
      <c r="A26" s="15">
        <v>1</v>
      </c>
      <c r="B26" s="25">
        <v>2</v>
      </c>
      <c r="C26" s="26">
        <v>3</v>
      </c>
    </row>
    <row r="27" spans="1:3" ht="30" customHeight="1">
      <c r="A27" s="16">
        <v>1</v>
      </c>
      <c r="B27" s="146" t="s">
        <v>16</v>
      </c>
      <c r="C27" s="146"/>
    </row>
    <row r="28" spans="1:3">
      <c r="A28" s="16" t="s">
        <v>7</v>
      </c>
      <c r="B28" s="27" t="s">
        <v>229</v>
      </c>
      <c r="C28" s="28">
        <f>[18]С1.1!E16</f>
        <v>5100</v>
      </c>
    </row>
    <row r="29" spans="1:3" ht="42.75">
      <c r="A29" s="16" t="s">
        <v>9</v>
      </c>
      <c r="B29" s="27" t="s">
        <v>230</v>
      </c>
      <c r="C29" s="28">
        <f>[18]С1.1!E27</f>
        <v>2705</v>
      </c>
    </row>
    <row r="30" spans="1:3" ht="17.25">
      <c r="A30" s="16" t="s">
        <v>11</v>
      </c>
      <c r="B30" s="27" t="s">
        <v>17</v>
      </c>
      <c r="C30" s="29">
        <f>[18]С1.1!E19</f>
        <v>0.59499999999999997</v>
      </c>
    </row>
    <row r="31" spans="1:3" ht="17.25">
      <c r="A31" s="16" t="s">
        <v>13</v>
      </c>
      <c r="B31" s="27" t="s">
        <v>18</v>
      </c>
      <c r="C31" s="29">
        <f>[18]С1.1!E20</f>
        <v>-0.113</v>
      </c>
    </row>
    <row r="32" spans="1:3" ht="30">
      <c r="A32" s="16" t="s">
        <v>14</v>
      </c>
      <c r="B32" s="30" t="s">
        <v>231</v>
      </c>
      <c r="C32" s="118">
        <f>[18]С1!F13</f>
        <v>176.4</v>
      </c>
    </row>
    <row r="33" spans="1:3">
      <c r="A33" s="16" t="s">
        <v>15</v>
      </c>
      <c r="B33" s="30" t="s">
        <v>19</v>
      </c>
      <c r="C33" s="31">
        <f>[18]С1!F16</f>
        <v>7000</v>
      </c>
    </row>
    <row r="34" spans="1:3" ht="14.25">
      <c r="A34" s="16" t="s">
        <v>20</v>
      </c>
      <c r="B34" s="32" t="s">
        <v>232</v>
      </c>
      <c r="C34" s="33">
        <f>[18]С1!F17</f>
        <v>0.72857142857142854</v>
      </c>
    </row>
    <row r="35" spans="1:3" ht="15.75">
      <c r="A35" s="119" t="s">
        <v>21</v>
      </c>
      <c r="B35" s="34" t="s">
        <v>22</v>
      </c>
      <c r="C35" s="33">
        <f>[18]С1!F20</f>
        <v>21.588411179999994</v>
      </c>
    </row>
    <row r="36" spans="1:3" ht="15.75">
      <c r="A36" s="119" t="s">
        <v>23</v>
      </c>
      <c r="B36" s="35" t="s">
        <v>24</v>
      </c>
      <c r="C36" s="33">
        <f>[18]С1!F21</f>
        <v>20.818139999999996</v>
      </c>
    </row>
    <row r="37" spans="1:3" ht="14.25">
      <c r="A37" s="119" t="s">
        <v>25</v>
      </c>
      <c r="B37" s="36" t="s">
        <v>26</v>
      </c>
      <c r="C37" s="33">
        <f>[18]С1!F22</f>
        <v>1.0369999999999999</v>
      </c>
    </row>
    <row r="38" spans="1:3" ht="53.25" thickBot="1">
      <c r="A38" s="21" t="s">
        <v>27</v>
      </c>
      <c r="B38" s="37" t="s">
        <v>28</v>
      </c>
      <c r="C38" s="38">
        <f>[18]С1!F23</f>
        <v>1.0469999999999999</v>
      </c>
    </row>
    <row r="39" spans="1:3" ht="13.5" thickBot="1">
      <c r="A39" s="39"/>
      <c r="B39" s="120"/>
      <c r="C39" s="121"/>
    </row>
    <row r="40" spans="1:3" ht="30" customHeight="1">
      <c r="A40" s="40" t="s">
        <v>29</v>
      </c>
      <c r="B40" s="141" t="s">
        <v>30</v>
      </c>
      <c r="C40" s="141"/>
    </row>
    <row r="41" spans="1:3" ht="25.5">
      <c r="A41" s="16" t="s">
        <v>31</v>
      </c>
      <c r="B41" s="30" t="s">
        <v>32</v>
      </c>
      <c r="C41" s="41" t="str">
        <f>[18]С2.1!E12</f>
        <v>V</v>
      </c>
    </row>
    <row r="42" spans="1:3" ht="25.5">
      <c r="A42" s="16" t="s">
        <v>33</v>
      </c>
      <c r="B42" s="27" t="s">
        <v>34</v>
      </c>
      <c r="C42" s="41" t="str">
        <f>[18]С2.1!E13</f>
        <v>6 и менее баллов</v>
      </c>
    </row>
    <row r="43" spans="1:3" ht="25.5">
      <c r="A43" s="16" t="s">
        <v>35</v>
      </c>
      <c r="B43" s="27" t="s">
        <v>233</v>
      </c>
      <c r="C43" s="41" t="str">
        <f>[18]С2.1!E14</f>
        <v>от 200 до 500</v>
      </c>
    </row>
    <row r="44" spans="1:3" ht="25.5">
      <c r="A44" s="16" t="s">
        <v>36</v>
      </c>
      <c r="B44" s="27" t="s">
        <v>234</v>
      </c>
      <c r="C44" s="42" t="str">
        <f>[18]С2.1!E15</f>
        <v>нет</v>
      </c>
    </row>
    <row r="45" spans="1:3" ht="30">
      <c r="A45" s="16" t="s">
        <v>37</v>
      </c>
      <c r="B45" s="27" t="s">
        <v>38</v>
      </c>
      <c r="C45" s="28">
        <f>[18]С2!F18</f>
        <v>32402.627334033532</v>
      </c>
    </row>
    <row r="46" spans="1:3" ht="30">
      <c r="A46" s="16" t="s">
        <v>39</v>
      </c>
      <c r="B46" s="43" t="s">
        <v>40</v>
      </c>
      <c r="C46" s="28">
        <f>IF([18]С2!F19&gt;0,[18]С2!F19,[18]С2!F20)</f>
        <v>23441.524932855718</v>
      </c>
    </row>
    <row r="47" spans="1:3" ht="25.5">
      <c r="A47" s="16" t="s">
        <v>41</v>
      </c>
      <c r="B47" s="44" t="s">
        <v>42</v>
      </c>
      <c r="C47" s="28">
        <f>[18]С2.1!E19</f>
        <v>-38</v>
      </c>
    </row>
    <row r="48" spans="1:3" ht="25.5">
      <c r="A48" s="16" t="s">
        <v>43</v>
      </c>
      <c r="B48" s="44" t="s">
        <v>44</v>
      </c>
      <c r="C48" s="28" t="str">
        <f>[18]С2.1!E22</f>
        <v>нет</v>
      </c>
    </row>
    <row r="49" spans="1:3" ht="38.25">
      <c r="A49" s="16" t="s">
        <v>45</v>
      </c>
      <c r="B49" s="45" t="s">
        <v>46</v>
      </c>
      <c r="C49" s="28">
        <f>[18]С2.2!E10</f>
        <v>1287</v>
      </c>
    </row>
    <row r="50" spans="1:3" ht="25.5">
      <c r="A50" s="16" t="s">
        <v>47</v>
      </c>
      <c r="B50" s="46" t="s">
        <v>48</v>
      </c>
      <c r="C50" s="28">
        <f>[18]С2.2!E12</f>
        <v>5.97</v>
      </c>
    </row>
    <row r="51" spans="1:3" ht="52.5">
      <c r="A51" s="16" t="s">
        <v>49</v>
      </c>
      <c r="B51" s="47" t="s">
        <v>50</v>
      </c>
      <c r="C51" s="28">
        <f>[18]С2.2!E13</f>
        <v>1</v>
      </c>
    </row>
    <row r="52" spans="1:3" ht="27.75">
      <c r="A52" s="16" t="s">
        <v>51</v>
      </c>
      <c r="B52" s="46" t="s">
        <v>52</v>
      </c>
      <c r="C52" s="28">
        <f>[18]С2.2!E14</f>
        <v>12104</v>
      </c>
    </row>
    <row r="53" spans="1:3" ht="25.5">
      <c r="A53" s="16" t="s">
        <v>53</v>
      </c>
      <c r="B53" s="47" t="s">
        <v>54</v>
      </c>
      <c r="C53" s="29">
        <f>[18]С2.2!E15</f>
        <v>4.8000000000000001E-2</v>
      </c>
    </row>
    <row r="54" spans="1:3">
      <c r="A54" s="16" t="s">
        <v>55</v>
      </c>
      <c r="B54" s="47" t="s">
        <v>56</v>
      </c>
      <c r="C54" s="28">
        <f>[18]С2.2!E16</f>
        <v>1</v>
      </c>
    </row>
    <row r="55" spans="1:3" ht="15.75">
      <c r="A55" s="16" t="s">
        <v>57</v>
      </c>
      <c r="B55" s="48" t="s">
        <v>58</v>
      </c>
      <c r="C55" s="28">
        <f>[18]С2!F21</f>
        <v>1</v>
      </c>
    </row>
    <row r="56" spans="1:3" ht="30">
      <c r="A56" s="49" t="s">
        <v>59</v>
      </c>
      <c r="B56" s="27" t="s">
        <v>235</v>
      </c>
      <c r="C56" s="28">
        <f>[18]С2!F13</f>
        <v>169640.22915965237</v>
      </c>
    </row>
    <row r="57" spans="1:3" ht="30">
      <c r="A57" s="49" t="s">
        <v>60</v>
      </c>
      <c r="B57" s="48" t="s">
        <v>236</v>
      </c>
      <c r="C57" s="28">
        <f>[18]С2!F14</f>
        <v>113455</v>
      </c>
    </row>
    <row r="58" spans="1:3" ht="15.75">
      <c r="A58" s="49" t="s">
        <v>61</v>
      </c>
      <c r="B58" s="50" t="s">
        <v>62</v>
      </c>
      <c r="C58" s="33">
        <f>[18]С2!F15</f>
        <v>1.071</v>
      </c>
    </row>
    <row r="59" spans="1:3" ht="15.75">
      <c r="A59" s="49" t="s">
        <v>63</v>
      </c>
      <c r="B59" s="50" t="s">
        <v>64</v>
      </c>
      <c r="C59" s="33">
        <f>[18]С2!F16</f>
        <v>1</v>
      </c>
    </row>
    <row r="60" spans="1:3" ht="17.25">
      <c r="A60" s="49" t="s">
        <v>65</v>
      </c>
      <c r="B60" s="48" t="s">
        <v>66</v>
      </c>
      <c r="C60" s="28">
        <f>[18]С2!F17</f>
        <v>1.01</v>
      </c>
    </row>
    <row r="61" spans="1:3" s="53" customFormat="1" ht="14.25">
      <c r="A61" s="49" t="s">
        <v>67</v>
      </c>
      <c r="B61" s="51" t="s">
        <v>68</v>
      </c>
      <c r="C61" s="52">
        <f>[18]С2!F33</f>
        <v>10</v>
      </c>
    </row>
    <row r="62" spans="1:3" ht="30">
      <c r="A62" s="49" t="s">
        <v>69</v>
      </c>
      <c r="B62" s="54" t="s">
        <v>70</v>
      </c>
      <c r="C62" s="28">
        <f>[18]С2!F26</f>
        <v>911.22846603392293</v>
      </c>
    </row>
    <row r="63" spans="1:3" ht="17.25">
      <c r="A63" s="49" t="s">
        <v>71</v>
      </c>
      <c r="B63" s="43" t="s">
        <v>237</v>
      </c>
      <c r="C63" s="28">
        <f>[18]С2!F27</f>
        <v>0.15695805999999998</v>
      </c>
    </row>
    <row r="64" spans="1:3" ht="17.25">
      <c r="A64" s="49" t="s">
        <v>72</v>
      </c>
      <c r="B64" s="48" t="s">
        <v>238</v>
      </c>
      <c r="C64" s="52">
        <f>[18]С2!F28</f>
        <v>4200</v>
      </c>
    </row>
    <row r="65" spans="1:3" ht="42.75">
      <c r="A65" s="49" t="s">
        <v>73</v>
      </c>
      <c r="B65" s="27" t="s">
        <v>239</v>
      </c>
      <c r="C65" s="28">
        <f>[18]С2!F22</f>
        <v>35717.748653137714</v>
      </c>
    </row>
    <row r="66" spans="1:3" ht="30">
      <c r="A66" s="49" t="s">
        <v>74</v>
      </c>
      <c r="B66" s="50" t="s">
        <v>240</v>
      </c>
      <c r="C66" s="28">
        <f>[18]С2!F23</f>
        <v>1990</v>
      </c>
    </row>
    <row r="67" spans="1:3" ht="30">
      <c r="A67" s="49" t="s">
        <v>75</v>
      </c>
      <c r="B67" s="43" t="s">
        <v>76</v>
      </c>
      <c r="C67" s="28">
        <f>[18]С2.1!E27</f>
        <v>14307.876789999998</v>
      </c>
    </row>
    <row r="68" spans="1:3" ht="38.25">
      <c r="A68" s="49" t="s">
        <v>77</v>
      </c>
      <c r="B68" s="55" t="s">
        <v>78</v>
      </c>
      <c r="C68" s="42">
        <f>[18]С2.3!E21</f>
        <v>0</v>
      </c>
    </row>
    <row r="69" spans="1:3" ht="25.5">
      <c r="A69" s="49" t="s">
        <v>79</v>
      </c>
      <c r="B69" s="56" t="s">
        <v>80</v>
      </c>
      <c r="C69" s="57">
        <f>[18]С2.3!E11</f>
        <v>9.89</v>
      </c>
    </row>
    <row r="70" spans="1:3" ht="25.5">
      <c r="A70" s="49" t="s">
        <v>81</v>
      </c>
      <c r="B70" s="56" t="s">
        <v>82</v>
      </c>
      <c r="C70" s="52">
        <f>[18]С2.3!E13</f>
        <v>300</v>
      </c>
    </row>
    <row r="71" spans="1:3" ht="25.5">
      <c r="A71" s="49" t="s">
        <v>83</v>
      </c>
      <c r="B71" s="55" t="s">
        <v>84</v>
      </c>
      <c r="C71" s="58">
        <f>IF([18]С2.3!E22&gt;0,[18]С2.3!E22,[18]С2.3!E14)</f>
        <v>61211</v>
      </c>
    </row>
    <row r="72" spans="1:3" ht="38.25">
      <c r="A72" s="49" t="s">
        <v>85</v>
      </c>
      <c r="B72" s="55" t="s">
        <v>86</v>
      </c>
      <c r="C72" s="58">
        <f>IF([18]С2.3!E23&gt;0,[18]С2.3!E23,[18]С2.3!E15)</f>
        <v>45675</v>
      </c>
    </row>
    <row r="73" spans="1:3" ht="30">
      <c r="A73" s="49" t="s">
        <v>87</v>
      </c>
      <c r="B73" s="43" t="s">
        <v>88</v>
      </c>
      <c r="C73" s="28">
        <f>[18]С2.1!E28</f>
        <v>9541.9567200000001</v>
      </c>
    </row>
    <row r="74" spans="1:3" ht="38.25">
      <c r="A74" s="49" t="s">
        <v>89</v>
      </c>
      <c r="B74" s="55" t="s">
        <v>90</v>
      </c>
      <c r="C74" s="42">
        <f>[18]С2.3!E25</f>
        <v>0</v>
      </c>
    </row>
    <row r="75" spans="1:3" ht="25.5">
      <c r="A75" s="49" t="s">
        <v>91</v>
      </c>
      <c r="B75" s="56" t="s">
        <v>92</v>
      </c>
      <c r="C75" s="57">
        <f>[18]С2.3!E12</f>
        <v>0.56000000000000005</v>
      </c>
    </row>
    <row r="76" spans="1:3" ht="25.5">
      <c r="A76" s="49" t="s">
        <v>93</v>
      </c>
      <c r="B76" s="56" t="s">
        <v>82</v>
      </c>
      <c r="C76" s="52">
        <f>[18]С2.3!E13</f>
        <v>300</v>
      </c>
    </row>
    <row r="77" spans="1:3" ht="25.5">
      <c r="A77" s="49" t="s">
        <v>94</v>
      </c>
      <c r="B77" s="59" t="s">
        <v>95</v>
      </c>
      <c r="C77" s="58">
        <f>IF([18]С2.3!E26&gt;0,[18]С2.3!E26,[18]С2.3!E16)</f>
        <v>65637</v>
      </c>
    </row>
    <row r="78" spans="1:3" ht="38.25">
      <c r="A78" s="49" t="s">
        <v>96</v>
      </c>
      <c r="B78" s="59" t="s">
        <v>97</v>
      </c>
      <c r="C78" s="58">
        <f>IF([18]С2.3!E27&gt;0,[18]С2.3!E27,[18]С2.3!E17)</f>
        <v>31684</v>
      </c>
    </row>
    <row r="79" spans="1:3" ht="17.25">
      <c r="A79" s="49" t="s">
        <v>98</v>
      </c>
      <c r="B79" s="27" t="s">
        <v>99</v>
      </c>
      <c r="C79" s="29">
        <f>[18]С2!F29</f>
        <v>0.128978033685065</v>
      </c>
    </row>
    <row r="80" spans="1:3" ht="30">
      <c r="A80" s="49" t="s">
        <v>100</v>
      </c>
      <c r="B80" s="43" t="s">
        <v>101</v>
      </c>
      <c r="C80" s="60">
        <f>[18]С2!F30</f>
        <v>0.11668498168498169</v>
      </c>
    </row>
    <row r="81" spans="1:3" ht="17.25">
      <c r="A81" s="49" t="s">
        <v>102</v>
      </c>
      <c r="B81" s="61" t="s">
        <v>103</v>
      </c>
      <c r="C81" s="29">
        <f>[18]С2!F31</f>
        <v>0.13880000000000001</v>
      </c>
    </row>
    <row r="82" spans="1:3" s="53" customFormat="1" ht="18" thickBot="1">
      <c r="A82" s="62" t="s">
        <v>104</v>
      </c>
      <c r="B82" s="63" t="s">
        <v>105</v>
      </c>
      <c r="C82" s="64">
        <f>[18]С2!F32</f>
        <v>0.12640000000000001</v>
      </c>
    </row>
    <row r="83" spans="1:3" ht="13.5" thickBot="1">
      <c r="A83" s="39"/>
      <c r="B83" s="65"/>
      <c r="C83" s="13"/>
    </row>
    <row r="84" spans="1:3" s="53" customFormat="1" ht="30" customHeight="1">
      <c r="A84" s="66" t="s">
        <v>106</v>
      </c>
      <c r="B84" s="141" t="s">
        <v>107</v>
      </c>
      <c r="C84" s="141"/>
    </row>
    <row r="85" spans="1:3" s="53" customFormat="1" ht="30">
      <c r="A85" s="67" t="s">
        <v>108</v>
      </c>
      <c r="B85" s="27" t="s">
        <v>109</v>
      </c>
      <c r="C85" s="28">
        <f>[18]С3!F14</f>
        <v>6988.6287956820188</v>
      </c>
    </row>
    <row r="86" spans="1:3" s="53" customFormat="1" ht="42.75">
      <c r="A86" s="67" t="s">
        <v>110</v>
      </c>
      <c r="B86" s="43" t="s">
        <v>111</v>
      </c>
      <c r="C86" s="68">
        <f>[18]С3!F15</f>
        <v>0.2</v>
      </c>
    </row>
    <row r="87" spans="1:3" s="53" customFormat="1" ht="14.25">
      <c r="A87" s="67" t="s">
        <v>112</v>
      </c>
      <c r="B87" s="69" t="s">
        <v>113</v>
      </c>
      <c r="C87" s="52">
        <f>[18]С3!F18</f>
        <v>15</v>
      </c>
    </row>
    <row r="88" spans="1:3" s="53" customFormat="1" ht="17.25">
      <c r="A88" s="67" t="s">
        <v>114</v>
      </c>
      <c r="B88" s="27" t="s">
        <v>115</v>
      </c>
      <c r="C88" s="28">
        <f>[18]С3!F19</f>
        <v>3487.1555421534131</v>
      </c>
    </row>
    <row r="89" spans="1:3" s="53" customFormat="1" ht="55.5">
      <c r="A89" s="67" t="s">
        <v>116</v>
      </c>
      <c r="B89" s="43" t="s">
        <v>117</v>
      </c>
      <c r="C89" s="70">
        <f>[18]С3!F20</f>
        <v>2.1999999999999999E-2</v>
      </c>
    </row>
    <row r="90" spans="1:3" s="53" customFormat="1" ht="14.25">
      <c r="A90" s="67" t="s">
        <v>118</v>
      </c>
      <c r="B90" s="48" t="s">
        <v>68</v>
      </c>
      <c r="C90" s="52">
        <f>[18]С3!F21</f>
        <v>10</v>
      </c>
    </row>
    <row r="91" spans="1:3" s="53" customFormat="1" ht="17.25">
      <c r="A91" s="67" t="s">
        <v>119</v>
      </c>
      <c r="B91" s="27" t="s">
        <v>120</v>
      </c>
      <c r="C91" s="28">
        <f>[18]С3!F22</f>
        <v>2.7336853981017688</v>
      </c>
    </row>
    <row r="92" spans="1:3" s="53" customFormat="1" ht="55.5">
      <c r="A92" s="67" t="s">
        <v>121</v>
      </c>
      <c r="B92" s="43" t="s">
        <v>122</v>
      </c>
      <c r="C92" s="70">
        <f>[18]С3!F23</f>
        <v>3.0000000000000001E-3</v>
      </c>
    </row>
    <row r="93" spans="1:3" s="53" customFormat="1" ht="27.75" thickBot="1">
      <c r="A93" s="71" t="s">
        <v>123</v>
      </c>
      <c r="B93" s="72" t="s">
        <v>241</v>
      </c>
      <c r="C93" s="73">
        <f>[18]С3!F24</f>
        <v>911.22846603392293</v>
      </c>
    </row>
    <row r="94" spans="1:3" ht="13.5" thickBot="1">
      <c r="A94" s="39"/>
      <c r="B94" s="65"/>
      <c r="C94" s="13"/>
    </row>
    <row r="95" spans="1:3" ht="30" customHeight="1">
      <c r="A95" s="74" t="s">
        <v>124</v>
      </c>
      <c r="B95" s="141" t="s">
        <v>125</v>
      </c>
      <c r="C95" s="141"/>
    </row>
    <row r="96" spans="1:3" ht="30">
      <c r="A96" s="49" t="s">
        <v>126</v>
      </c>
      <c r="B96" s="27" t="s">
        <v>242</v>
      </c>
      <c r="C96" s="28">
        <f>[18]С4!F16</f>
        <v>1652.5</v>
      </c>
    </row>
    <row r="97" spans="1:3" ht="30">
      <c r="A97" s="49" t="s">
        <v>127</v>
      </c>
      <c r="B97" s="48" t="s">
        <v>243</v>
      </c>
      <c r="C97" s="28">
        <f>[18]С4!F17</f>
        <v>73547</v>
      </c>
    </row>
    <row r="98" spans="1:3" ht="17.25">
      <c r="A98" s="49" t="s">
        <v>128</v>
      </c>
      <c r="B98" s="48" t="s">
        <v>129</v>
      </c>
      <c r="C98" s="33">
        <f>[18]С4!F18</f>
        <v>0.02</v>
      </c>
    </row>
    <row r="99" spans="1:3" ht="30">
      <c r="A99" s="49" t="s">
        <v>130</v>
      </c>
      <c r="B99" s="48" t="s">
        <v>131</v>
      </c>
      <c r="C99" s="28">
        <f>[18]С4!F19</f>
        <v>12104</v>
      </c>
    </row>
    <row r="100" spans="1:3" ht="31.5">
      <c r="A100" s="49" t="s">
        <v>132</v>
      </c>
      <c r="B100" s="48" t="s">
        <v>133</v>
      </c>
      <c r="C100" s="33">
        <f>[18]С4!F20</f>
        <v>1.4999999999999999E-2</v>
      </c>
    </row>
    <row r="101" spans="1:3" ht="30">
      <c r="A101" s="49" t="s">
        <v>134</v>
      </c>
      <c r="B101" s="27" t="s">
        <v>244</v>
      </c>
      <c r="C101" s="28">
        <f>[18]С4!F21</f>
        <v>1933.1949342509995</v>
      </c>
    </row>
    <row r="102" spans="1:3" ht="24" customHeight="1">
      <c r="A102" s="49" t="s">
        <v>135</v>
      </c>
      <c r="B102" s="43" t="s">
        <v>136</v>
      </c>
      <c r="C102" s="75">
        <f>IF([18]С4.2!F8="да",[18]С4.2!D21,[18]С4.2!D15)</f>
        <v>0</v>
      </c>
    </row>
    <row r="103" spans="1:3" ht="68.25">
      <c r="A103" s="49" t="s">
        <v>137</v>
      </c>
      <c r="B103" s="43" t="s">
        <v>138</v>
      </c>
      <c r="C103" s="28">
        <f>[18]С4!F22</f>
        <v>3.6112641666666665</v>
      </c>
    </row>
    <row r="104" spans="1:3" ht="30">
      <c r="A104" s="49" t="s">
        <v>139</v>
      </c>
      <c r="B104" s="48" t="s">
        <v>245</v>
      </c>
      <c r="C104" s="28">
        <f>[18]С4!F23</f>
        <v>180</v>
      </c>
    </row>
    <row r="105" spans="1:3" ht="14.25">
      <c r="A105" s="49" t="s">
        <v>140</v>
      </c>
      <c r="B105" s="43" t="s">
        <v>141</v>
      </c>
      <c r="C105" s="28">
        <f>[18]С4!F24</f>
        <v>8497.1999999999989</v>
      </c>
    </row>
    <row r="106" spans="1:3" ht="14.25">
      <c r="A106" s="49" t="s">
        <v>142</v>
      </c>
      <c r="B106" s="48" t="s">
        <v>143</v>
      </c>
      <c r="C106" s="33">
        <f>[18]С4!F25</f>
        <v>0.35</v>
      </c>
    </row>
    <row r="107" spans="1:3" ht="17.25">
      <c r="A107" s="49" t="s">
        <v>144</v>
      </c>
      <c r="B107" s="27" t="s">
        <v>145</v>
      </c>
      <c r="C107" s="28">
        <f>[18]С4!F26</f>
        <v>82.507290000000012</v>
      </c>
    </row>
    <row r="108" spans="1:3" ht="25.5">
      <c r="A108" s="49" t="s">
        <v>146</v>
      </c>
      <c r="B108" s="43" t="s">
        <v>78</v>
      </c>
      <c r="C108" s="75">
        <f>[18]С4.3!E16</f>
        <v>0</v>
      </c>
    </row>
    <row r="109" spans="1:3" ht="25.5">
      <c r="A109" s="49" t="s">
        <v>147</v>
      </c>
      <c r="B109" s="43" t="s">
        <v>148</v>
      </c>
      <c r="C109" s="28">
        <f>[18]С4.3!E17</f>
        <v>21.59</v>
      </c>
    </row>
    <row r="110" spans="1:3" ht="38.25">
      <c r="A110" s="49" t="s">
        <v>149</v>
      </c>
      <c r="B110" s="43" t="s">
        <v>90</v>
      </c>
      <c r="C110" s="75">
        <f>[18]С4.3!E18</f>
        <v>0</v>
      </c>
    </row>
    <row r="111" spans="1:3">
      <c r="A111" s="49" t="s">
        <v>150</v>
      </c>
      <c r="B111" s="43" t="s">
        <v>151</v>
      </c>
      <c r="C111" s="28">
        <f>[18]С4.3!E19</f>
        <v>33.29</v>
      </c>
    </row>
    <row r="112" spans="1:3">
      <c r="A112" s="49" t="s">
        <v>152</v>
      </c>
      <c r="B112" s="48" t="s">
        <v>153</v>
      </c>
      <c r="C112" s="28">
        <f>[18]С4.3!E11</f>
        <v>1871</v>
      </c>
    </row>
    <row r="113" spans="1:3">
      <c r="A113" s="49" t="s">
        <v>154</v>
      </c>
      <c r="B113" s="48" t="s">
        <v>155</v>
      </c>
      <c r="C113" s="42">
        <f>[18]С4.3!E12</f>
        <v>1636</v>
      </c>
    </row>
    <row r="114" spans="1:3">
      <c r="A114" s="49" t="s">
        <v>156</v>
      </c>
      <c r="B114" s="48" t="s">
        <v>157</v>
      </c>
      <c r="C114" s="42">
        <f>[18]С4.3!E13</f>
        <v>204</v>
      </c>
    </row>
    <row r="115" spans="1:3" ht="30">
      <c r="A115" s="49" t="s">
        <v>158</v>
      </c>
      <c r="B115" s="27" t="s">
        <v>246</v>
      </c>
      <c r="C115" s="28">
        <f>[18]С4!F27</f>
        <v>998.55949805489831</v>
      </c>
    </row>
    <row r="116" spans="1:3" ht="25.5">
      <c r="A116" s="49" t="s">
        <v>159</v>
      </c>
      <c r="B116" s="43" t="s">
        <v>247</v>
      </c>
      <c r="C116" s="28">
        <f>[18]С4!F28</f>
        <v>766.94277884400788</v>
      </c>
    </row>
    <row r="117" spans="1:3" ht="42.75">
      <c r="A117" s="49" t="s">
        <v>160</v>
      </c>
      <c r="B117" s="43" t="s">
        <v>161</v>
      </c>
      <c r="C117" s="28">
        <f>[18]С4!F29</f>
        <v>231.61671921089041</v>
      </c>
    </row>
    <row r="118" spans="1:3" ht="30">
      <c r="A118" s="49" t="s">
        <v>162</v>
      </c>
      <c r="B118" s="32" t="s">
        <v>163</v>
      </c>
      <c r="C118" s="28">
        <f>[18]С4!F30</f>
        <v>2195.9255086353623</v>
      </c>
    </row>
    <row r="119" spans="1:3" ht="42.75">
      <c r="A119" s="49" t="s">
        <v>248</v>
      </c>
      <c r="B119" s="76" t="s">
        <v>249</v>
      </c>
      <c r="C119" s="28">
        <f>[18]С4!F33</f>
        <v>1483.072594022681</v>
      </c>
    </row>
    <row r="120" spans="1:3" ht="30">
      <c r="A120" s="49" t="s">
        <v>250</v>
      </c>
      <c r="B120" s="122" t="s">
        <v>251</v>
      </c>
      <c r="C120" s="28">
        <f>[18]С4!F35</f>
        <v>17.040680999999999</v>
      </c>
    </row>
    <row r="121" spans="1:3" ht="14.25">
      <c r="A121" s="49" t="s">
        <v>252</v>
      </c>
      <c r="B121" s="46" t="s">
        <v>253</v>
      </c>
      <c r="C121" s="28">
        <f>[18]С4!F36</f>
        <v>14319.9</v>
      </c>
    </row>
    <row r="122" spans="1:3" ht="28.5" thickBot="1">
      <c r="A122" s="62" t="s">
        <v>254</v>
      </c>
      <c r="B122" s="123" t="s">
        <v>255</v>
      </c>
      <c r="C122" s="73">
        <f>[18]С4!F37</f>
        <v>1.19</v>
      </c>
    </row>
    <row r="123" spans="1:3" s="77" customFormat="1" ht="13.5" thickBot="1">
      <c r="A123" s="39"/>
      <c r="B123" s="65"/>
      <c r="C123" s="13"/>
    </row>
    <row r="124" spans="1:3" s="53" customFormat="1" ht="30" customHeight="1">
      <c r="A124" s="66" t="s">
        <v>164</v>
      </c>
      <c r="B124" s="141" t="s">
        <v>165</v>
      </c>
      <c r="C124" s="141"/>
    </row>
    <row r="125" spans="1:3" ht="16.5" thickBot="1">
      <c r="A125" s="21" t="s">
        <v>166</v>
      </c>
      <c r="B125" s="78" t="s">
        <v>167</v>
      </c>
      <c r="C125" s="73">
        <f>[18]С5!F17</f>
        <v>0.02</v>
      </c>
    </row>
    <row r="126" spans="1:3" s="77" customFormat="1" ht="13.5" thickBot="1">
      <c r="A126" s="39"/>
      <c r="B126" s="65"/>
      <c r="C126" s="13"/>
    </row>
    <row r="127" spans="1:3" ht="42.75" customHeight="1">
      <c r="A127" s="74" t="s">
        <v>168</v>
      </c>
      <c r="B127" s="142" t="s">
        <v>169</v>
      </c>
      <c r="C127" s="142"/>
    </row>
    <row r="128" spans="1:3" ht="68.25">
      <c r="A128" s="49" t="s">
        <v>170</v>
      </c>
      <c r="B128" s="79" t="s">
        <v>171</v>
      </c>
      <c r="C128" s="28" t="s">
        <v>256</v>
      </c>
    </row>
    <row r="129" spans="1:4" ht="42.75" hidden="1">
      <c r="A129" s="49" t="s">
        <v>172</v>
      </c>
      <c r="B129" s="76" t="s">
        <v>173</v>
      </c>
      <c r="C129" s="80"/>
    </row>
    <row r="130" spans="1:4" ht="69" thickBot="1">
      <c r="A130" s="62" t="s">
        <v>174</v>
      </c>
      <c r="B130" s="124" t="s">
        <v>175</v>
      </c>
      <c r="C130" s="125" t="s">
        <v>256</v>
      </c>
    </row>
    <row r="131" spans="1:4" ht="62.25" hidden="1" customHeight="1">
      <c r="A131" s="126" t="s">
        <v>176</v>
      </c>
      <c r="B131" s="127" t="s">
        <v>177</v>
      </c>
      <c r="C131" s="128"/>
    </row>
    <row r="132" spans="1:4" ht="68.25" hidden="1">
      <c r="A132" s="49" t="s">
        <v>178</v>
      </c>
      <c r="B132" s="76" t="s">
        <v>257</v>
      </c>
      <c r="C132" s="29"/>
    </row>
    <row r="133" spans="1:4" ht="69" hidden="1" thickBot="1">
      <c r="A133" s="62" t="s">
        <v>179</v>
      </c>
      <c r="B133" s="81" t="s">
        <v>180</v>
      </c>
      <c r="C133" s="64"/>
    </row>
    <row r="134" spans="1:4" s="77" customFormat="1" ht="13.5" thickBot="1">
      <c r="A134" s="39"/>
      <c r="B134" s="65"/>
      <c r="C134" s="13"/>
    </row>
    <row r="135" spans="1:4" ht="26.25" customHeight="1">
      <c r="A135" s="74" t="s">
        <v>181</v>
      </c>
      <c r="B135" s="82" t="s">
        <v>182</v>
      </c>
      <c r="C135" s="83">
        <f>[18]С2!F37</f>
        <v>20.818139999999996</v>
      </c>
    </row>
    <row r="136" spans="1:4" ht="14.25">
      <c r="A136" s="49" t="s">
        <v>183</v>
      </c>
      <c r="B136" s="129" t="s">
        <v>184</v>
      </c>
      <c r="C136" s="28">
        <f>[18]С2!F38</f>
        <v>7</v>
      </c>
    </row>
    <row r="137" spans="1:4" ht="17.25">
      <c r="A137" s="49" t="s">
        <v>185</v>
      </c>
      <c r="B137" s="129" t="s">
        <v>186</v>
      </c>
      <c r="C137" s="28">
        <f>[18]С2!F40</f>
        <v>0.97</v>
      </c>
    </row>
    <row r="138" spans="1:4" ht="15" thickBot="1">
      <c r="A138" s="62" t="s">
        <v>187</v>
      </c>
      <c r="B138" s="130" t="s">
        <v>188</v>
      </c>
      <c r="C138" s="38">
        <f>[18]С2!F42</f>
        <v>0.35</v>
      </c>
    </row>
    <row r="139" spans="1:4" s="77" customFormat="1" ht="13.5" thickBot="1">
      <c r="A139" s="39"/>
      <c r="B139" s="65"/>
      <c r="C139" s="13"/>
    </row>
    <row r="140" spans="1:4" ht="30">
      <c r="A140" s="74" t="s">
        <v>189</v>
      </c>
      <c r="B140" s="84" t="s">
        <v>258</v>
      </c>
      <c r="C140" s="131">
        <f>[18]С2!F35</f>
        <v>1.3822747209000001</v>
      </c>
      <c r="D140" s="77"/>
    </row>
    <row r="141" spans="1:4" ht="22.7" customHeight="1" thickBot="1">
      <c r="A141" s="62" t="s">
        <v>190</v>
      </c>
      <c r="B141" s="143" t="s">
        <v>191</v>
      </c>
      <c r="C141" s="143"/>
      <c r="D141" s="77"/>
    </row>
    <row r="142" spans="1:4" ht="13.5" thickBot="1">
      <c r="A142" s="85"/>
      <c r="B142" s="132" t="s">
        <v>192</v>
      </c>
      <c r="C142" s="133"/>
      <c r="D142" s="77"/>
    </row>
    <row r="143" spans="1:4">
      <c r="A143" s="85"/>
      <c r="B143" s="134">
        <v>2020</v>
      </c>
      <c r="C143" s="135">
        <f>[18]С2.5!$E$11</f>
        <v>-2.9000000000000026E-2</v>
      </c>
      <c r="D143" s="77"/>
    </row>
    <row r="144" spans="1:4">
      <c r="A144" s="85"/>
      <c r="B144" s="86">
        <f>B143+1</f>
        <v>2021</v>
      </c>
      <c r="C144" s="136">
        <f>[18]С2.5!$F$11</f>
        <v>0.245</v>
      </c>
      <c r="D144" s="77"/>
    </row>
    <row r="145" spans="1:4">
      <c r="A145" s="85"/>
      <c r="B145" s="86">
        <f t="shared" ref="B145:B208" si="0">B144+1</f>
        <v>2022</v>
      </c>
      <c r="C145" s="136">
        <f>[18]С2.5!$G$11</f>
        <v>0.121</v>
      </c>
      <c r="D145" s="77"/>
    </row>
    <row r="146" spans="1:4" ht="13.5" thickBot="1">
      <c r="A146" s="85"/>
      <c r="B146" s="87">
        <f t="shared" si="0"/>
        <v>2023</v>
      </c>
      <c r="C146" s="137">
        <f>[18]С2.5!$H$11</f>
        <v>0.02</v>
      </c>
      <c r="D146" s="77"/>
    </row>
    <row r="147" spans="1:4" hidden="1">
      <c r="A147" s="85"/>
      <c r="B147" s="138">
        <f t="shared" si="0"/>
        <v>2024</v>
      </c>
      <c r="C147" s="139">
        <f>[18]С2.5!$I$11</f>
        <v>-2.93E-2</v>
      </c>
      <c r="D147" s="77"/>
    </row>
    <row r="148" spans="1:4" hidden="1">
      <c r="A148" s="85"/>
      <c r="B148" s="86">
        <f t="shared" si="0"/>
        <v>2025</v>
      </c>
      <c r="C148" s="136">
        <f>[18]С2.5!$J$11</f>
        <v>0.21215960863291</v>
      </c>
      <c r="D148" s="77"/>
    </row>
    <row r="149" spans="1:4" hidden="1">
      <c r="A149" s="85"/>
      <c r="B149" s="86">
        <f t="shared" si="0"/>
        <v>2026</v>
      </c>
      <c r="C149" s="136">
        <f>[18]С2.5!$K$11</f>
        <v>3.5813361771260002E-2</v>
      </c>
      <c r="D149" s="77"/>
    </row>
    <row r="150" spans="1:4" hidden="1">
      <c r="A150" s="85"/>
      <c r="B150" s="86">
        <f t="shared" si="0"/>
        <v>2027</v>
      </c>
      <c r="C150" s="136">
        <f>[18]С2.5!$L$11</f>
        <v>3.2682303599220003E-2</v>
      </c>
      <c r="D150" s="77"/>
    </row>
    <row r="151" spans="1:4" hidden="1">
      <c r="A151" s="85"/>
      <c r="B151" s="86">
        <f t="shared" si="0"/>
        <v>2028</v>
      </c>
      <c r="C151" s="136">
        <f>[18]С2.5!$M$11</f>
        <v>0</v>
      </c>
      <c r="D151" s="77"/>
    </row>
    <row r="152" spans="1:4" hidden="1">
      <c r="A152" s="85"/>
      <c r="B152" s="86">
        <f t="shared" si="0"/>
        <v>2029</v>
      </c>
      <c r="C152" s="136">
        <f>[18]С2.5!$N$11</f>
        <v>0</v>
      </c>
      <c r="D152" s="77"/>
    </row>
    <row r="153" spans="1:4" hidden="1">
      <c r="A153" s="85"/>
      <c r="B153" s="86">
        <f t="shared" si="0"/>
        <v>2030</v>
      </c>
      <c r="C153" s="136">
        <f>[18]С2.5!$O$11</f>
        <v>0</v>
      </c>
      <c r="D153" s="77"/>
    </row>
    <row r="154" spans="1:4" hidden="1">
      <c r="A154" s="85"/>
      <c r="B154" s="86">
        <f t="shared" si="0"/>
        <v>2031</v>
      </c>
      <c r="C154" s="136">
        <f>[18]С2.5!$P$11</f>
        <v>0</v>
      </c>
      <c r="D154" s="77"/>
    </row>
    <row r="155" spans="1:4" hidden="1">
      <c r="A155" s="77"/>
      <c r="B155" s="86">
        <f t="shared" si="0"/>
        <v>2032</v>
      </c>
      <c r="C155" s="136">
        <f>[18]С2.5!$Q$11</f>
        <v>0</v>
      </c>
      <c r="D155" s="77"/>
    </row>
    <row r="156" spans="1:4" hidden="1">
      <c r="A156" s="77"/>
      <c r="B156" s="86">
        <f t="shared" si="0"/>
        <v>2033</v>
      </c>
      <c r="C156" s="136">
        <f>[18]С2.5!$R$11</f>
        <v>0</v>
      </c>
      <c r="D156" s="77"/>
    </row>
    <row r="157" spans="1:4" hidden="1">
      <c r="B157" s="86">
        <f t="shared" si="0"/>
        <v>2034</v>
      </c>
      <c r="C157" s="136">
        <f>[18]С2.5!$S$11</f>
        <v>0</v>
      </c>
    </row>
    <row r="158" spans="1:4" hidden="1">
      <c r="B158" s="86">
        <f t="shared" si="0"/>
        <v>2035</v>
      </c>
      <c r="C158" s="136">
        <f>[18]С2.5!$T$11</f>
        <v>0</v>
      </c>
    </row>
    <row r="159" spans="1:4" hidden="1">
      <c r="B159" s="86">
        <f t="shared" si="0"/>
        <v>2036</v>
      </c>
      <c r="C159" s="136">
        <f>[18]С2.5!$U$11</f>
        <v>0</v>
      </c>
    </row>
    <row r="160" spans="1:4" hidden="1">
      <c r="B160" s="86">
        <f t="shared" si="0"/>
        <v>2037</v>
      </c>
      <c r="C160" s="136">
        <f>[18]С2.5!$V$11</f>
        <v>0</v>
      </c>
    </row>
    <row r="161" spans="2:3" hidden="1">
      <c r="B161" s="86">
        <f t="shared" si="0"/>
        <v>2038</v>
      </c>
      <c r="C161" s="136">
        <f>[18]С2.5!$W$11</f>
        <v>0</v>
      </c>
    </row>
    <row r="162" spans="2:3" hidden="1">
      <c r="B162" s="86">
        <f t="shared" si="0"/>
        <v>2039</v>
      </c>
      <c r="C162" s="136">
        <f>[18]С2.5!$X$11</f>
        <v>0</v>
      </c>
    </row>
    <row r="163" spans="2:3" hidden="1">
      <c r="B163" s="86">
        <f t="shared" si="0"/>
        <v>2040</v>
      </c>
      <c r="C163" s="136">
        <f>[18]С2.5!$Y$11</f>
        <v>0</v>
      </c>
    </row>
    <row r="164" spans="2:3" hidden="1">
      <c r="B164" s="86">
        <f t="shared" si="0"/>
        <v>2041</v>
      </c>
      <c r="C164" s="136">
        <f>[18]С2.5!$Z$11</f>
        <v>0</v>
      </c>
    </row>
    <row r="165" spans="2:3" hidden="1">
      <c r="B165" s="86">
        <f t="shared" si="0"/>
        <v>2042</v>
      </c>
      <c r="C165" s="136">
        <f>[18]С2.5!$AA$11</f>
        <v>0</v>
      </c>
    </row>
    <row r="166" spans="2:3" hidden="1">
      <c r="B166" s="86">
        <f t="shared" si="0"/>
        <v>2043</v>
      </c>
      <c r="C166" s="136">
        <f>[18]С2.5!$AB$11</f>
        <v>0</v>
      </c>
    </row>
    <row r="167" spans="2:3" hidden="1">
      <c r="B167" s="86">
        <f t="shared" si="0"/>
        <v>2044</v>
      </c>
      <c r="C167" s="136">
        <f>[18]С2.5!$AC$11</f>
        <v>0</v>
      </c>
    </row>
    <row r="168" spans="2:3" hidden="1">
      <c r="B168" s="86">
        <f t="shared" si="0"/>
        <v>2045</v>
      </c>
      <c r="C168" s="136">
        <f>[18]С2.5!$AD$11</f>
        <v>0</v>
      </c>
    </row>
    <row r="169" spans="2:3" hidden="1">
      <c r="B169" s="86">
        <f t="shared" si="0"/>
        <v>2046</v>
      </c>
      <c r="C169" s="136">
        <f>[18]С2.5!$AE$11</f>
        <v>0</v>
      </c>
    </row>
    <row r="170" spans="2:3" hidden="1">
      <c r="B170" s="86">
        <f t="shared" si="0"/>
        <v>2047</v>
      </c>
      <c r="C170" s="136">
        <f>[18]С2.5!$AF$11</f>
        <v>0</v>
      </c>
    </row>
    <row r="171" spans="2:3" hidden="1">
      <c r="B171" s="86">
        <f t="shared" si="0"/>
        <v>2048</v>
      </c>
      <c r="C171" s="136">
        <f>[18]С2.5!$AG$11</f>
        <v>0</v>
      </c>
    </row>
    <row r="172" spans="2:3" hidden="1">
      <c r="B172" s="86">
        <f t="shared" si="0"/>
        <v>2049</v>
      </c>
      <c r="C172" s="136">
        <f>[18]С2.5!$AH$11</f>
        <v>0</v>
      </c>
    </row>
    <row r="173" spans="2:3" hidden="1">
      <c r="B173" s="86">
        <f t="shared" si="0"/>
        <v>2050</v>
      </c>
      <c r="C173" s="136">
        <f>[18]С2.5!$AI$11</f>
        <v>0</v>
      </c>
    </row>
    <row r="174" spans="2:3" hidden="1">
      <c r="B174" s="86">
        <f t="shared" si="0"/>
        <v>2051</v>
      </c>
      <c r="C174" s="136">
        <f>[18]С2.5!$AJ$11</f>
        <v>0</v>
      </c>
    </row>
    <row r="175" spans="2:3" hidden="1">
      <c r="B175" s="86">
        <f t="shared" si="0"/>
        <v>2052</v>
      </c>
      <c r="C175" s="136">
        <f>[18]С2.5!$AK$11</f>
        <v>0</v>
      </c>
    </row>
    <row r="176" spans="2:3" hidden="1">
      <c r="B176" s="86">
        <f t="shared" si="0"/>
        <v>2053</v>
      </c>
      <c r="C176" s="136">
        <f>[18]С2.5!$AL$11</f>
        <v>0</v>
      </c>
    </row>
    <row r="177" spans="2:3" hidden="1">
      <c r="B177" s="86">
        <f t="shared" si="0"/>
        <v>2054</v>
      </c>
      <c r="C177" s="136">
        <f>[18]С2.5!$AM$11</f>
        <v>0</v>
      </c>
    </row>
    <row r="178" spans="2:3" hidden="1">
      <c r="B178" s="86">
        <f t="shared" si="0"/>
        <v>2055</v>
      </c>
      <c r="C178" s="136">
        <f>[18]С2.5!$AN$11</f>
        <v>0</v>
      </c>
    </row>
    <row r="179" spans="2:3" hidden="1">
      <c r="B179" s="86">
        <f t="shared" si="0"/>
        <v>2056</v>
      </c>
      <c r="C179" s="136">
        <f>[18]С2.5!$AO$11</f>
        <v>0</v>
      </c>
    </row>
    <row r="180" spans="2:3" hidden="1">
      <c r="B180" s="86">
        <f t="shared" si="0"/>
        <v>2057</v>
      </c>
      <c r="C180" s="136">
        <f>[18]С2.5!$AP$11</f>
        <v>0</v>
      </c>
    </row>
    <row r="181" spans="2:3" hidden="1">
      <c r="B181" s="86">
        <f t="shared" si="0"/>
        <v>2058</v>
      </c>
      <c r="C181" s="136">
        <f>[18]С2.5!$AQ$11</f>
        <v>0</v>
      </c>
    </row>
    <row r="182" spans="2:3" hidden="1">
      <c r="B182" s="86">
        <f t="shared" si="0"/>
        <v>2059</v>
      </c>
      <c r="C182" s="136">
        <f>[18]С2.5!$AR$11</f>
        <v>0</v>
      </c>
    </row>
    <row r="183" spans="2:3" hidden="1">
      <c r="B183" s="86">
        <f t="shared" si="0"/>
        <v>2060</v>
      </c>
      <c r="C183" s="136">
        <f>[18]С2.5!$AS$11</f>
        <v>0</v>
      </c>
    </row>
    <row r="184" spans="2:3" hidden="1">
      <c r="B184" s="86">
        <f t="shared" si="0"/>
        <v>2061</v>
      </c>
      <c r="C184" s="136">
        <f>[18]С2.5!$AT$11</f>
        <v>0</v>
      </c>
    </row>
    <row r="185" spans="2:3" hidden="1">
      <c r="B185" s="86">
        <f t="shared" si="0"/>
        <v>2062</v>
      </c>
      <c r="C185" s="136">
        <f>[18]С2.5!$AU$11</f>
        <v>0</v>
      </c>
    </row>
    <row r="186" spans="2:3" hidden="1">
      <c r="B186" s="86">
        <f t="shared" si="0"/>
        <v>2063</v>
      </c>
      <c r="C186" s="136">
        <f>[18]С2.5!$AV$11</f>
        <v>0</v>
      </c>
    </row>
    <row r="187" spans="2:3" hidden="1">
      <c r="B187" s="86">
        <f t="shared" si="0"/>
        <v>2064</v>
      </c>
      <c r="C187" s="136">
        <f>[18]С2.5!$AW$11</f>
        <v>0</v>
      </c>
    </row>
    <row r="188" spans="2:3" hidden="1">
      <c r="B188" s="86">
        <f t="shared" si="0"/>
        <v>2065</v>
      </c>
      <c r="C188" s="136">
        <f>[18]С2.5!$AX$11</f>
        <v>0</v>
      </c>
    </row>
    <row r="189" spans="2:3" hidden="1">
      <c r="B189" s="86">
        <f t="shared" si="0"/>
        <v>2066</v>
      </c>
      <c r="C189" s="136">
        <f>[18]С2.5!$AY$11</f>
        <v>0</v>
      </c>
    </row>
    <row r="190" spans="2:3" hidden="1">
      <c r="B190" s="86">
        <f t="shared" si="0"/>
        <v>2067</v>
      </c>
      <c r="C190" s="136">
        <f>[18]С2.5!$AZ$11</f>
        <v>0</v>
      </c>
    </row>
    <row r="191" spans="2:3" hidden="1">
      <c r="B191" s="86">
        <f t="shared" si="0"/>
        <v>2068</v>
      </c>
      <c r="C191" s="136">
        <f>[18]С2.5!$BA$11</f>
        <v>0</v>
      </c>
    </row>
    <row r="192" spans="2:3" hidden="1">
      <c r="B192" s="86">
        <f t="shared" si="0"/>
        <v>2069</v>
      </c>
      <c r="C192" s="136">
        <f>[18]С2.5!$BB$11</f>
        <v>0</v>
      </c>
    </row>
    <row r="193" spans="2:3" hidden="1">
      <c r="B193" s="86">
        <f t="shared" si="0"/>
        <v>2070</v>
      </c>
      <c r="C193" s="136">
        <f>[18]С2.5!$BC$11</f>
        <v>0</v>
      </c>
    </row>
    <row r="194" spans="2:3" hidden="1">
      <c r="B194" s="86">
        <f t="shared" si="0"/>
        <v>2071</v>
      </c>
      <c r="C194" s="136">
        <f>[18]С2.5!$BD$11</f>
        <v>0</v>
      </c>
    </row>
    <row r="195" spans="2:3" hidden="1">
      <c r="B195" s="86">
        <f t="shared" si="0"/>
        <v>2072</v>
      </c>
      <c r="C195" s="136">
        <f>[18]С2.5!$BE$11</f>
        <v>0</v>
      </c>
    </row>
    <row r="196" spans="2:3" hidden="1">
      <c r="B196" s="86">
        <f t="shared" si="0"/>
        <v>2073</v>
      </c>
      <c r="C196" s="136">
        <f>[18]С2.5!$BF$11</f>
        <v>0</v>
      </c>
    </row>
    <row r="197" spans="2:3" hidden="1">
      <c r="B197" s="86">
        <f t="shared" si="0"/>
        <v>2074</v>
      </c>
      <c r="C197" s="136">
        <f>[18]С2.5!$BG$11</f>
        <v>0</v>
      </c>
    </row>
    <row r="198" spans="2:3" hidden="1">
      <c r="B198" s="86">
        <f t="shared" si="0"/>
        <v>2075</v>
      </c>
      <c r="C198" s="136">
        <f>[18]С2.5!$BH$11</f>
        <v>0</v>
      </c>
    </row>
    <row r="199" spans="2:3" hidden="1">
      <c r="B199" s="86">
        <f t="shared" si="0"/>
        <v>2076</v>
      </c>
      <c r="C199" s="136">
        <f>[18]С2.5!$BI$11</f>
        <v>0</v>
      </c>
    </row>
    <row r="200" spans="2:3" hidden="1">
      <c r="B200" s="86">
        <f t="shared" si="0"/>
        <v>2077</v>
      </c>
      <c r="C200" s="136">
        <f>[18]С2.5!$BJ$11</f>
        <v>0</v>
      </c>
    </row>
    <row r="201" spans="2:3" hidden="1">
      <c r="B201" s="86">
        <f t="shared" si="0"/>
        <v>2078</v>
      </c>
      <c r="C201" s="136">
        <f>[18]С2.5!$BK$11</f>
        <v>0</v>
      </c>
    </row>
    <row r="202" spans="2:3" hidden="1">
      <c r="B202" s="86">
        <f t="shared" si="0"/>
        <v>2079</v>
      </c>
      <c r="C202" s="136">
        <f>[18]С2.5!$BL$11</f>
        <v>0</v>
      </c>
    </row>
    <row r="203" spans="2:3" hidden="1">
      <c r="B203" s="86">
        <f t="shared" si="0"/>
        <v>2080</v>
      </c>
      <c r="C203" s="136">
        <f>[18]С2.5!$BM$11</f>
        <v>0</v>
      </c>
    </row>
    <row r="204" spans="2:3" hidden="1">
      <c r="B204" s="86">
        <f t="shared" si="0"/>
        <v>2081</v>
      </c>
      <c r="C204" s="136">
        <f>[18]С2.5!$BN$11</f>
        <v>0</v>
      </c>
    </row>
    <row r="205" spans="2:3" hidden="1">
      <c r="B205" s="86">
        <f t="shared" si="0"/>
        <v>2082</v>
      </c>
      <c r="C205" s="136">
        <f>[18]С2.5!$BO$11</f>
        <v>0</v>
      </c>
    </row>
    <row r="206" spans="2:3" hidden="1">
      <c r="B206" s="86">
        <f t="shared" si="0"/>
        <v>2083</v>
      </c>
      <c r="C206" s="136">
        <f>[18]С2.5!$BP$11</f>
        <v>0</v>
      </c>
    </row>
    <row r="207" spans="2:3" hidden="1">
      <c r="B207" s="86">
        <f t="shared" si="0"/>
        <v>2084</v>
      </c>
      <c r="C207" s="136">
        <f>[18]С2.5!$BQ$11</f>
        <v>0</v>
      </c>
    </row>
    <row r="208" spans="2:3" hidden="1">
      <c r="B208" s="86">
        <f t="shared" si="0"/>
        <v>2085</v>
      </c>
      <c r="C208" s="136">
        <f>[18]С2.5!$BR$11</f>
        <v>0</v>
      </c>
    </row>
    <row r="209" spans="2:3" hidden="1">
      <c r="B209" s="86">
        <f t="shared" ref="B209:B223" si="1">B208+1</f>
        <v>2086</v>
      </c>
      <c r="C209" s="136">
        <f>[18]С2.5!$BS$11</f>
        <v>0</v>
      </c>
    </row>
    <row r="210" spans="2:3" hidden="1">
      <c r="B210" s="86">
        <f t="shared" si="1"/>
        <v>2087</v>
      </c>
      <c r="C210" s="136">
        <f>[18]С2.5!$BT$11</f>
        <v>0</v>
      </c>
    </row>
    <row r="211" spans="2:3" hidden="1">
      <c r="B211" s="86">
        <f t="shared" si="1"/>
        <v>2088</v>
      </c>
      <c r="C211" s="136">
        <f>[18]С2.5!$BU$11</f>
        <v>0</v>
      </c>
    </row>
    <row r="212" spans="2:3" hidden="1">
      <c r="B212" s="86">
        <f t="shared" si="1"/>
        <v>2089</v>
      </c>
      <c r="C212" s="136">
        <f>[18]С2.5!$BV$11</f>
        <v>0</v>
      </c>
    </row>
    <row r="213" spans="2:3" hidden="1">
      <c r="B213" s="86">
        <f t="shared" si="1"/>
        <v>2090</v>
      </c>
      <c r="C213" s="136">
        <f>[18]С2.5!$BW$11</f>
        <v>0</v>
      </c>
    </row>
    <row r="214" spans="2:3" hidden="1">
      <c r="B214" s="86">
        <f t="shared" si="1"/>
        <v>2091</v>
      </c>
      <c r="C214" s="136">
        <f>[18]С2.5!$BX$11</f>
        <v>0</v>
      </c>
    </row>
    <row r="215" spans="2:3" hidden="1">
      <c r="B215" s="86">
        <f t="shared" si="1"/>
        <v>2092</v>
      </c>
      <c r="C215" s="136">
        <f>[18]С2.5!$BY$11</f>
        <v>0</v>
      </c>
    </row>
    <row r="216" spans="2:3" hidden="1">
      <c r="B216" s="86">
        <f t="shared" si="1"/>
        <v>2093</v>
      </c>
      <c r="C216" s="136">
        <f>[18]С2.5!$BZ$11</f>
        <v>0</v>
      </c>
    </row>
    <row r="217" spans="2:3" hidden="1">
      <c r="B217" s="86">
        <f t="shared" si="1"/>
        <v>2094</v>
      </c>
      <c r="C217" s="136">
        <f>[18]С2.5!$CA$11</f>
        <v>0</v>
      </c>
    </row>
    <row r="218" spans="2:3" hidden="1">
      <c r="B218" s="86">
        <f t="shared" si="1"/>
        <v>2095</v>
      </c>
      <c r="C218" s="136">
        <f>[18]С2.5!$CB$11</f>
        <v>0</v>
      </c>
    </row>
    <row r="219" spans="2:3" hidden="1">
      <c r="B219" s="86">
        <f t="shared" si="1"/>
        <v>2096</v>
      </c>
      <c r="C219" s="136">
        <f>[18]С2.5!$CC$11</f>
        <v>0</v>
      </c>
    </row>
    <row r="220" spans="2:3" hidden="1">
      <c r="B220" s="86">
        <f t="shared" si="1"/>
        <v>2097</v>
      </c>
      <c r="C220" s="136">
        <f>[18]С2.5!$CD$11</f>
        <v>0</v>
      </c>
    </row>
    <row r="221" spans="2:3" hidden="1">
      <c r="B221" s="86">
        <f t="shared" si="1"/>
        <v>2098</v>
      </c>
      <c r="C221" s="136">
        <f>[18]С2.5!$CE$11</f>
        <v>0</v>
      </c>
    </row>
    <row r="222" spans="2:3" hidden="1">
      <c r="B222" s="86">
        <f t="shared" si="1"/>
        <v>2099</v>
      </c>
      <c r="C222" s="136">
        <f>[18]С2.5!$CF$11</f>
        <v>0</v>
      </c>
    </row>
    <row r="223" spans="2:3" ht="13.5" hidden="1" thickBot="1">
      <c r="B223" s="87">
        <f t="shared" si="1"/>
        <v>2100</v>
      </c>
      <c r="C223" s="137">
        <f>[18]С2.5!$CG$11</f>
        <v>0</v>
      </c>
    </row>
    <row r="224" spans="2:3" hidden="1">
      <c r="C224" s="140"/>
    </row>
    <row r="225" spans="3:3" hidden="1">
      <c r="C225" s="140"/>
    </row>
    <row r="226" spans="3:3">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5057" r:id="rId3" name="Button 1">
              <controlPr defaultSize="0" print="0" autoFill="0" autoPict="0" macro="[1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14</vt:i4>
      </vt:variant>
    </vt:vector>
  </HeadingPairs>
  <TitlesOfParts>
    <vt:vector size="14" baseType="lpstr">
      <vt:lpstr>Блюдчанский</vt:lpstr>
      <vt:lpstr>Землянозаимский</vt:lpstr>
      <vt:lpstr>Красносельский</vt:lpstr>
      <vt:lpstr>Матвеевский</vt:lpstr>
      <vt:lpstr>Новопреображенский</vt:lpstr>
      <vt:lpstr>Озеро-Карачинский</vt:lpstr>
      <vt:lpstr>Отреченский</vt:lpstr>
      <vt:lpstr>Погорельский</vt:lpstr>
      <vt:lpstr>Покровский</vt:lpstr>
      <vt:lpstr>Р.п.Чаны</vt:lpstr>
      <vt:lpstr>Старокарачинский</vt:lpstr>
      <vt:lpstr>Таганский</vt:lpstr>
      <vt:lpstr>Тебисский</vt:lpstr>
      <vt:lpstr>Щегловский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Трофименко</dc:creator>
  <cp:lastModifiedBy>Трофименко</cp:lastModifiedBy>
  <dcterms:created xsi:type="dcterms:W3CDTF">2023-01-18T03:25:21Z</dcterms:created>
  <dcterms:modified xsi:type="dcterms:W3CDTF">2023-01-18T05:15:58Z</dcterms:modified>
</cp:coreProperties>
</file>