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3620"/>
  </bookViews>
  <sheets>
    <sheet name="Баклушевское" sheetId="19" r:id="rId1"/>
    <sheet name="Волчанское" sheetId="20" r:id="rId2"/>
    <sheet name="Доволенское" sheetId="21" r:id="rId3"/>
    <sheet name="Ильинское" sheetId="22" r:id="rId4"/>
    <sheet name="Индерское" sheetId="23" r:id="rId5"/>
    <sheet name="Комарьевское" sheetId="24" r:id="rId6"/>
    <sheet name="Красногривенское" sheetId="25" r:id="rId7"/>
    <sheet name="Согорнское" sheetId="26" r:id="rId8"/>
    <sheet name="Суздальское" sheetId="27" r:id="rId9"/>
    <sheet name="Травнинское" sheetId="28" r:id="rId10"/>
    <sheet name="Утянское" sheetId="29" r:id="rId11"/>
    <sheet name="Шагальское" sheetId="30" r:id="rId12"/>
    <sheet name="Ярковское" sheetId="3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31" l="1"/>
  <c r="C222" i="31"/>
  <c r="C221" i="31"/>
  <c r="C220" i="31"/>
  <c r="C219" i="31"/>
  <c r="C218" i="31"/>
  <c r="C217" i="31"/>
  <c r="C216" i="31"/>
  <c r="C215" i="31"/>
  <c r="C214" i="31"/>
  <c r="C213" i="31"/>
  <c r="C212" i="31"/>
  <c r="C211" i="3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B145" i="3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C144" i="31"/>
  <c r="B144" i="31"/>
  <c r="C143" i="31"/>
  <c r="C140" i="31"/>
  <c r="C138" i="31"/>
  <c r="C137" i="31"/>
  <c r="C136" i="31"/>
  <c r="C135" i="31"/>
  <c r="C125"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3" i="31"/>
  <c r="C92" i="31"/>
  <c r="C91" i="31"/>
  <c r="C90" i="31"/>
  <c r="C89" i="31"/>
  <c r="C88" i="31"/>
  <c r="C87" i="31"/>
  <c r="C86" i="31"/>
  <c r="C85"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38" i="31"/>
  <c r="C37" i="31"/>
  <c r="C36" i="31"/>
  <c r="C35" i="31"/>
  <c r="C34" i="31"/>
  <c r="C33" i="31"/>
  <c r="C32" i="31"/>
  <c r="C31" i="31"/>
  <c r="C30" i="31"/>
  <c r="C29" i="31"/>
  <c r="C28" i="31"/>
  <c r="C23" i="31"/>
  <c r="C22" i="31"/>
  <c r="C21" i="31"/>
  <c r="C20" i="31"/>
  <c r="C19" i="31"/>
  <c r="C18" i="31"/>
  <c r="C17" i="31" s="1"/>
  <c r="C13" i="31"/>
  <c r="B13" i="31"/>
  <c r="C12" i="31"/>
  <c r="B12" i="31"/>
  <c r="C11" i="31"/>
  <c r="B11" i="31"/>
  <c r="C10" i="31"/>
  <c r="B10" i="31"/>
  <c r="C9" i="31"/>
  <c r="B9" i="31"/>
  <c r="C8" i="31"/>
  <c r="B8" i="31"/>
  <c r="C7" i="31"/>
  <c r="B7" i="31"/>
  <c r="C6" i="31"/>
  <c r="B6" i="31"/>
  <c r="C5" i="31"/>
  <c r="B5" i="31"/>
  <c r="C4" i="31"/>
  <c r="B4" i="31"/>
  <c r="C2" i="31"/>
  <c r="C223" i="30" l="1"/>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B145" i="30"/>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C144" i="30"/>
  <c r="B144" i="30"/>
  <c r="C143" i="30"/>
  <c r="C140" i="30"/>
  <c r="C138" i="30"/>
  <c r="C137" i="30"/>
  <c r="C136" i="30"/>
  <c r="C135" i="30"/>
  <c r="C125"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3" i="30"/>
  <c r="C92" i="30"/>
  <c r="C91" i="30"/>
  <c r="C90" i="30"/>
  <c r="C89" i="30"/>
  <c r="C88" i="30"/>
  <c r="C87" i="30"/>
  <c r="C86" i="30"/>
  <c r="C85"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38" i="30"/>
  <c r="C37" i="30"/>
  <c r="C36" i="30"/>
  <c r="C35" i="30"/>
  <c r="C34" i="30"/>
  <c r="C33" i="30"/>
  <c r="C32" i="30"/>
  <c r="C31" i="30"/>
  <c r="C30" i="30"/>
  <c r="C29" i="30"/>
  <c r="C28" i="30"/>
  <c r="C23" i="30"/>
  <c r="C22" i="30"/>
  <c r="C21" i="30"/>
  <c r="C20" i="30"/>
  <c r="C19" i="30"/>
  <c r="C18" i="30"/>
  <c r="C17" i="30" s="1"/>
  <c r="C13" i="30"/>
  <c r="B13" i="30"/>
  <c r="C12" i="30"/>
  <c r="B12" i="30"/>
  <c r="C11" i="30"/>
  <c r="B11" i="30"/>
  <c r="C10" i="30"/>
  <c r="B10" i="30"/>
  <c r="C9" i="30"/>
  <c r="B9" i="30"/>
  <c r="C8" i="30"/>
  <c r="B8" i="30"/>
  <c r="C7" i="30"/>
  <c r="B7" i="30"/>
  <c r="C6" i="30"/>
  <c r="B6" i="30"/>
  <c r="C5" i="30"/>
  <c r="B5" i="30"/>
  <c r="C4" i="30"/>
  <c r="B4" i="30"/>
  <c r="C2" i="30"/>
  <c r="C223" i="29" l="1"/>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5" i="29"/>
  <c r="C184" i="29"/>
  <c r="C183" i="29"/>
  <c r="C182" i="29"/>
  <c r="C181" i="29"/>
  <c r="C180" i="29"/>
  <c r="C179" i="29"/>
  <c r="C178" i="29"/>
  <c r="C177" i="29"/>
  <c r="C176" i="29"/>
  <c r="C175" i="29"/>
  <c r="C174" i="29"/>
  <c r="C173" i="29"/>
  <c r="C172" i="29"/>
  <c r="C171" i="29"/>
  <c r="C170" i="29"/>
  <c r="C169" i="29"/>
  <c r="C168" i="29"/>
  <c r="C167" i="29"/>
  <c r="C166" i="29"/>
  <c r="C165" i="29"/>
  <c r="C164" i="29"/>
  <c r="C163" i="29"/>
  <c r="C162" i="29"/>
  <c r="C161" i="29"/>
  <c r="C160" i="29"/>
  <c r="C159" i="29"/>
  <c r="C158" i="29"/>
  <c r="C157" i="29"/>
  <c r="C156" i="29"/>
  <c r="C155" i="29"/>
  <c r="C154" i="29"/>
  <c r="C153" i="29"/>
  <c r="C152" i="29"/>
  <c r="C151" i="29"/>
  <c r="C150" i="29"/>
  <c r="C149" i="29"/>
  <c r="C148" i="29"/>
  <c r="C147" i="29"/>
  <c r="C146" i="29"/>
  <c r="C145" i="29"/>
  <c r="C144" i="29"/>
  <c r="B144" i="29"/>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C143" i="29"/>
  <c r="C140" i="29"/>
  <c r="C138" i="29"/>
  <c r="C137" i="29"/>
  <c r="C136" i="29"/>
  <c r="C135" i="29"/>
  <c r="C125" i="29"/>
  <c r="C122" i="29"/>
  <c r="C121" i="29"/>
  <c r="C120" i="29"/>
  <c r="C119" i="29"/>
  <c r="C118" i="29"/>
  <c r="C117" i="29"/>
  <c r="C116" i="29"/>
  <c r="C115" i="29"/>
  <c r="C114" i="29"/>
  <c r="C113" i="29"/>
  <c r="C112" i="29"/>
  <c r="C111" i="29"/>
  <c r="C110" i="29"/>
  <c r="C109" i="29"/>
  <c r="C108" i="29"/>
  <c r="C107" i="29"/>
  <c r="C106" i="29"/>
  <c r="C105" i="29"/>
  <c r="C104" i="29"/>
  <c r="C103" i="29"/>
  <c r="C102" i="29"/>
  <c r="C101" i="29"/>
  <c r="C100" i="29"/>
  <c r="C99" i="29"/>
  <c r="C98" i="29"/>
  <c r="C97" i="29"/>
  <c r="C96" i="29"/>
  <c r="C93" i="29"/>
  <c r="C92" i="29"/>
  <c r="C91" i="29"/>
  <c r="C90" i="29"/>
  <c r="C89" i="29"/>
  <c r="C88" i="29"/>
  <c r="C87" i="29"/>
  <c r="C86" i="29"/>
  <c r="C85"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38" i="29"/>
  <c r="C37" i="29"/>
  <c r="C36" i="29"/>
  <c r="C35" i="29"/>
  <c r="C34" i="29"/>
  <c r="C33" i="29"/>
  <c r="C32" i="29"/>
  <c r="C31" i="29"/>
  <c r="C30" i="29"/>
  <c r="C29" i="29"/>
  <c r="C28" i="29"/>
  <c r="C23" i="29"/>
  <c r="C22" i="29"/>
  <c r="C21" i="29"/>
  <c r="C20" i="29"/>
  <c r="C17" i="29" s="1"/>
  <c r="C19" i="29"/>
  <c r="C18" i="29"/>
  <c r="C13" i="29"/>
  <c r="B13" i="29"/>
  <c r="C12" i="29"/>
  <c r="B12" i="29"/>
  <c r="C11" i="29"/>
  <c r="B11" i="29"/>
  <c r="C10" i="29"/>
  <c r="B10" i="29"/>
  <c r="C9" i="29"/>
  <c r="B9" i="29"/>
  <c r="C8" i="29"/>
  <c r="B8" i="29"/>
  <c r="C7" i="29"/>
  <c r="B7" i="29"/>
  <c r="C6" i="29"/>
  <c r="B6" i="29"/>
  <c r="C5" i="29"/>
  <c r="B5" i="29"/>
  <c r="C4" i="29"/>
  <c r="B4" i="29"/>
  <c r="C2" i="29"/>
  <c r="C223" i="28" l="1"/>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B144" i="28"/>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C143" i="28"/>
  <c r="C140" i="28"/>
  <c r="C138" i="28"/>
  <c r="C137" i="28"/>
  <c r="C136" i="28"/>
  <c r="C135" i="28"/>
  <c r="C125"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3" i="28"/>
  <c r="C92" i="28"/>
  <c r="C91" i="28"/>
  <c r="C90" i="28"/>
  <c r="C89" i="28"/>
  <c r="C88" i="28"/>
  <c r="C87" i="28"/>
  <c r="C86" i="28"/>
  <c r="C85"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38" i="28"/>
  <c r="C37" i="28"/>
  <c r="C36" i="28"/>
  <c r="C35" i="28"/>
  <c r="C34" i="28"/>
  <c r="C33" i="28"/>
  <c r="C32" i="28"/>
  <c r="C31" i="28"/>
  <c r="C30" i="28"/>
  <c r="C29" i="28"/>
  <c r="C28" i="28"/>
  <c r="C23" i="28"/>
  <c r="C22" i="28"/>
  <c r="C21" i="28"/>
  <c r="C20" i="28"/>
  <c r="C17" i="28" s="1"/>
  <c r="C19" i="28"/>
  <c r="C18" i="28"/>
  <c r="C13" i="28"/>
  <c r="B13" i="28"/>
  <c r="C12" i="28"/>
  <c r="B12" i="28"/>
  <c r="C11" i="28"/>
  <c r="B11" i="28"/>
  <c r="C10" i="28"/>
  <c r="B10" i="28"/>
  <c r="C9" i="28"/>
  <c r="B9" i="28"/>
  <c r="C8" i="28"/>
  <c r="B8" i="28"/>
  <c r="C7" i="28"/>
  <c r="B7" i="28"/>
  <c r="C6" i="28"/>
  <c r="B6" i="28"/>
  <c r="C5" i="28"/>
  <c r="B5" i="28"/>
  <c r="C4" i="28"/>
  <c r="B4" i="28"/>
  <c r="C2" i="28"/>
  <c r="C223" i="27" l="1"/>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B144" i="27"/>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C143" i="27"/>
  <c r="C140" i="27"/>
  <c r="C138" i="27"/>
  <c r="C137" i="27"/>
  <c r="C136" i="27"/>
  <c r="C135" i="27"/>
  <c r="C125"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3" i="27"/>
  <c r="C92" i="27"/>
  <c r="C91" i="27"/>
  <c r="C90" i="27"/>
  <c r="C89" i="27"/>
  <c r="C88" i="27"/>
  <c r="C87" i="27"/>
  <c r="C86" i="27"/>
  <c r="C85"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38" i="27"/>
  <c r="C37" i="27"/>
  <c r="C36" i="27"/>
  <c r="C35" i="27"/>
  <c r="C34" i="27"/>
  <c r="C33" i="27"/>
  <c r="C32" i="27"/>
  <c r="C31" i="27"/>
  <c r="C30" i="27"/>
  <c r="C29" i="27"/>
  <c r="C28" i="27"/>
  <c r="C23" i="27"/>
  <c r="C22" i="27"/>
  <c r="C21" i="27"/>
  <c r="C20" i="27"/>
  <c r="C19" i="27"/>
  <c r="C18" i="27"/>
  <c r="C13" i="27"/>
  <c r="B13" i="27"/>
  <c r="C12" i="27"/>
  <c r="B12" i="27"/>
  <c r="C11" i="27"/>
  <c r="B11" i="27"/>
  <c r="C10" i="27"/>
  <c r="B10" i="27"/>
  <c r="C9" i="27"/>
  <c r="B9" i="27"/>
  <c r="C8" i="27"/>
  <c r="B8" i="27"/>
  <c r="C7" i="27"/>
  <c r="B7" i="27"/>
  <c r="C6" i="27"/>
  <c r="B6" i="27"/>
  <c r="C5" i="27"/>
  <c r="B5" i="27"/>
  <c r="C4" i="27"/>
  <c r="B4" i="27"/>
  <c r="C2" i="27"/>
  <c r="C17" i="27" l="1"/>
  <c r="C223" i="26"/>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B144" i="26"/>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3" i="26"/>
  <c r="B13" i="26"/>
  <c r="C12" i="26"/>
  <c r="B12" i="26"/>
  <c r="C11" i="26"/>
  <c r="B11" i="26"/>
  <c r="C10" i="26"/>
  <c r="B10" i="26"/>
  <c r="C9" i="26"/>
  <c r="B9" i="26"/>
  <c r="C8" i="26"/>
  <c r="B8" i="26"/>
  <c r="C7" i="26"/>
  <c r="B7" i="26"/>
  <c r="C6" i="26"/>
  <c r="B6" i="26"/>
  <c r="C5" i="26"/>
  <c r="B5" i="26"/>
  <c r="C4" i="26"/>
  <c r="B4" i="26"/>
  <c r="C2" i="26"/>
  <c r="C17" i="26" l="1"/>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3" i="25"/>
  <c r="B13" i="25"/>
  <c r="C12" i="25"/>
  <c r="B12" i="25"/>
  <c r="C11" i="25"/>
  <c r="B11" i="25"/>
  <c r="C10" i="25"/>
  <c r="B10" i="25"/>
  <c r="C9" i="25"/>
  <c r="B9" i="25"/>
  <c r="C8" i="25"/>
  <c r="B8" i="25"/>
  <c r="C7" i="25"/>
  <c r="B7" i="25"/>
  <c r="C6" i="25"/>
  <c r="B6" i="25"/>
  <c r="C5" i="25"/>
  <c r="B5" i="25"/>
  <c r="C4" i="25"/>
  <c r="B4" i="25"/>
  <c r="C2" i="25"/>
  <c r="C17" i="25" l="1"/>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B145" i="24"/>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4" i="24"/>
  <c r="B144" i="24"/>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7" i="24" s="1"/>
  <c r="C13" i="24"/>
  <c r="B13" i="24"/>
  <c r="C12" i="24"/>
  <c r="B12" i="24"/>
  <c r="C11" i="24"/>
  <c r="B11" i="24"/>
  <c r="C10" i="24"/>
  <c r="B10" i="24"/>
  <c r="C9" i="24"/>
  <c r="B9" i="24"/>
  <c r="C8" i="24"/>
  <c r="B8" i="24"/>
  <c r="C7" i="24"/>
  <c r="B7" i="24"/>
  <c r="C6" i="24"/>
  <c r="B6" i="24"/>
  <c r="C5" i="24"/>
  <c r="B5" i="24"/>
  <c r="C4" i="24"/>
  <c r="B4" i="24"/>
  <c r="C2" i="24"/>
  <c r="C223" i="23" l="1"/>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3" i="23"/>
  <c r="B13" i="23"/>
  <c r="C12" i="23"/>
  <c r="B12" i="23"/>
  <c r="C11" i="23"/>
  <c r="B11" i="23"/>
  <c r="C10" i="23"/>
  <c r="B10" i="23"/>
  <c r="C9" i="23"/>
  <c r="B9" i="23"/>
  <c r="C8" i="23"/>
  <c r="B8" i="23"/>
  <c r="C7" i="23"/>
  <c r="B7" i="23"/>
  <c r="C6" i="23"/>
  <c r="B6" i="23"/>
  <c r="C5" i="23"/>
  <c r="B5" i="23"/>
  <c r="C4" i="23"/>
  <c r="B4" i="23"/>
  <c r="C2" i="23"/>
  <c r="C17" i="23" l="1"/>
  <c r="C223" i="22"/>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2" i="22"/>
  <c r="C17" i="22" l="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7" i="21" s="1"/>
  <c r="C19" i="21"/>
  <c r="C18" i="21"/>
  <c r="C13" i="21"/>
  <c r="B13" i="21"/>
  <c r="C12" i="21"/>
  <c r="B12" i="21"/>
  <c r="C11" i="21"/>
  <c r="B11" i="21"/>
  <c r="C10" i="21"/>
  <c r="B10" i="21"/>
  <c r="C9" i="21"/>
  <c r="B9" i="21"/>
  <c r="C8" i="21"/>
  <c r="B8" i="21"/>
  <c r="C7" i="21"/>
  <c r="B7" i="21"/>
  <c r="C6" i="21"/>
  <c r="B6" i="21"/>
  <c r="C5" i="21"/>
  <c r="B5" i="21"/>
  <c r="C4" i="21"/>
  <c r="B4" i="21"/>
  <c r="C2" i="21"/>
  <c r="C223" i="20" l="1"/>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3" i="20"/>
  <c r="B13" i="20"/>
  <c r="C12" i="20"/>
  <c r="B12" i="20"/>
  <c r="C11" i="20"/>
  <c r="B11" i="20"/>
  <c r="C10" i="20"/>
  <c r="B10" i="20"/>
  <c r="C9" i="20"/>
  <c r="B9" i="20"/>
  <c r="C8" i="20"/>
  <c r="B8" i="20"/>
  <c r="C7" i="20"/>
  <c r="B7" i="20"/>
  <c r="C6" i="20"/>
  <c r="B6" i="20"/>
  <c r="C5" i="20"/>
  <c r="B5" i="20"/>
  <c r="C4" i="20"/>
  <c r="B4" i="20"/>
  <c r="C2" i="20"/>
  <c r="C17" i="20" l="1"/>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B145" i="19"/>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4" i="19"/>
  <c r="B144" i="19"/>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2" i="19"/>
  <c r="C17" i="19" l="1"/>
</calcChain>
</file>

<file path=xl/sharedStrings.xml><?xml version="1.0" encoding="utf-8"?>
<sst xmlns="http://schemas.openxmlformats.org/spreadsheetml/2006/main" count="3133" uniqueCount="227">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</sst>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04">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s>
  <cellStyleXfs count="48046">
    <xf numFmtId="0" fontId="0" fillId="0" borderId="0"/>
    <xf numFmtId="9" fontId="1" fillId="0" borderId="0" applyFont="0" applyFill="0" applyBorder="0" applyAlignment="0" applyProtection="0"/>
    <xf numFmtId="0" fontId="1" fillId="0" borderId="0"/>
    <xf numFmtId="0" fontId="33" fillId="0" borderId="0"/>
    <xf numFmtId="167" fontId="38" fillId="0" borderId="0"/>
    <xf numFmtId="0" fontId="39" fillId="0" borderId="0"/>
    <xf numFmtId="167" fontId="40" fillId="0" borderId="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33" fillId="0" borderId="0"/>
    <xf numFmtId="166" fontId="42" fillId="0" borderId="0">
      <alignment vertical="top"/>
    </xf>
    <xf numFmtId="169" fontId="42" fillId="7" borderId="0">
      <alignment vertical="top"/>
    </xf>
    <xf numFmtId="166" fontId="43" fillId="8" borderId="0">
      <alignment vertical="top"/>
    </xf>
    <xf numFmtId="0" fontId="38" fillId="0" borderId="0"/>
    <xf numFmtId="167" fontId="38" fillId="0" borderId="0"/>
    <xf numFmtId="0" fontId="41" fillId="0" borderId="0" applyNumberFormat="0" applyFont="0" applyFill="0" applyBorder="0" applyAlignment="0" applyProtection="0"/>
    <xf numFmtId="167" fontId="44" fillId="0" borderId="0" applyFont="0" applyFill="0" applyBorder="0" applyAlignment="0"/>
    <xf numFmtId="167" fontId="45"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6" fillId="0" borderId="29">
      <protection locked="0"/>
    </xf>
    <xf numFmtId="0" fontId="46" fillId="0" borderId="29">
      <protection locked="0"/>
    </xf>
    <xf numFmtId="0" fontId="46" fillId="0" borderId="29">
      <protection locked="0"/>
    </xf>
    <xf numFmtId="0" fontId="47" fillId="0" borderId="0"/>
    <xf numFmtId="170" fontId="47" fillId="0" borderId="0"/>
    <xf numFmtId="170" fontId="47" fillId="0" borderId="0"/>
    <xf numFmtId="170" fontId="47" fillId="0" borderId="0"/>
    <xf numFmtId="170" fontId="39" fillId="0" borderId="0"/>
    <xf numFmtId="170" fontId="3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50" fillId="0" borderId="0"/>
    <xf numFmtId="0" fontId="50" fillId="0" borderId="0"/>
    <xf numFmtId="0" fontId="50" fillId="0" borderId="0"/>
    <xf numFmtId="0" fontId="50" fillId="0" borderId="0"/>
    <xf numFmtId="0" fontId="50" fillId="0" borderId="0"/>
    <xf numFmtId="170" fontId="47" fillId="0" borderId="0"/>
    <xf numFmtId="170" fontId="47" fillId="0" borderId="0"/>
    <xf numFmtId="170" fontId="39" fillId="0" borderId="0"/>
    <xf numFmtId="170" fontId="39" fillId="0" borderId="0"/>
    <xf numFmtId="170" fontId="39" fillId="0" borderId="0"/>
    <xf numFmtId="170" fontId="39" fillId="0" borderId="0"/>
    <xf numFmtId="170" fontId="39" fillId="0" borderId="0"/>
    <xf numFmtId="0" fontId="47" fillId="0" borderId="0"/>
    <xf numFmtId="167" fontId="39" fillId="0" borderId="0"/>
    <xf numFmtId="167" fontId="51" fillId="0" borderId="0"/>
    <xf numFmtId="170" fontId="47" fillId="0" borderId="0"/>
    <xf numFmtId="170" fontId="39" fillId="0" borderId="0"/>
    <xf numFmtId="170" fontId="47" fillId="0" borderId="0"/>
    <xf numFmtId="170"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39" fillId="0" borderId="0"/>
    <xf numFmtId="0" fontId="47" fillId="0" borderId="0"/>
    <xf numFmtId="170" fontId="39" fillId="0" borderId="0"/>
    <xf numFmtId="170" fontId="47" fillId="0" borderId="0"/>
    <xf numFmtId="170" fontId="39" fillId="0" borderId="0"/>
    <xf numFmtId="167" fontId="47" fillId="0" borderId="0"/>
    <xf numFmtId="167" fontId="53"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0" fontId="39" fillId="0" borderId="0"/>
    <xf numFmtId="170" fontId="47" fillId="0" borderId="0"/>
    <xf numFmtId="170" fontId="47" fillId="0" borderId="0"/>
    <xf numFmtId="170" fontId="47" fillId="0" borderId="0"/>
    <xf numFmtId="170" fontId="39" fillId="0" borderId="0"/>
    <xf numFmtId="170" fontId="47" fillId="0" borderId="0"/>
    <xf numFmtId="0" fontId="39" fillId="0" borderId="0"/>
    <xf numFmtId="167" fontId="47" fillId="0" borderId="0"/>
    <xf numFmtId="167" fontId="47"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7" fillId="0" borderId="0"/>
    <xf numFmtId="0" fontId="47" fillId="0" borderId="0"/>
    <xf numFmtId="167" fontId="39" fillId="0" borderId="0"/>
    <xf numFmtId="167" fontId="51" fillId="0" borderId="0"/>
    <xf numFmtId="171" fontId="38" fillId="0" borderId="0" applyFont="0" applyFill="0" applyBorder="0" applyAlignment="0" applyProtection="0"/>
    <xf numFmtId="167" fontId="47" fillId="0" borderId="0"/>
    <xf numFmtId="0" fontId="39" fillId="0" borderId="0"/>
    <xf numFmtId="0" fontId="55" fillId="0" borderId="0"/>
    <xf numFmtId="0" fontId="5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72" fontId="54" fillId="0" borderId="0" applyFont="0" applyFill="0" applyBorder="0" applyAlignment="0" applyProtection="0"/>
    <xf numFmtId="39" fontId="38" fillId="0" borderId="0" applyFont="0" applyFill="0" applyBorder="0" applyAlignment="0" applyProtection="0"/>
    <xf numFmtId="167" fontId="47" fillId="0" borderId="0"/>
    <xf numFmtId="167"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3" fillId="0" borderId="0"/>
    <xf numFmtId="0" fontId="47" fillId="0" borderId="0"/>
    <xf numFmtId="0" fontId="57" fillId="0" borderId="0" applyNumberFormat="0" applyFill="0" applyBorder="0" applyAlignment="0" applyProtection="0"/>
    <xf numFmtId="0" fontId="38" fillId="9" borderId="0" applyNumberFormat="0" applyFont="0" applyAlignment="0" applyProtection="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0" fontId="39" fillId="0" borderId="0"/>
    <xf numFmtId="0" fontId="39" fillId="0" borderId="0"/>
    <xf numFmtId="167" fontId="53" fillId="0" borderId="0"/>
    <xf numFmtId="0" fontId="47" fillId="0" borderId="0"/>
    <xf numFmtId="0" fontId="47" fillId="0" borderId="0"/>
    <xf numFmtId="0" fontId="47" fillId="0" borderId="0"/>
    <xf numFmtId="167" fontId="47" fillId="0" borderId="0"/>
    <xf numFmtId="167" fontId="53" fillId="0" borderId="0"/>
    <xf numFmtId="167" fontId="39"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4" fontId="58" fillId="0" borderId="0">
      <alignment vertical="top"/>
    </xf>
    <xf numFmtId="38" fontId="33" fillId="0" borderId="0">
      <alignment vertical="top"/>
    </xf>
    <xf numFmtId="175" fontId="49" fillId="0" borderId="0" applyFont="0" applyFill="0" applyBorder="0" applyAlignment="0" applyProtection="0"/>
    <xf numFmtId="176" fontId="54" fillId="0" borderId="0" applyFont="0" applyFill="0" applyBorder="0" applyAlignment="0" applyProtection="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8"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5"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3" fillId="0" borderId="0"/>
    <xf numFmtId="167" fontId="39" fillId="0" borderId="0"/>
    <xf numFmtId="167" fontId="39" fillId="0" borderId="0"/>
    <xf numFmtId="167" fontId="39" fillId="0" borderId="0"/>
    <xf numFmtId="167" fontId="47" fillId="0" borderId="0"/>
    <xf numFmtId="167" fontId="47" fillId="0" borderId="0"/>
    <xf numFmtId="0" fontId="59" fillId="0" borderId="0" applyNumberFormat="0" applyFill="0" applyBorder="0" applyProtection="0">
      <alignment vertical="top"/>
    </xf>
    <xf numFmtId="167" fontId="39" fillId="0" borderId="0"/>
    <xf numFmtId="167" fontId="39" fillId="0" borderId="0"/>
    <xf numFmtId="167" fontId="39" fillId="0" borderId="0"/>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47" fillId="0" borderId="0"/>
    <xf numFmtId="0" fontId="39" fillId="0" borderId="0"/>
    <xf numFmtId="167" fontId="39" fillId="0" borderId="0"/>
    <xf numFmtId="167" fontId="39" fillId="0" borderId="0"/>
    <xf numFmtId="167" fontId="39" fillId="0" borderId="0"/>
    <xf numFmtId="167" fontId="39" fillId="0" borderId="0"/>
    <xf numFmtId="4" fontId="48" fillId="0" borderId="0">
      <alignment vertical="center"/>
    </xf>
    <xf numFmtId="0" fontId="38" fillId="0" borderId="0"/>
    <xf numFmtId="167" fontId="47" fillId="0" borderId="0"/>
    <xf numFmtId="170" fontId="47" fillId="0" borderId="0"/>
    <xf numFmtId="170" fontId="47" fillId="0" borderId="0"/>
    <xf numFmtId="170" fontId="39" fillId="0" borderId="0"/>
    <xf numFmtId="167" fontId="47" fillId="0" borderId="0"/>
    <xf numFmtId="170" fontId="39" fillId="0" borderId="0"/>
    <xf numFmtId="170" fontId="47" fillId="0" borderId="0"/>
    <xf numFmtId="170" fontId="39" fillId="0" borderId="0"/>
    <xf numFmtId="0" fontId="39" fillId="0" borderId="0"/>
    <xf numFmtId="170" fontId="39" fillId="0" borderId="0"/>
    <xf numFmtId="170" fontId="39" fillId="0" borderId="0"/>
    <xf numFmtId="170" fontId="39" fillId="0" borderId="0"/>
    <xf numFmtId="170" fontId="39" fillId="0" borderId="0"/>
    <xf numFmtId="170" fontId="47" fillId="0" borderId="0"/>
    <xf numFmtId="167" fontId="55" fillId="0" borderId="0"/>
    <xf numFmtId="167" fontId="55" fillId="0" borderId="0"/>
    <xf numFmtId="167" fontId="47" fillId="0" borderId="0"/>
    <xf numFmtId="170" fontId="47" fillId="0" borderId="0"/>
    <xf numFmtId="167" fontId="47" fillId="0" borderId="0"/>
    <xf numFmtId="0" fontId="47" fillId="0" borderId="0"/>
    <xf numFmtId="0" fontId="39"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0" fontId="39" fillId="0" borderId="0"/>
    <xf numFmtId="170" fontId="39" fillId="0" borderId="0"/>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47" fillId="0" borderId="0"/>
    <xf numFmtId="0" fontId="39" fillId="0" borderId="0"/>
    <xf numFmtId="170" fontId="39" fillId="0" borderId="0"/>
    <xf numFmtId="170" fontId="39" fillId="0" borderId="0"/>
    <xf numFmtId="170" fontId="39" fillId="0" borderId="0"/>
    <xf numFmtId="0" fontId="39" fillId="0" borderId="0"/>
    <xf numFmtId="0" fontId="47" fillId="0" borderId="0"/>
    <xf numFmtId="4" fontId="48" fillId="0" borderId="0">
      <alignment vertical="center"/>
    </xf>
    <xf numFmtId="167" fontId="53" fillId="0" borderId="0"/>
    <xf numFmtId="167" fontId="47" fillId="0" borderId="0"/>
    <xf numFmtId="0" fontId="47" fillId="0" borderId="0"/>
    <xf numFmtId="167" fontId="54" fillId="0" borderId="0">
      <alignment vertical="center"/>
    </xf>
    <xf numFmtId="167" fontId="54" fillId="0" borderId="0">
      <alignment vertical="center"/>
    </xf>
    <xf numFmtId="167" fontId="54" fillId="0" borderId="0">
      <alignment vertical="center"/>
    </xf>
    <xf numFmtId="0" fontId="39" fillId="0" borderId="0"/>
    <xf numFmtId="0" fontId="47" fillId="0" borderId="0"/>
    <xf numFmtId="0" fontId="47" fillId="0" borderId="0"/>
    <xf numFmtId="0" fontId="47" fillId="0" borderId="0"/>
    <xf numFmtId="0" fontId="47" fillId="0" borderId="0"/>
    <xf numFmtId="0" fontId="47" fillId="0" borderId="0"/>
    <xf numFmtId="167" fontId="47" fillId="0" borderId="0"/>
    <xf numFmtId="0" fontId="47" fillId="0" borderId="0"/>
    <xf numFmtId="167" fontId="55"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0" fontId="47" fillId="0" borderId="0"/>
    <xf numFmtId="0" fontId="47" fillId="0" borderId="0"/>
    <xf numFmtId="0" fontId="47"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167" fontId="39" fillId="0" borderId="0"/>
    <xf numFmtId="167" fontId="51" fillId="0" borderId="0"/>
    <xf numFmtId="167" fontId="39" fillId="0" borderId="0"/>
    <xf numFmtId="167" fontId="51" fillId="0" borderId="0"/>
    <xf numFmtId="170" fontId="39" fillId="0" borderId="0"/>
    <xf numFmtId="170" fontId="39" fillId="0" borderId="0"/>
    <xf numFmtId="170" fontId="39" fillId="0" borderId="0"/>
    <xf numFmtId="167" fontId="47" fillId="0" borderId="0"/>
    <xf numFmtId="4" fontId="48" fillId="0" borderId="0">
      <alignment vertical="center"/>
    </xf>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39" fillId="0" borderId="0"/>
    <xf numFmtId="0" fontId="47" fillId="0" borderId="0"/>
    <xf numFmtId="0" fontId="39" fillId="0" borderId="0"/>
    <xf numFmtId="0" fontId="47" fillId="0" borderId="0"/>
    <xf numFmtId="0" fontId="47" fillId="0" borderId="0"/>
    <xf numFmtId="0" fontId="39" fillId="0" borderId="0"/>
    <xf numFmtId="0" fontId="39" fillId="0" borderId="0"/>
    <xf numFmtId="0" fontId="39" fillId="0" borderId="0"/>
    <xf numFmtId="0" fontId="39" fillId="0" borderId="0"/>
    <xf numFmtId="170" fontId="39" fillId="0" borderId="0"/>
    <xf numFmtId="178" fontId="47" fillId="0" borderId="0"/>
    <xf numFmtId="167" fontId="47" fillId="0" borderId="0"/>
    <xf numFmtId="167" fontId="53" fillId="0" borderId="0"/>
    <xf numFmtId="0" fontId="47" fillId="0" borderId="0"/>
    <xf numFmtId="4" fontId="48" fillId="0" borderId="0">
      <alignment vertical="center"/>
    </xf>
    <xf numFmtId="167" fontId="47" fillId="0" borderId="0"/>
    <xf numFmtId="0" fontId="47" fillId="0" borderId="0"/>
    <xf numFmtId="167" fontId="47" fillId="0" borderId="0"/>
    <xf numFmtId="0" fontId="47" fillId="0" borderId="0"/>
    <xf numFmtId="177" fontId="38" fillId="0" borderId="0"/>
    <xf numFmtId="177" fontId="38" fillId="0" borderId="0"/>
    <xf numFmtId="0" fontId="38" fillId="0" borderId="0"/>
    <xf numFmtId="0" fontId="38" fillId="0" borderId="0"/>
    <xf numFmtId="177" fontId="38" fillId="0" borderId="0"/>
    <xf numFmtId="177" fontId="38" fillId="0" borderId="0"/>
    <xf numFmtId="0" fontId="38" fillId="0" borderId="0"/>
    <xf numFmtId="0" fontId="38" fillId="0" borderId="0"/>
    <xf numFmtId="170" fontId="47" fillId="0" borderId="0"/>
    <xf numFmtId="4" fontId="48" fillId="0" borderId="0">
      <alignment vertical="center"/>
    </xf>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39" fillId="0" borderId="0"/>
    <xf numFmtId="170" fontId="47" fillId="0" borderId="0"/>
    <xf numFmtId="0" fontId="47" fillId="0" borderId="0"/>
    <xf numFmtId="0" fontId="47" fillId="0" borderId="0"/>
    <xf numFmtId="167" fontId="55" fillId="0" borderId="0"/>
    <xf numFmtId="0" fontId="47" fillId="0" borderId="0"/>
    <xf numFmtId="170" fontId="39" fillId="0" borderId="0"/>
    <xf numFmtId="170" fontId="39" fillId="0" borderId="0"/>
    <xf numFmtId="167" fontId="33" fillId="0" borderId="0"/>
    <xf numFmtId="167" fontId="53" fillId="0" borderId="0"/>
    <xf numFmtId="167" fontId="33" fillId="0" borderId="0"/>
    <xf numFmtId="0" fontId="53" fillId="0" borderId="0"/>
    <xf numFmtId="0" fontId="39" fillId="0" borderId="0"/>
    <xf numFmtId="0" fontId="52" fillId="0" borderId="0"/>
    <xf numFmtId="0" fontId="52" fillId="0" borderId="0"/>
    <xf numFmtId="0" fontId="52" fillId="0" borderId="0"/>
    <xf numFmtId="0" fontId="52" fillId="0" borderId="0"/>
    <xf numFmtId="0" fontId="52" fillId="0" borderId="0"/>
    <xf numFmtId="167" fontId="33" fillId="0" borderId="0"/>
    <xf numFmtId="0" fontId="33"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53" fillId="0" borderId="0"/>
    <xf numFmtId="0" fontId="39" fillId="0" borderId="0"/>
    <xf numFmtId="0" fontId="47" fillId="0" borderId="0"/>
    <xf numFmtId="167" fontId="47" fillId="0" borderId="0"/>
    <xf numFmtId="0" fontId="47" fillId="0" borderId="0"/>
    <xf numFmtId="170" fontId="39" fillId="0" borderId="0"/>
    <xf numFmtId="170" fontId="47" fillId="0" borderId="0"/>
    <xf numFmtId="0" fontId="47"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0" fontId="47" fillId="0" borderId="0"/>
    <xf numFmtId="0" fontId="39" fillId="0" borderId="0"/>
    <xf numFmtId="0" fontId="47" fillId="0" borderId="0"/>
    <xf numFmtId="0" fontId="39" fillId="0" borderId="0"/>
    <xf numFmtId="167" fontId="39" fillId="0" borderId="0"/>
    <xf numFmtId="0" fontId="39" fillId="0" borderId="0"/>
    <xf numFmtId="174" fontId="58" fillId="0" borderId="0">
      <alignment vertical="top"/>
    </xf>
    <xf numFmtId="167" fontId="55"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47" fillId="0" borderId="0"/>
    <xf numFmtId="0" fontId="39" fillId="0" borderId="0"/>
    <xf numFmtId="0" fontId="52" fillId="0" borderId="0"/>
    <xf numFmtId="0"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0" fontId="47" fillId="0" borderId="0"/>
    <xf numFmtId="170" fontId="47" fillId="0" borderId="0"/>
    <xf numFmtId="0" fontId="39" fillId="0" borderId="0"/>
    <xf numFmtId="0" fontId="39" fillId="0" borderId="0"/>
    <xf numFmtId="170" fontId="47" fillId="0" borderId="0"/>
    <xf numFmtId="167" fontId="39" fillId="0" borderId="0"/>
    <xf numFmtId="167" fontId="53" fillId="0" borderId="0"/>
    <xf numFmtId="167" fontId="53" fillId="0" borderId="0"/>
    <xf numFmtId="0" fontId="53" fillId="0" borderId="0"/>
    <xf numFmtId="0" fontId="47"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47" fillId="0" borderId="0"/>
    <xf numFmtId="167" fontId="47" fillId="0" borderId="0"/>
    <xf numFmtId="167" fontId="47" fillId="0" borderId="0"/>
    <xf numFmtId="167" fontId="39" fillId="0" borderId="0"/>
    <xf numFmtId="0" fontId="39" fillId="0" borderId="0"/>
    <xf numFmtId="167" fontId="47" fillId="0" borderId="0"/>
    <xf numFmtId="167" fontId="53" fillId="0" borderId="0"/>
    <xf numFmtId="167" fontId="53" fillId="0" borderId="0"/>
    <xf numFmtId="4" fontId="48" fillId="0" borderId="0">
      <alignment vertical="center"/>
    </xf>
    <xf numFmtId="170" fontId="47" fillId="0" borderId="0"/>
    <xf numFmtId="0" fontId="39" fillId="0" borderId="0"/>
    <xf numFmtId="170" fontId="47" fillId="0" borderId="0"/>
    <xf numFmtId="174" fontId="58" fillId="0" borderId="0">
      <alignment vertical="top"/>
    </xf>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54" fillId="0" borderId="0" applyFont="0" applyFill="0" applyBorder="0" applyAlignment="0" applyProtection="0">
      <alignment vertical="center"/>
    </xf>
    <xf numFmtId="167" fontId="55" fillId="0" borderId="0" applyFill="0" applyBorder="0" applyAlignment="0" applyProtection="0"/>
    <xf numFmtId="170" fontId="39" fillId="0" borderId="0"/>
    <xf numFmtId="0" fontId="47" fillId="0" borderId="0"/>
    <xf numFmtId="0" fontId="47" fillId="0" borderId="0"/>
    <xf numFmtId="0" fontId="39" fillId="0" borderId="0"/>
    <xf numFmtId="0" fontId="39" fillId="0" borderId="0"/>
    <xf numFmtId="0" fontId="47" fillId="0" borderId="0"/>
    <xf numFmtId="167" fontId="53" fillId="0" borderId="0"/>
    <xf numFmtId="0" fontId="47" fillId="0" borderId="0"/>
    <xf numFmtId="0" fontId="50" fillId="0" borderId="0"/>
    <xf numFmtId="0" fontId="50" fillId="0" borderId="0"/>
    <xf numFmtId="0" fontId="50" fillId="0" borderId="0"/>
    <xf numFmtId="0" fontId="50" fillId="0" borderId="0"/>
    <xf numFmtId="0" fontId="50" fillId="0" borderId="0"/>
    <xf numFmtId="0" fontId="39" fillId="0" borderId="0"/>
    <xf numFmtId="0" fontId="39" fillId="0" borderId="0"/>
    <xf numFmtId="167" fontId="47" fillId="0" borderId="0"/>
    <xf numFmtId="0" fontId="47" fillId="0" borderId="0"/>
    <xf numFmtId="0" fontId="47" fillId="0" borderId="0"/>
    <xf numFmtId="167" fontId="47" fillId="0" borderId="0"/>
    <xf numFmtId="167" fontId="47" fillId="0" borderId="0"/>
    <xf numFmtId="0" fontId="47" fillId="0" borderId="0"/>
    <xf numFmtId="167" fontId="47" fillId="0" borderId="0"/>
    <xf numFmtId="0" fontId="47" fillId="0" borderId="0"/>
    <xf numFmtId="0" fontId="47" fillId="0" borderId="0"/>
    <xf numFmtId="167" fontId="47" fillId="0" borderId="0"/>
    <xf numFmtId="170" fontId="39" fillId="0" borderId="0"/>
    <xf numFmtId="170" fontId="39" fillId="0" borderId="0"/>
    <xf numFmtId="170" fontId="47" fillId="0" borderId="0"/>
    <xf numFmtId="167" fontId="39" fillId="0" borderId="0"/>
    <xf numFmtId="167" fontId="51" fillId="0" borderId="0"/>
    <xf numFmtId="167" fontId="47" fillId="0" borderId="0"/>
    <xf numFmtId="0" fontId="47"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33" fillId="0" borderId="0"/>
    <xf numFmtId="167" fontId="38" fillId="0" borderId="0"/>
    <xf numFmtId="167" fontId="33" fillId="0" borderId="0"/>
    <xf numFmtId="0" fontId="39" fillId="0" borderId="0"/>
    <xf numFmtId="167" fontId="39" fillId="0" borderId="0"/>
    <xf numFmtId="0" fontId="39" fillId="0" borderId="0"/>
    <xf numFmtId="167" fontId="39" fillId="0" borderId="0"/>
    <xf numFmtId="0" fontId="39" fillId="0" borderId="0"/>
    <xf numFmtId="167" fontId="39" fillId="0" borderId="0"/>
    <xf numFmtId="0" fontId="39" fillId="0" borderId="0"/>
    <xf numFmtId="167" fontId="33" fillId="0" borderId="0"/>
    <xf numFmtId="0" fontId="33" fillId="0" borderId="0"/>
    <xf numFmtId="167" fontId="39" fillId="0" borderId="0"/>
    <xf numFmtId="0" fontId="39" fillId="0" borderId="0"/>
    <xf numFmtId="167" fontId="39" fillId="0" borderId="0"/>
    <xf numFmtId="0" fontId="39" fillId="0" borderId="0"/>
    <xf numFmtId="167" fontId="39" fillId="0" borderId="0"/>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170" fontId="47" fillId="0" borderId="0"/>
    <xf numFmtId="170" fontId="47" fillId="0" borderId="0"/>
    <xf numFmtId="170" fontId="47" fillId="0" borderId="0"/>
    <xf numFmtId="170" fontId="47" fillId="0" borderId="0"/>
    <xf numFmtId="170" fontId="47" fillId="0" borderId="0"/>
    <xf numFmtId="0" fontId="39" fillId="0" borderId="0"/>
    <xf numFmtId="170" fontId="39" fillId="0" borderId="0"/>
    <xf numFmtId="167" fontId="39" fillId="0" borderId="0"/>
    <xf numFmtId="170" fontId="39" fillId="0" borderId="0"/>
    <xf numFmtId="170" fontId="39" fillId="0" borderId="0"/>
    <xf numFmtId="170" fontId="39" fillId="0" borderId="0"/>
    <xf numFmtId="170" fontId="39" fillId="0" borderId="0"/>
    <xf numFmtId="167" fontId="47" fillId="0" borderId="0"/>
    <xf numFmtId="170" fontId="39" fillId="0" borderId="0"/>
    <xf numFmtId="170" fontId="39" fillId="0" borderId="0"/>
    <xf numFmtId="170" fontId="47" fillId="0" borderId="0"/>
    <xf numFmtId="170" fontId="47" fillId="0" borderId="0"/>
    <xf numFmtId="170" fontId="39" fillId="0" borderId="0"/>
    <xf numFmtId="170" fontId="39" fillId="0" borderId="0"/>
    <xf numFmtId="170" fontId="47" fillId="0" borderId="0"/>
    <xf numFmtId="170" fontId="47" fillId="0" borderId="0"/>
    <xf numFmtId="170" fontId="47" fillId="0" borderId="0"/>
    <xf numFmtId="170" fontId="47" fillId="0" borderId="0"/>
    <xf numFmtId="170" fontId="39" fillId="0" borderId="0"/>
    <xf numFmtId="170" fontId="47" fillId="0" borderId="0"/>
    <xf numFmtId="174" fontId="58" fillId="0" borderId="0">
      <alignment vertical="top"/>
    </xf>
    <xf numFmtId="174" fontId="58" fillId="0" borderId="0">
      <alignment vertical="top"/>
    </xf>
    <xf numFmtId="170" fontId="47" fillId="0" borderId="0"/>
    <xf numFmtId="167" fontId="47" fillId="0" borderId="0"/>
    <xf numFmtId="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47" fillId="0" borderId="0"/>
    <xf numFmtId="170" fontId="47" fillId="0" borderId="0"/>
    <xf numFmtId="0" fontId="47" fillId="0" borderId="0"/>
    <xf numFmtId="0" fontId="47" fillId="0" borderId="0"/>
    <xf numFmtId="170" fontId="39" fillId="0" borderId="0"/>
    <xf numFmtId="170" fontId="39"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39" fillId="0" borderId="0"/>
    <xf numFmtId="0" fontId="47" fillId="0" borderId="0"/>
    <xf numFmtId="0" fontId="39" fillId="0" borderId="0"/>
    <xf numFmtId="0" fontId="39" fillId="0" borderId="0"/>
    <xf numFmtId="0" fontId="47" fillId="0" borderId="0"/>
    <xf numFmtId="170" fontId="47" fillId="0" borderId="0"/>
    <xf numFmtId="170" fontId="47" fillId="0" borderId="0"/>
    <xf numFmtId="167" fontId="47" fillId="0" borderId="0"/>
    <xf numFmtId="0" fontId="39" fillId="0" borderId="0"/>
    <xf numFmtId="170" fontId="39" fillId="0" borderId="0"/>
    <xf numFmtId="0" fontId="47" fillId="0" borderId="0"/>
    <xf numFmtId="170" fontId="39" fillId="0" borderId="0"/>
    <xf numFmtId="167" fontId="47" fillId="0" borderId="0"/>
    <xf numFmtId="0" fontId="47" fillId="0" borderId="0"/>
    <xf numFmtId="167" fontId="39" fillId="0" borderId="0"/>
    <xf numFmtId="167" fontId="51" fillId="0" borderId="0"/>
    <xf numFmtId="170" fontId="47" fillId="0" borderId="0"/>
    <xf numFmtId="167" fontId="53" fillId="0" borderId="0"/>
    <xf numFmtId="0" fontId="39" fillId="0" borderId="0"/>
    <xf numFmtId="170" fontId="39" fillId="0" borderId="0"/>
    <xf numFmtId="170" fontId="47" fillId="0" borderId="0"/>
    <xf numFmtId="4" fontId="48" fillId="0" borderId="0">
      <alignment vertical="center"/>
    </xf>
    <xf numFmtId="4" fontId="48"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4" fontId="48" fillId="0" borderId="0">
      <alignment vertical="center"/>
    </xf>
    <xf numFmtId="170" fontId="39" fillId="0" borderId="0"/>
    <xf numFmtId="0" fontId="39" fillId="0" borderId="0"/>
    <xf numFmtId="4" fontId="48" fillId="0" borderId="0">
      <alignment vertical="center"/>
    </xf>
    <xf numFmtId="0" fontId="47" fillId="0" borderId="0"/>
    <xf numFmtId="0" fontId="47" fillId="0" borderId="0"/>
    <xf numFmtId="167" fontId="47" fillId="0" borderId="0"/>
    <xf numFmtId="0" fontId="39" fillId="0" borderId="0"/>
    <xf numFmtId="170" fontId="39" fillId="0" borderId="0"/>
    <xf numFmtId="0" fontId="47" fillId="0" borderId="0"/>
    <xf numFmtId="0" fontId="50" fillId="0" borderId="0"/>
    <xf numFmtId="0" fontId="50" fillId="0" borderId="0"/>
    <xf numFmtId="0" fontId="50" fillId="0" borderId="0"/>
    <xf numFmtId="0" fontId="50" fillId="0" borderId="0"/>
    <xf numFmtId="0" fontId="50" fillId="0" borderId="0"/>
    <xf numFmtId="167" fontId="53" fillId="0" borderId="0"/>
    <xf numFmtId="170" fontId="47" fillId="0" borderId="0"/>
    <xf numFmtId="167" fontId="53" fillId="0" borderId="0"/>
    <xf numFmtId="170" fontId="39" fillId="0" borderId="0"/>
    <xf numFmtId="167" fontId="47" fillId="0" borderId="0"/>
    <xf numFmtId="0" fontId="47" fillId="0" borderId="0"/>
    <xf numFmtId="167" fontId="53" fillId="0" borderId="0"/>
    <xf numFmtId="167" fontId="33" fillId="0" borderId="0"/>
    <xf numFmtId="167" fontId="53" fillId="0" borderId="0"/>
    <xf numFmtId="167" fontId="33" fillId="0" borderId="0"/>
    <xf numFmtId="0" fontId="53" fillId="0" borderId="0"/>
    <xf numFmtId="167" fontId="33" fillId="0" borderId="0"/>
    <xf numFmtId="0" fontId="33" fillId="0" borderId="0"/>
    <xf numFmtId="167" fontId="53" fillId="0" borderId="0"/>
    <xf numFmtId="167" fontId="47" fillId="0" borderId="0"/>
    <xf numFmtId="0" fontId="47" fillId="0" borderId="0"/>
    <xf numFmtId="167" fontId="47" fillId="0" borderId="0"/>
    <xf numFmtId="0" fontId="47" fillId="0" borderId="0"/>
    <xf numFmtId="167" fontId="47" fillId="0" borderId="0"/>
    <xf numFmtId="0" fontId="47" fillId="0" borderId="0"/>
    <xf numFmtId="0" fontId="39" fillId="0" borderId="0"/>
    <xf numFmtId="167" fontId="47" fillId="0" borderId="0"/>
    <xf numFmtId="167" fontId="47" fillId="0" borderId="0"/>
    <xf numFmtId="167" fontId="53" fillId="0" borderId="0"/>
    <xf numFmtId="167" fontId="47" fillId="0" borderId="0"/>
    <xf numFmtId="170" fontId="39" fillId="0" borderId="0"/>
    <xf numFmtId="170" fontId="39" fillId="0" borderId="0"/>
    <xf numFmtId="170" fontId="39" fillId="0" borderId="0"/>
    <xf numFmtId="170" fontId="39" fillId="0" borderId="0"/>
    <xf numFmtId="170" fontId="39" fillId="0" borderId="0"/>
    <xf numFmtId="167" fontId="53" fillId="0" borderId="0"/>
    <xf numFmtId="170" fontId="47" fillId="0" borderId="0"/>
    <xf numFmtId="170" fontId="47" fillId="0" borderId="0"/>
    <xf numFmtId="170" fontId="47" fillId="0" borderId="0"/>
    <xf numFmtId="170" fontId="39" fillId="0" borderId="0"/>
    <xf numFmtId="0" fontId="47" fillId="0" borderId="0"/>
    <xf numFmtId="0" fontId="47" fillId="0" borderId="0"/>
    <xf numFmtId="0" fontId="47" fillId="0" borderId="0"/>
    <xf numFmtId="167" fontId="55"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7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0" fontId="47" fillId="0" borderId="0"/>
    <xf numFmtId="170" fontId="39" fillId="0" borderId="0"/>
    <xf numFmtId="179" fontId="38" fillId="11" borderId="0" applyFont="0" applyBorder="0">
      <alignment horizontal="center" vertical="center" shrinkToFit="1"/>
    </xf>
    <xf numFmtId="167" fontId="33" fillId="0" borderId="0"/>
    <xf numFmtId="167" fontId="53" fillId="0" borderId="0"/>
    <xf numFmtId="167" fontId="33" fillId="0" borderId="0"/>
    <xf numFmtId="0" fontId="53" fillId="0" borderId="0"/>
    <xf numFmtId="167" fontId="33" fillId="0" borderId="0"/>
    <xf numFmtId="0" fontId="33" fillId="0" borderId="0"/>
    <xf numFmtId="0" fontId="39" fillId="0" borderId="0"/>
    <xf numFmtId="0" fontId="39" fillId="0" borderId="0"/>
    <xf numFmtId="0" fontId="46" fillId="0" borderId="0">
      <protection locked="0"/>
    </xf>
    <xf numFmtId="0" fontId="46" fillId="0" borderId="0">
      <protection locked="0"/>
    </xf>
    <xf numFmtId="180" fontId="62" fillId="0" borderId="0">
      <protection locked="0"/>
    </xf>
    <xf numFmtId="181" fontId="62" fillId="0" borderId="0">
      <protection locked="0"/>
    </xf>
    <xf numFmtId="180" fontId="62" fillId="0" borderId="0">
      <protection locked="0"/>
    </xf>
    <xf numFmtId="182" fontId="62" fillId="0" borderId="0">
      <protection locked="0"/>
    </xf>
    <xf numFmtId="181" fontId="62" fillId="0" borderId="0">
      <protection locked="0"/>
    </xf>
    <xf numFmtId="182" fontId="62" fillId="0" borderId="0">
      <protection locked="0"/>
    </xf>
    <xf numFmtId="0" fontId="46" fillId="0" borderId="0">
      <protection locked="0"/>
    </xf>
    <xf numFmtId="183" fontId="62" fillId="0" borderId="0">
      <protection locked="0"/>
    </xf>
    <xf numFmtId="182" fontId="62" fillId="0" borderId="0">
      <protection locked="0"/>
    </xf>
    <xf numFmtId="0" fontId="46" fillId="0" borderId="0">
      <protection locked="0"/>
    </xf>
    <xf numFmtId="167" fontId="46" fillId="0" borderId="0">
      <protection locked="0"/>
    </xf>
    <xf numFmtId="184" fontId="63" fillId="0" borderId="0" applyFont="0" applyFill="0" applyBorder="0" applyAlignment="0" applyProtection="0"/>
    <xf numFmtId="167" fontId="64" fillId="0" borderId="0"/>
    <xf numFmtId="185" fontId="63" fillId="0" borderId="0" applyFont="0" applyFill="0" applyBorder="0" applyAlignment="0" applyProtection="0"/>
    <xf numFmtId="186" fontId="62" fillId="0" borderId="33">
      <protection locked="0"/>
    </xf>
    <xf numFmtId="0" fontId="46" fillId="0" borderId="29">
      <protection locked="0"/>
    </xf>
    <xf numFmtId="0" fontId="46" fillId="0" borderId="29">
      <protection locked="0"/>
    </xf>
    <xf numFmtId="167" fontId="38" fillId="0" borderId="0"/>
    <xf numFmtId="167" fontId="38" fillId="0" borderId="0"/>
    <xf numFmtId="167" fontId="38" fillId="0" borderId="0"/>
    <xf numFmtId="167" fontId="54" fillId="0" borderId="0">
      <alignment vertical="center"/>
    </xf>
    <xf numFmtId="167" fontId="65" fillId="0" borderId="0">
      <alignment vertical="center"/>
    </xf>
    <xf numFmtId="167" fontId="54" fillId="0" borderId="0">
      <alignment vertical="center"/>
    </xf>
    <xf numFmtId="0" fontId="66" fillId="0" borderId="0">
      <protection locked="0"/>
    </xf>
    <xf numFmtId="0" fontId="66" fillId="0" borderId="0">
      <protection locked="0"/>
    </xf>
    <xf numFmtId="186" fontId="67" fillId="0" borderId="0">
      <protection locked="0"/>
    </xf>
    <xf numFmtId="167" fontId="67" fillId="0" borderId="0">
      <protection locked="0"/>
    </xf>
    <xf numFmtId="186" fontId="67" fillId="0" borderId="0">
      <protection locked="0"/>
    </xf>
    <xf numFmtId="167" fontId="67" fillId="0" borderId="0">
      <protection locked="0"/>
    </xf>
    <xf numFmtId="0" fontId="68" fillId="0" borderId="0"/>
    <xf numFmtId="186" fontId="62" fillId="0" borderId="33">
      <protection locked="0"/>
    </xf>
    <xf numFmtId="167" fontId="62" fillId="0" borderId="33">
      <protection locked="0"/>
    </xf>
    <xf numFmtId="0" fontId="46" fillId="0" borderId="0">
      <protection locked="0"/>
    </xf>
    <xf numFmtId="0" fontId="46" fillId="0" borderId="0">
      <protection locked="0"/>
    </xf>
    <xf numFmtId="0" fontId="46"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46" fillId="0" borderId="0">
      <protection locked="0"/>
    </xf>
    <xf numFmtId="0" fontId="46"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46" fillId="0" borderId="0">
      <protection locked="0"/>
    </xf>
    <xf numFmtId="0" fontId="66" fillId="0" borderId="0">
      <protection locked="0"/>
    </xf>
    <xf numFmtId="0" fontId="66" fillId="0" borderId="0">
      <protection locked="0"/>
    </xf>
    <xf numFmtId="187" fontId="33"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9" fontId="69" fillId="0" borderId="34" applyFont="0" applyFill="0" applyBorder="0" applyAlignment="0" applyProtection="0">
      <alignment horizontal="right"/>
    </xf>
    <xf numFmtId="9" fontId="33" fillId="0" borderId="0"/>
    <xf numFmtId="9" fontId="53" fillId="0" borderId="0"/>
    <xf numFmtId="9" fontId="33" fillId="0" borderId="0"/>
    <xf numFmtId="167" fontId="64" fillId="0" borderId="0"/>
    <xf numFmtId="167" fontId="70" fillId="0" borderId="0"/>
    <xf numFmtId="190" fontId="71" fillId="0" borderId="0" applyFont="0" applyAlignment="0" applyProtection="0">
      <protection locked="0" hidden="1"/>
    </xf>
    <xf numFmtId="167" fontId="72" fillId="0" borderId="0"/>
    <xf numFmtId="167" fontId="70" fillId="0" borderId="0"/>
    <xf numFmtId="167" fontId="73" fillId="12" borderId="0"/>
    <xf numFmtId="167" fontId="73" fillId="12" borderId="0"/>
    <xf numFmtId="167" fontId="73" fillId="12" borderId="0"/>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0" fontId="74" fillId="13" borderId="19" applyNumberFormat="0" applyFill="0" applyBorder="0" applyAlignment="0">
      <alignment horizontal="left"/>
    </xf>
    <xf numFmtId="0" fontId="74" fillId="13" borderId="19" applyNumberFormat="0" applyFill="0" applyBorder="0" applyAlignment="0">
      <alignment horizontal="left"/>
    </xf>
    <xf numFmtId="167" fontId="75" fillId="13" borderId="0" applyNumberFormat="0" applyFill="0" applyBorder="0" applyAlignment="0"/>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0" fontId="76" fillId="14" borderId="19" applyNumberFormat="0" applyFill="0" applyBorder="0" applyAlignment="0">
      <alignment horizontal="left"/>
    </xf>
    <xf numFmtId="0" fontId="76" fillId="14" borderId="19" applyNumberFormat="0" applyFill="0" applyBorder="0" applyAlignment="0">
      <alignment horizontal="left"/>
    </xf>
    <xf numFmtId="167" fontId="77" fillId="15" borderId="0" applyNumberFormat="0" applyFill="0" applyBorder="0" applyAlignment="0"/>
    <xf numFmtId="167" fontId="78" fillId="0" borderId="0" applyNumberFormat="0" applyFill="0" applyBorder="0" applyAlignment="0"/>
    <xf numFmtId="167" fontId="79" fillId="0" borderId="7" applyNumberFormat="0" applyFill="0" applyBorder="0" applyAlignment="0">
      <alignment horizontal="left"/>
    </xf>
    <xf numFmtId="167" fontId="80" fillId="16" borderId="21" applyNumberFormat="0" applyFill="0" applyBorder="0" applyAlignment="0">
      <alignment horizontal="centerContinuous"/>
    </xf>
    <xf numFmtId="167" fontId="81" fillId="0" borderId="0" applyNumberFormat="0" applyFill="0" applyBorder="0" applyAlignment="0"/>
    <xf numFmtId="167" fontId="81" fillId="17" borderId="35" applyNumberFormat="0" applyFill="0" applyBorder="0" applyAlignment="0"/>
    <xf numFmtId="0" fontId="81" fillId="17" borderId="35" applyNumberFormat="0" applyFill="0" applyBorder="0" applyAlignment="0"/>
    <xf numFmtId="0" fontId="81" fillId="17" borderId="35" applyNumberFormat="0" applyFill="0" applyBorder="0" applyAlignment="0"/>
    <xf numFmtId="167" fontId="82" fillId="0" borderId="7" applyNumberFormat="0" applyFill="0" applyBorder="0" applyAlignment="0"/>
    <xf numFmtId="167" fontId="81" fillId="0" borderId="0" applyNumberFormat="0" applyFill="0" applyBorder="0" applyAlignment="0"/>
    <xf numFmtId="0"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5" fillId="5"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5" fillId="5" borderId="0" applyNumberFormat="0" applyBorder="0" applyAlignment="0" applyProtection="0"/>
    <xf numFmtId="167" fontId="84" fillId="18" borderId="0" applyNumberFormat="0" applyBorder="0" applyAlignment="0" applyProtection="0"/>
    <xf numFmtId="167" fontId="3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3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0" fontId="8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3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3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0" fontId="8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0"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0"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0"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6" fillId="28"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0"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8" fillId="18" borderId="0" applyNumberFormat="0" applyBorder="0" applyAlignment="0" applyProtection="0">
      <alignment vertical="center"/>
    </xf>
    <xf numFmtId="0" fontId="38" fillId="18" borderId="0" applyNumberFormat="0" applyBorder="0" applyAlignment="0" applyProtection="0">
      <alignment vertical="center"/>
    </xf>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22" borderId="0" applyNumberFormat="0" applyBorder="0" applyAlignment="0" applyProtection="0">
      <alignment vertical="center"/>
    </xf>
    <xf numFmtId="0" fontId="38" fillId="22" borderId="0" applyNumberFormat="0" applyBorder="0" applyAlignment="0" applyProtection="0">
      <alignment vertical="center"/>
    </xf>
    <xf numFmtId="167" fontId="38" fillId="23" borderId="0" applyNumberFormat="0" applyBorder="0" applyAlignment="0" applyProtection="0">
      <alignment vertical="center"/>
    </xf>
    <xf numFmtId="0" fontId="38" fillId="23" borderId="0" applyNumberFormat="0" applyBorder="0" applyAlignment="0" applyProtection="0">
      <alignment vertical="center"/>
    </xf>
    <xf numFmtId="191" fontId="71" fillId="0" borderId="0" applyFill="0" applyBorder="0" applyProtection="0">
      <alignment horizontal="right"/>
    </xf>
    <xf numFmtId="167" fontId="64" fillId="0" borderId="0"/>
    <xf numFmtId="167" fontId="70" fillId="0" borderId="0"/>
    <xf numFmtId="167" fontId="64" fillId="0" borderId="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3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0" fontId="8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3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0"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0"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0"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6" borderId="0" applyNumberFormat="0" applyBorder="0" applyAlignment="0" applyProtection="0">
      <alignment vertical="center"/>
    </xf>
    <xf numFmtId="0" fontId="38" fillId="26" borderId="0" applyNumberFormat="0" applyBorder="0" applyAlignment="0" applyProtection="0">
      <alignment vertical="center"/>
    </xf>
    <xf numFmtId="0" fontId="87"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33"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0" fontId="87"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33"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0" fontId="87"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33"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0" fontId="87"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0"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0"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0"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0"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0"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0"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8" fillId="35" borderId="0" applyNumberFormat="0" applyBorder="0" applyAlignment="0" applyProtection="0">
      <alignment vertical="center"/>
    </xf>
    <xf numFmtId="0" fontId="38" fillId="35"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24" borderId="0" applyNumberFormat="0" applyBorder="0" applyAlignment="0" applyProtection="0">
      <alignment vertical="center"/>
    </xf>
    <xf numFmtId="0" fontId="38" fillId="24" borderId="0" applyNumberFormat="0" applyBorder="0" applyAlignment="0" applyProtection="0">
      <alignment vertical="center"/>
    </xf>
    <xf numFmtId="192" fontId="89" fillId="0" borderId="0" applyFont="0" applyFill="0" applyBorder="0">
      <alignment horizontal="center"/>
    </xf>
    <xf numFmtId="167" fontId="90" fillId="0" borderId="0">
      <alignment horizontal="right"/>
    </xf>
    <xf numFmtId="19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0" fontId="87" fillId="39" borderId="0" applyNumberFormat="0" applyBorder="0" applyAlignment="0" applyProtection="0"/>
    <xf numFmtId="167" fontId="84" fillId="40"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33"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0" fontId="87" fillId="39" borderId="0" applyNumberFormat="0" applyBorder="0" applyAlignment="0" applyProtection="0"/>
    <xf numFmtId="0" fontId="87" fillId="42" borderId="0" applyNumberFormat="0" applyBorder="0" applyAlignment="0" applyProtection="0"/>
    <xf numFmtId="167" fontId="84" fillId="43" borderId="0" applyNumberFormat="0" applyBorder="0" applyAlignment="0" applyProtection="0"/>
    <xf numFmtId="167" fontId="84" fillId="44" borderId="0" applyNumberFormat="0" applyBorder="0" applyAlignment="0" applyProtection="0"/>
    <xf numFmtId="167" fontId="88" fillId="45"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33"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167" fontId="84" fillId="43" borderId="0" applyNumberFormat="0" applyBorder="0" applyAlignment="0" applyProtection="0"/>
    <xf numFmtId="167" fontId="84" fillId="47" borderId="0" applyNumberFormat="0" applyBorder="0" applyAlignment="0" applyProtection="0"/>
    <xf numFmtId="167" fontId="88" fillId="44"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33"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0" fontId="87" fillId="46" borderId="0" applyNumberFormat="0" applyBorder="0" applyAlignment="0" applyProtection="0"/>
    <xf numFmtId="0" fontId="87" fillId="36" borderId="0" applyNumberFormat="0" applyBorder="0" applyAlignment="0" applyProtection="0"/>
    <xf numFmtId="167" fontId="84" fillId="40" borderId="0" applyNumberFormat="0" applyBorder="0" applyAlignment="0" applyProtection="0"/>
    <xf numFmtId="167" fontId="84" fillId="44" borderId="0" applyNumberFormat="0" applyBorder="0" applyAlignment="0" applyProtection="0"/>
    <xf numFmtId="167" fontId="88" fillId="44"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167" fontId="84" fillId="48"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37" borderId="0" applyNumberFormat="0" applyBorder="0" applyAlignment="0" applyProtection="0"/>
    <xf numFmtId="0" fontId="87" fillId="49" borderId="0" applyNumberFormat="0" applyBorder="0" applyAlignment="0" applyProtection="0"/>
    <xf numFmtId="167" fontId="84" fillId="43" borderId="0" applyNumberFormat="0" applyBorder="0" applyAlignment="0" applyProtection="0"/>
    <xf numFmtId="167" fontId="84" fillId="50" borderId="0" applyNumberFormat="0" applyBorder="0" applyAlignment="0" applyProtection="0"/>
    <xf numFmtId="167" fontId="88" fillId="50"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33"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0" fontId="87" fillId="49" borderId="0" applyNumberFormat="0" applyBorder="0" applyAlignment="0" applyProtection="0"/>
    <xf numFmtId="195" fontId="91" fillId="51" borderId="0">
      <alignment horizontal="center" vertical="center"/>
    </xf>
    <xf numFmtId="196" fontId="92" fillId="0" borderId="36" applyFont="0" applyFill="0">
      <alignment horizontal="right" vertical="center"/>
      <protection locked="0"/>
    </xf>
    <xf numFmtId="197" fontId="38" fillId="0" borderId="0" applyFont="0" applyFill="0" applyBorder="0" applyProtection="0"/>
    <xf numFmtId="0" fontId="93" fillId="0" borderId="0" applyNumberFormat="0" applyFill="0" applyBorder="0" applyAlignment="0" applyProtection="0">
      <alignment vertical="top"/>
      <protection locked="0"/>
    </xf>
    <xf numFmtId="198"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99"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67" fontId="96" fillId="0" borderId="0" applyNumberFormat="0" applyFill="0" applyBorder="0" applyAlignment="0" applyProtection="0">
      <alignment vertical="top"/>
      <protection locked="0"/>
    </xf>
    <xf numFmtId="167" fontId="41" fillId="0" borderId="0"/>
    <xf numFmtId="200" fontId="55" fillId="0" borderId="37">
      <protection locked="0"/>
    </xf>
    <xf numFmtId="201" fontId="33" fillId="0" borderId="0" applyFont="0" applyFill="0" applyBorder="0" applyAlignment="0" applyProtection="0"/>
    <xf numFmtId="202" fontId="33" fillId="0" borderId="0" applyFont="0" applyFill="0" applyBorder="0" applyAlignment="0" applyProtection="0"/>
    <xf numFmtId="203" fontId="97" fillId="0" borderId="0">
      <alignment horizontal="left"/>
    </xf>
    <xf numFmtId="203" fontId="97" fillId="0" borderId="0">
      <alignment horizontal="left"/>
    </xf>
    <xf numFmtId="203" fontId="97" fillId="0" borderId="0">
      <alignment horizontal="left"/>
    </xf>
    <xf numFmtId="39" fontId="98" fillId="0" borderId="0" applyFont="0" applyFill="0">
      <alignment vertical="center"/>
    </xf>
    <xf numFmtId="204" fontId="68" fillId="0" borderId="0"/>
    <xf numFmtId="0" fontId="99" fillId="0" borderId="0">
      <alignment horizontal="right"/>
    </xf>
    <xf numFmtId="196" fontId="92" fillId="0" borderId="0" applyFont="0" applyBorder="0" applyProtection="0">
      <alignment vertical="center"/>
    </xf>
    <xf numFmtId="195" fontId="38" fillId="0" borderId="0" applyNumberFormat="0" applyFont="0" applyAlignment="0">
      <alignment horizontal="center" vertical="center"/>
    </xf>
    <xf numFmtId="167" fontId="41" fillId="0" borderId="0" applyNumberFormat="0" applyFill="0" applyBorder="0" applyAlignment="0" applyProtection="0"/>
    <xf numFmtId="167" fontId="100" fillId="0" borderId="0" applyNumberFormat="0" applyFill="0" applyBorder="0" applyAlignment="0" applyProtection="0"/>
    <xf numFmtId="205" fontId="101" fillId="8" borderId="0" applyBorder="0">
      <protection locked="0"/>
    </xf>
    <xf numFmtId="197" fontId="102" fillId="52" borderId="12"/>
    <xf numFmtId="197" fontId="102" fillId="52" borderId="12"/>
    <xf numFmtId="197" fontId="102" fillId="52" borderId="12"/>
    <xf numFmtId="178" fontId="95" fillId="0" borderId="0" applyFont="0" applyFill="0" applyBorder="0" applyAlignment="0" applyProtection="0"/>
    <xf numFmtId="178" fontId="95" fillId="0" borderId="0" applyFont="0" applyFill="0" applyBorder="0" applyAlignment="0" applyProtection="0"/>
    <xf numFmtId="0" fontId="103" fillId="0" borderId="0"/>
    <xf numFmtId="169" fontId="104" fillId="0" borderId="0"/>
    <xf numFmtId="39" fontId="105" fillId="7" borderId="0" applyNumberFormat="0" applyBorder="0">
      <alignment vertical="center"/>
    </xf>
    <xf numFmtId="0" fontId="106"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33"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54" fillId="53" borderId="0"/>
    <xf numFmtId="167" fontId="108" fillId="53" borderId="0"/>
    <xf numFmtId="0" fontId="109" fillId="0" borderId="0"/>
    <xf numFmtId="167" fontId="110" fillId="0" borderId="0" applyNumberFormat="0" applyFill="0" applyBorder="0" applyAlignment="0" applyProtection="0"/>
    <xf numFmtId="0" fontId="55" fillId="0" borderId="0">
      <alignment horizontal="left"/>
    </xf>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38" fontId="112" fillId="0" borderId="0" applyNumberFormat="0" applyFill="0" applyBorder="0" applyAlignment="0" applyProtection="0">
      <alignment horizontal="right"/>
      <protection locked="0"/>
    </xf>
    <xf numFmtId="171" fontId="104" fillId="0" borderId="0"/>
    <xf numFmtId="167" fontId="113" fillId="0" borderId="0" applyNumberFormat="0" applyFill="0" applyBorder="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left"/>
    </xf>
    <xf numFmtId="167" fontId="105" fillId="0" borderId="0">
      <alignment horizontal="right"/>
    </xf>
    <xf numFmtId="167" fontId="64"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7" fontId="116" fillId="0" borderId="0" applyFont="0" applyFill="0" applyBorder="0" applyAlignment="0" applyProtection="0"/>
    <xf numFmtId="49" fontId="117" fillId="0" borderId="0" applyFill="0" applyBorder="0">
      <alignment horizontal="left"/>
    </xf>
    <xf numFmtId="200" fontId="118" fillId="0" borderId="0" applyFill="0" applyBorder="0">
      <alignment horizontal="left"/>
    </xf>
    <xf numFmtId="49" fontId="119" fillId="0" borderId="0" applyFill="0" applyBorder="0">
      <alignment horizontal="left"/>
    </xf>
    <xf numFmtId="2" fontId="120" fillId="0" borderId="0" applyFill="0" applyBorder="0">
      <alignment horizontal="left"/>
    </xf>
    <xf numFmtId="0" fontId="63" fillId="0" borderId="0" applyFont="0" applyFill="0" applyBorder="0" applyAlignment="0" applyProtection="0"/>
    <xf numFmtId="208" fontId="121" fillId="0" borderId="0"/>
    <xf numFmtId="167" fontId="122" fillId="0" borderId="0"/>
    <xf numFmtId="178" fontId="123" fillId="0" borderId="0"/>
    <xf numFmtId="178" fontId="95" fillId="0" borderId="0"/>
    <xf numFmtId="178" fontId="124" fillId="0" borderId="0"/>
    <xf numFmtId="178" fontId="124" fillId="0" borderId="0"/>
    <xf numFmtId="178" fontId="94" fillId="0" borderId="0"/>
    <xf numFmtId="178" fontId="95" fillId="0" borderId="0"/>
    <xf numFmtId="178" fontId="94" fillId="0" borderId="0"/>
    <xf numFmtId="178" fontId="95" fillId="0" borderId="0"/>
    <xf numFmtId="178" fontId="94" fillId="0" borderId="0"/>
    <xf numFmtId="178" fontId="95" fillId="0" borderId="0"/>
    <xf numFmtId="178" fontId="125" fillId="0" borderId="0"/>
    <xf numFmtId="209" fontId="126" fillId="0" borderId="0" applyFill="0" applyBorder="0" applyAlignment="0"/>
    <xf numFmtId="167" fontId="40" fillId="0" borderId="0" applyFill="0" applyBorder="0" applyAlignment="0"/>
    <xf numFmtId="167" fontId="40" fillId="0" borderId="0" applyFill="0" applyBorder="0" applyAlignment="0"/>
    <xf numFmtId="210"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213" fontId="38" fillId="0" borderId="0" applyFill="0" applyBorder="0" applyAlignment="0"/>
    <xf numFmtId="214" fontId="126" fillId="0" borderId="0" applyFill="0" applyBorder="0" applyAlignment="0"/>
    <xf numFmtId="215" fontId="41" fillId="0" borderId="0" applyFill="0" applyBorder="0" applyAlignment="0"/>
    <xf numFmtId="215" fontId="41" fillId="0" borderId="0" applyFill="0" applyBorder="0" applyAlignment="0"/>
    <xf numFmtId="216" fontId="127" fillId="0" borderId="0" applyFill="0" applyBorder="0" applyAlignment="0"/>
    <xf numFmtId="217" fontId="126" fillId="0" borderId="0" applyFill="0" applyBorder="0" applyAlignment="0"/>
    <xf numFmtId="218" fontId="41" fillId="0" borderId="0" applyFill="0" applyBorder="0" applyAlignment="0"/>
    <xf numFmtId="218" fontId="41" fillId="0" borderId="0" applyFill="0" applyBorder="0" applyAlignment="0"/>
    <xf numFmtId="219" fontId="127" fillId="0" borderId="0" applyFill="0" applyBorder="0" applyAlignment="0"/>
    <xf numFmtId="220" fontId="126" fillId="0" borderId="0" applyFill="0" applyBorder="0" applyAlignment="0"/>
    <xf numFmtId="221" fontId="41" fillId="0" borderId="0" applyFill="0" applyBorder="0" applyAlignment="0"/>
    <xf numFmtId="221" fontId="41" fillId="0" borderId="0" applyFill="0" applyBorder="0" applyAlignment="0"/>
    <xf numFmtId="222" fontId="47" fillId="0" borderId="0" applyFill="0" applyBorder="0" applyAlignment="0"/>
    <xf numFmtId="209" fontId="126"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26"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0" fontId="128" fillId="54" borderId="39" applyNumberFormat="0" applyAlignment="0" applyProtection="0"/>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39" fontId="129" fillId="0" borderId="40">
      <protection locked="0"/>
    </xf>
    <xf numFmtId="39" fontId="129" fillId="0" borderId="40">
      <protection locked="0"/>
    </xf>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38" fontId="118" fillId="0" borderId="0">
      <alignment horizontal="left"/>
    </xf>
    <xf numFmtId="167" fontId="38" fillId="55" borderId="0" applyNumberFormat="0" applyFont="0" applyBorder="0" applyAlignment="0"/>
    <xf numFmtId="200" fontId="131" fillId="0" borderId="0"/>
    <xf numFmtId="167" fontId="41" fillId="0" borderId="0">
      <alignment horizontal="center" wrapText="1"/>
    </xf>
    <xf numFmtId="167" fontId="41" fillId="0" borderId="0">
      <alignment horizontal="center" wrapText="1"/>
    </xf>
    <xf numFmtId="167"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167" fontId="132" fillId="0" borderId="0" applyFill="0" applyBorder="0" applyProtection="0">
      <alignment horizontal="center"/>
      <protection locked="0"/>
    </xf>
    <xf numFmtId="1" fontId="133" fillId="0" borderId="0"/>
    <xf numFmtId="227" fontId="55" fillId="56" borderId="41">
      <alignment vertical="center"/>
    </xf>
    <xf numFmtId="0" fontId="134"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33"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228" fontId="38" fillId="0" borderId="43" applyFont="0" applyFill="0" applyBorder="0" applyProtection="0">
      <alignment horizontal="center"/>
      <protection locked="0"/>
    </xf>
    <xf numFmtId="0" fontId="58" fillId="0" borderId="40"/>
    <xf numFmtId="0" fontId="73" fillId="0" borderId="0">
      <alignment horizontal="center" wrapText="1"/>
      <protection hidden="1"/>
    </xf>
    <xf numFmtId="167" fontId="114" fillId="0" borderId="0" applyNumberFormat="0" applyFill="0" applyBorder="0" applyProtection="0">
      <alignment horizontal="center" vertical="center"/>
    </xf>
    <xf numFmtId="0" fontId="136" fillId="0" borderId="0">
      <alignment horizontal="right"/>
    </xf>
    <xf numFmtId="167" fontId="33" fillId="0" borderId="0"/>
    <xf numFmtId="229" fontId="137" fillId="0" borderId="0"/>
    <xf numFmtId="167" fontId="33"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22" fontId="47"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10" fontId="41" fillId="0" borderId="0" applyFont="0" applyFill="0" applyBorder="0" applyAlignment="0" applyProtection="0"/>
    <xf numFmtId="167" fontId="138" fillId="0" borderId="0" applyFont="0" applyFill="0" applyBorder="0" applyAlignment="0" applyProtection="0"/>
    <xf numFmtId="167" fontId="64" fillId="0" borderId="0"/>
    <xf numFmtId="167" fontId="72" fillId="0" borderId="0"/>
    <xf numFmtId="167" fontId="139" fillId="0" borderId="0" applyFont="0" applyFill="0" applyBorder="0" applyAlignment="0" applyProtection="0">
      <alignment horizontal="right"/>
    </xf>
    <xf numFmtId="167" fontId="139"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167" fontId="55" fillId="0" borderId="0" applyFill="0" applyBorder="0" applyAlignment="0" applyProtection="0"/>
    <xf numFmtId="167" fontId="140"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alignment vertical="center"/>
    </xf>
    <xf numFmtId="167" fontId="140" fillId="0" borderId="0" applyFont="0" applyFill="0" applyBorder="0" applyAlignment="0" applyProtection="0"/>
    <xf numFmtId="167"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0" fontId="101" fillId="0" borderId="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6"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83"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6" fontId="85" fillId="0" borderId="0" applyFont="0" applyFill="0" applyBorder="0" applyAlignment="0" applyProtection="0"/>
    <xf numFmtId="237"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4"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8"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6" fontId="11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84"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38"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75" fontId="141" fillId="0" borderId="0" applyFont="0" applyFill="0" applyBorder="0" applyAlignment="0" applyProtection="0"/>
    <xf numFmtId="3" fontId="73" fillId="0" borderId="0" applyNumberFormat="0" applyFont="0" applyFill="0" applyBorder="0" applyAlignment="0" applyProtection="0">
      <alignment vertical="top"/>
    </xf>
    <xf numFmtId="0" fontId="142" fillId="0" borderId="0"/>
    <xf numFmtId="0" fontId="47" fillId="0" borderId="0"/>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42" fillId="0" borderId="0"/>
    <xf numFmtId="0" fontId="47" fillId="0" borderId="0"/>
    <xf numFmtId="0" fontId="144" fillId="0" borderId="0"/>
    <xf numFmtId="167" fontId="145" fillId="0" borderId="0" applyFill="0" applyBorder="0" applyAlignment="0" applyProtection="0">
      <protection locked="0"/>
    </xf>
    <xf numFmtId="200" fontId="146" fillId="0" borderId="0" applyFill="0" applyBorder="0">
      <alignment horizontal="left"/>
    </xf>
    <xf numFmtId="196" fontId="147" fillId="0" borderId="44" applyNumberFormat="0" applyFill="0" applyBorder="0" applyAlignment="0" applyProtection="0"/>
    <xf numFmtId="190" fontId="148" fillId="0" borderId="0"/>
    <xf numFmtId="238" fontId="148" fillId="0" borderId="0"/>
    <xf numFmtId="239" fontId="148" fillId="0" borderId="0"/>
    <xf numFmtId="167" fontId="149" fillId="0" borderId="34" applyNumberFormat="0" applyFill="0" applyBorder="0" applyAlignment="0" applyProtection="0">
      <alignment horizontal="left"/>
    </xf>
    <xf numFmtId="167" fontId="150" fillId="0" borderId="0" applyNumberFormat="0" applyAlignment="0">
      <alignment horizontal="left"/>
    </xf>
    <xf numFmtId="240" fontId="151" fillId="9" borderId="0" applyBorder="0"/>
    <xf numFmtId="227" fontId="151" fillId="9" borderId="40" applyBorder="0"/>
    <xf numFmtId="241" fontId="151" fillId="9" borderId="40" applyBorder="0"/>
    <xf numFmtId="9" fontId="151" fillId="9" borderId="34" applyBorder="0"/>
    <xf numFmtId="182" fontId="151" fillId="9" borderId="0" applyBorder="0"/>
    <xf numFmtId="234" fontId="151" fillId="9" borderId="45" applyBorder="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0" applyFill="0" applyBorder="0" applyProtection="0"/>
    <xf numFmtId="200" fontId="152" fillId="52" borderId="37"/>
    <xf numFmtId="3" fontId="33" fillId="0" borderId="47" applyNumberFormat="0" applyAlignment="0">
      <alignment vertical="center"/>
    </xf>
    <xf numFmtId="3" fontId="153" fillId="0" borderId="47" applyNumberFormat="0" applyAlignment="0">
      <alignment vertical="center"/>
    </xf>
    <xf numFmtId="167" fontId="153" fillId="0" borderId="48" applyNumberFormat="0" applyAlignment="0"/>
    <xf numFmtId="3" fontId="33" fillId="0" borderId="47" applyNumberFormat="0" applyAlignment="0">
      <alignment vertical="center"/>
    </xf>
    <xf numFmtId="3" fontId="153" fillId="0" borderId="47" applyNumberFormat="0" applyAlignment="0">
      <alignment vertical="center"/>
    </xf>
    <xf numFmtId="243" fontId="73" fillId="0" borderId="0" applyFill="0" applyBorder="0">
      <alignment horizontal="right"/>
      <protection locked="0"/>
    </xf>
    <xf numFmtId="167" fontId="154" fillId="0" borderId="0"/>
    <xf numFmtId="167" fontId="154" fillId="0" borderId="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171" fontId="47" fillId="0" borderId="0" applyFont="0" applyFill="0" applyBorder="0" applyAlignment="0" applyProtection="0"/>
    <xf numFmtId="211"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12" fontId="41" fillId="0" borderId="0" applyFont="0" applyFill="0" applyBorder="0" applyAlignment="0" applyProtection="0"/>
    <xf numFmtId="245" fontId="44" fillId="0" borderId="0" applyFont="0" applyFill="0" applyBorder="0" applyAlignment="0" applyProtection="0"/>
    <xf numFmtId="246" fontId="155" fillId="0" borderId="0" applyFont="0" applyFill="0" applyBorder="0" applyProtection="0">
      <alignment horizontal="right"/>
    </xf>
    <xf numFmtId="247" fontId="155" fillId="0" borderId="0" applyFont="0" applyFill="0" applyBorder="0" applyProtection="0">
      <alignment horizontal="right"/>
    </xf>
    <xf numFmtId="167" fontId="139" fillId="0" borderId="0" applyFont="0" applyFill="0" applyBorder="0" applyAlignment="0" applyProtection="0">
      <alignment horizontal="right"/>
    </xf>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4"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50" fontId="68" fillId="0" borderId="0" applyFont="0" applyFill="0" applyBorder="0" applyAlignment="0" applyProtection="0"/>
    <xf numFmtId="250" fontId="68"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4"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67" fontId="139" fillId="0" borderId="0" applyFont="0" applyFill="0" applyBorder="0" applyAlignment="0" applyProtection="0">
      <alignment horizontal="right"/>
    </xf>
    <xf numFmtId="194" fontId="38" fillId="0" borderId="0" applyFont="0" applyFill="0" applyBorder="0" applyAlignment="0" applyProtection="0"/>
    <xf numFmtId="182" fontId="38" fillId="0" borderId="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37" fontId="156" fillId="0" borderId="49" applyFont="0" applyFill="0" applyBorder="0"/>
    <xf numFmtId="37" fontId="91" fillId="0" borderId="49" applyFont="0" applyFill="0" applyBorder="0">
      <protection locked="0"/>
    </xf>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91" fillId="0" borderId="49" applyFill="0" applyBorder="0">
      <protection locked="0"/>
    </xf>
    <xf numFmtId="251" fontId="73" fillId="0" borderId="0" applyNumberFormat="0" applyFont="0" applyFill="0" applyBorder="0" applyAlignment="0" applyProtection="0">
      <alignment vertical="top"/>
    </xf>
    <xf numFmtId="252" fontId="143" fillId="0" borderId="0" applyFont="0" applyFill="0" applyBorder="0" applyAlignment="0" applyProtection="0"/>
    <xf numFmtId="252" fontId="143" fillId="0" borderId="0" applyFont="0" applyFill="0" applyBorder="0" applyAlignment="0" applyProtection="0"/>
    <xf numFmtId="252" fontId="143"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1" fontId="41" fillId="0" borderId="0" applyFont="0" applyFill="0" applyBorder="0" applyAlignment="0" applyProtection="0"/>
    <xf numFmtId="251" fontId="41" fillId="0"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00" fontId="117" fillId="9" borderId="50" applyNumberFormat="0" applyBorder="0" applyProtection="0">
      <alignment horizontal="right"/>
    </xf>
    <xf numFmtId="0" fontId="73" fillId="0" borderId="0" applyFont="0" applyFill="0" applyBorder="0" applyAlignment="0">
      <protection locked="0"/>
    </xf>
    <xf numFmtId="0" fontId="158" fillId="10" borderId="51" applyNumberFormat="0" applyFont="0" applyBorder="0" applyAlignment="0" applyProtection="0"/>
    <xf numFmtId="0" fontId="38" fillId="0" borderId="0"/>
    <xf numFmtId="0" fontId="63" fillId="0" borderId="0" applyFont="0" applyFill="0" applyBorder="0" applyAlignment="0" applyProtection="0"/>
    <xf numFmtId="167" fontId="54" fillId="43" borderId="0"/>
    <xf numFmtId="167" fontId="108" fillId="59" borderId="0"/>
    <xf numFmtId="15" fontId="33" fillId="0" borderId="0"/>
    <xf numFmtId="15" fontId="159" fillId="0" borderId="0"/>
    <xf numFmtId="15" fontId="33" fillId="0" borderId="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67" fontId="139" fillId="0" borderId="0" applyFont="0" applyFill="0" applyBorder="0" applyAlignment="0" applyProtection="0"/>
    <xf numFmtId="15" fontId="160" fillId="0" borderId="52" applyFont="0" applyFill="0" applyBorder="0" applyAlignment="0">
      <alignment horizontal="centerContinuous"/>
    </xf>
    <xf numFmtId="255" fontId="160" fillId="0" borderId="52" applyFont="0" applyFill="0" applyBorder="0" applyAlignment="0">
      <alignment horizontal="centerContinuous"/>
    </xf>
    <xf numFmtId="14" fontId="126" fillId="0" borderId="0" applyFill="0" applyBorder="0" applyAlignment="0"/>
    <xf numFmtId="167" fontId="38" fillId="11" borderId="0" applyFont="0" applyFill="0" applyBorder="0" applyAlignment="0" applyProtection="0"/>
    <xf numFmtId="256" fontId="104" fillId="0" borderId="0" applyFill="0" applyBorder="0" applyProtection="0"/>
    <xf numFmtId="14" fontId="104" fillId="0" borderId="0" applyFill="0" applyBorder="0" applyProtection="0"/>
    <xf numFmtId="257"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7" fontId="38" fillId="7" borderId="7">
      <alignment horizontal="center"/>
    </xf>
    <xf numFmtId="15" fontId="121" fillId="0" borderId="0">
      <alignment vertical="center"/>
    </xf>
    <xf numFmtId="258" fontId="38" fillId="0" borderId="0" applyFont="0" applyFill="0" applyBorder="0" applyAlignment="0" applyProtection="0">
      <alignment wrapText="1"/>
    </xf>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0" applyFill="0" applyBorder="0" applyProtection="0"/>
    <xf numFmtId="167" fontId="72" fillId="0" borderId="0">
      <alignment horizontal="right"/>
    </xf>
    <xf numFmtId="167" fontId="72" fillId="0" borderId="0">
      <alignment horizontal="right"/>
      <protection locked="0"/>
    </xf>
    <xf numFmtId="167" fontId="72" fillId="0" borderId="0"/>
    <xf numFmtId="167" fontId="72" fillId="0" borderId="0">
      <alignment horizontal="right"/>
      <protection locked="0"/>
    </xf>
    <xf numFmtId="259" fontId="72" fillId="0" borderId="0"/>
    <xf numFmtId="38" fontId="49" fillId="0" borderId="0" applyFont="0" applyFill="0" applyBorder="0" applyAlignment="0" applyProtection="0"/>
    <xf numFmtId="0" fontId="55" fillId="0" borderId="0" applyNumberFormat="0" applyFill="0" applyBorder="0" applyAlignment="0" applyProtection="0"/>
    <xf numFmtId="38" fontId="73" fillId="0" borderId="53">
      <alignment vertical="center"/>
    </xf>
    <xf numFmtId="260" fontId="105" fillId="60" borderId="0" applyNumberFormat="0" applyBorder="0" applyAlignment="0" applyProtection="0"/>
    <xf numFmtId="261" fontId="38" fillId="0" borderId="0" applyFont="0" applyFill="0" applyBorder="0" applyAlignment="0" applyProtection="0"/>
    <xf numFmtId="237" fontId="38" fillId="0" borderId="0" applyFont="0" applyFill="0" applyBorder="0" applyAlignment="0" applyProtection="0"/>
    <xf numFmtId="0" fontId="46" fillId="0" borderId="0">
      <protection locked="0"/>
    </xf>
    <xf numFmtId="262" fontId="161" fillId="0" borderId="0">
      <alignment horizontal="left"/>
    </xf>
    <xf numFmtId="226" fontId="162" fillId="0" borderId="0"/>
    <xf numFmtId="263" fontId="44" fillId="0" borderId="0" applyFont="0" applyFill="0" applyBorder="0" applyAlignment="0" applyProtection="0"/>
    <xf numFmtId="200" fontId="163" fillId="0" borderId="0">
      <alignment horizontal="center"/>
    </xf>
    <xf numFmtId="200" fontId="163" fillId="0" borderId="0">
      <alignment horizontal="center"/>
    </xf>
    <xf numFmtId="200" fontId="163" fillId="0" borderId="0">
      <alignment horizontal="center"/>
    </xf>
    <xf numFmtId="167" fontId="139" fillId="0" borderId="54" applyNumberFormat="0" applyFont="0" applyFill="0" applyAlignment="0" applyProtection="0"/>
    <xf numFmtId="167" fontId="164" fillId="0" borderId="0" applyFill="0" applyBorder="0" applyAlignment="0" applyProtection="0"/>
    <xf numFmtId="167" fontId="72" fillId="0" borderId="0"/>
    <xf numFmtId="38" fontId="73" fillId="0" borderId="0" applyFont="0" applyFill="0" applyBorder="0" applyAlignment="0" applyProtection="0"/>
    <xf numFmtId="167" fontId="165" fillId="0" borderId="0" applyFont="0" applyFill="0" applyBorder="0" applyAlignment="0" applyProtection="0"/>
    <xf numFmtId="167" fontId="166" fillId="0" borderId="0" applyNumberFormat="0" applyFill="0" applyBorder="0" applyAlignment="0" applyProtection="0"/>
    <xf numFmtId="3" fontId="38" fillId="0" borderId="12"/>
    <xf numFmtId="3" fontId="38" fillId="0" borderId="12"/>
    <xf numFmtId="3" fontId="38" fillId="0" borderId="12"/>
    <xf numFmtId="38" fontId="33" fillId="0" borderId="0">
      <alignment vertical="top"/>
    </xf>
    <xf numFmtId="167" fontId="167" fillId="61" borderId="0" applyNumberFormat="0" applyBorder="0" applyAlignment="0" applyProtection="0"/>
    <xf numFmtId="167" fontId="167" fillId="62" borderId="0" applyNumberFormat="0" applyBorder="0" applyAlignment="0" applyProtection="0"/>
    <xf numFmtId="167" fontId="167" fillId="63" borderId="0" applyNumberFormat="0" applyBorder="0" applyAlignment="0" applyProtection="0"/>
    <xf numFmtId="0" fontId="66" fillId="0" borderId="0">
      <protection locked="0"/>
    </xf>
    <xf numFmtId="0" fontId="66" fillId="0" borderId="0">
      <protection locked="0"/>
    </xf>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6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167" fontId="169" fillId="0" borderId="0" applyNumberFormat="0" applyAlignment="0">
      <alignment horizontal="left"/>
    </xf>
    <xf numFmtId="177" fontId="170" fillId="0" borderId="0" applyFont="0" applyFill="0" applyBorder="0" applyAlignment="0" applyProtection="0"/>
    <xf numFmtId="177" fontId="19" fillId="0" borderId="0" applyFont="0" applyFill="0" applyBorder="0" applyAlignment="0" applyProtection="0">
      <alignment vertical="top"/>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38"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264" fontId="171" fillId="0" borderId="0" applyBorder="0" applyProtection="0"/>
    <xf numFmtId="264" fontId="172" fillId="0" borderId="0" applyBorder="0" applyProtection="0"/>
    <xf numFmtId="0" fontId="17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3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49" fontId="111" fillId="0" borderId="0" applyNumberFormat="0" applyFill="0" applyBorder="0" applyProtection="0">
      <alignment horizontal="center" vertical="top"/>
    </xf>
    <xf numFmtId="265" fontId="175" fillId="0" borderId="0" applyBorder="0">
      <alignment horizontal="right" vertical="top"/>
    </xf>
    <xf numFmtId="266" fontId="111" fillId="0" borderId="0" applyBorder="0">
      <alignment horizontal="right" vertical="top"/>
    </xf>
    <xf numFmtId="266" fontId="175" fillId="0" borderId="0" applyBorder="0">
      <alignment horizontal="right" vertical="top"/>
    </xf>
    <xf numFmtId="267" fontId="111" fillId="0" borderId="0" applyFill="0" applyBorder="0">
      <alignment horizontal="right" vertical="top"/>
    </xf>
    <xf numFmtId="268" fontId="111" fillId="0" borderId="0" applyFill="0" applyBorder="0">
      <alignment horizontal="right" vertical="top"/>
    </xf>
    <xf numFmtId="269" fontId="111" fillId="0" borderId="0" applyFill="0" applyBorder="0">
      <alignment horizontal="right" vertical="top"/>
    </xf>
    <xf numFmtId="270" fontId="111" fillId="0" borderId="0" applyFill="0" applyBorder="0">
      <alignment horizontal="right" vertical="top"/>
    </xf>
    <xf numFmtId="167" fontId="176" fillId="0" borderId="0">
      <alignment horizontal="left"/>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167" fontId="178" fillId="0" borderId="0">
      <alignment vertical="center"/>
    </xf>
    <xf numFmtId="272" fontId="178" fillId="0" borderId="0">
      <alignment horizontal="left" vertical="center"/>
    </xf>
    <xf numFmtId="273" fontId="179" fillId="0" borderId="0">
      <alignment vertical="center"/>
    </xf>
    <xf numFmtId="167" fontId="81" fillId="0" borderId="0">
      <alignment vertical="center"/>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11" fillId="0" borderId="0">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72" fontId="100" fillId="0" borderId="0">
      <alignment horizontal="left" vertical="center"/>
    </xf>
    <xf numFmtId="271" fontId="100" fillId="0" borderId="0"/>
    <xf numFmtId="271" fontId="181" fillId="0" borderId="0"/>
    <xf numFmtId="271" fontId="182" fillId="0" borderId="0"/>
    <xf numFmtId="271" fontId="41" fillId="0" borderId="0"/>
    <xf numFmtId="271" fontId="183" fillId="0" borderId="0">
      <alignment horizontal="left" vertical="top"/>
    </xf>
    <xf numFmtId="167" fontId="111" fillId="0" borderId="0" applyFill="0" applyBorder="0">
      <alignment horizontal="left" vertical="top" wrapText="1"/>
    </xf>
    <xf numFmtId="167" fontId="184" fillId="0" borderId="0">
      <alignment horizontal="left" vertical="top" wrapText="1"/>
    </xf>
    <xf numFmtId="167" fontId="185" fillId="0" borderId="0">
      <alignment horizontal="left" vertical="top" wrapText="1"/>
    </xf>
    <xf numFmtId="167" fontId="175" fillId="0" borderId="0">
      <alignment horizontal="left" vertical="top" wrapText="1"/>
    </xf>
    <xf numFmtId="274" fontId="38" fillId="0" borderId="0" applyFont="0" applyFill="0" applyBorder="0" applyAlignment="0" applyProtection="0"/>
    <xf numFmtId="275" fontId="38" fillId="0" borderId="0" applyFont="0" applyFill="0" applyBorder="0" applyAlignment="0" applyProtection="0"/>
    <xf numFmtId="189" fontId="186" fillId="0" borderId="0" applyFill="0" applyBorder="0" applyAlignment="0" applyProtection="0"/>
    <xf numFmtId="167" fontId="46" fillId="0" borderId="0">
      <protection locked="0"/>
    </xf>
    <xf numFmtId="189" fontId="58" fillId="0" borderId="0" applyFill="0" applyBorder="0" applyAlignment="0" applyProtection="0"/>
    <xf numFmtId="189" fontId="58" fillId="0" borderId="0" applyFill="0" applyBorder="0" applyAlignment="0" applyProtection="0"/>
    <xf numFmtId="167" fontId="46" fillId="0" borderId="0">
      <protection locked="0"/>
    </xf>
    <xf numFmtId="189" fontId="187" fillId="0" borderId="0" applyFill="0" applyBorder="0" applyAlignment="0" applyProtection="0"/>
    <xf numFmtId="167" fontId="188" fillId="0" borderId="0">
      <protection locked="0"/>
    </xf>
    <xf numFmtId="189" fontId="189" fillId="0" borderId="0" applyFill="0" applyBorder="0" applyAlignment="0" applyProtection="0"/>
    <xf numFmtId="167" fontId="46" fillId="0" borderId="0">
      <protection locked="0"/>
    </xf>
    <xf numFmtId="189" fontId="190" fillId="0" borderId="0" applyFill="0" applyBorder="0" applyAlignment="0" applyProtection="0"/>
    <xf numFmtId="167" fontId="46" fillId="0" borderId="0">
      <protection locked="0"/>
    </xf>
    <xf numFmtId="189" fontId="191" fillId="0" borderId="0" applyFill="0" applyBorder="0" applyAlignment="0" applyProtection="0"/>
    <xf numFmtId="167" fontId="46" fillId="0" borderId="0">
      <protection locked="0"/>
    </xf>
    <xf numFmtId="189" fontId="192" fillId="0" borderId="0" applyFill="0" applyBorder="0" applyAlignment="0" applyProtection="0"/>
    <xf numFmtId="167" fontId="46" fillId="0" borderId="0">
      <protection locked="0"/>
    </xf>
    <xf numFmtId="276" fontId="41" fillId="0" borderId="0" applyFont="0" applyFill="0" applyBorder="0" applyAlignment="0" applyProtection="0"/>
    <xf numFmtId="167" fontId="33" fillId="0" borderId="0"/>
    <xf numFmtId="190" fontId="193" fillId="0" borderId="0"/>
    <xf numFmtId="190" fontId="194" fillId="0" borderId="0"/>
    <xf numFmtId="190" fontId="193" fillId="0" borderId="0"/>
    <xf numFmtId="190" fontId="193" fillId="0" borderId="0"/>
    <xf numFmtId="190" fontId="193" fillId="0" borderId="0"/>
    <xf numFmtId="167" fontId="33" fillId="0" borderId="0"/>
    <xf numFmtId="190" fontId="193" fillId="0" borderId="0"/>
    <xf numFmtId="0" fontId="46" fillId="0" borderId="0">
      <protection locked="0"/>
    </xf>
    <xf numFmtId="0" fontId="46" fillId="0" borderId="0">
      <protection locked="0"/>
    </xf>
    <xf numFmtId="2" fontId="143" fillId="0" borderId="0" applyFont="0" applyFill="0" applyBorder="0" applyAlignment="0" applyProtection="0"/>
    <xf numFmtId="2" fontId="143" fillId="0" borderId="0" applyFont="0" applyFill="0" applyBorder="0" applyAlignment="0" applyProtection="0"/>
    <xf numFmtId="2" fontId="143"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0" fontId="38" fillId="0" borderId="0"/>
    <xf numFmtId="15" fontId="38" fillId="0" borderId="0">
      <alignment vertical="center"/>
    </xf>
    <xf numFmtId="167" fontId="195" fillId="0" borderId="0" applyFill="0" applyBorder="0" applyProtection="0">
      <alignment horizontal="left"/>
    </xf>
    <xf numFmtId="0" fontId="38" fillId="0" borderId="0" applyNumberFormat="0" applyFont="0">
      <alignment wrapText="1"/>
    </xf>
    <xf numFmtId="167" fontId="33" fillId="0" borderId="0"/>
    <xf numFmtId="167" fontId="196" fillId="0" borderId="0"/>
    <xf numFmtId="167" fontId="33" fillId="0" borderId="0"/>
    <xf numFmtId="0" fontId="196" fillId="0" borderId="0"/>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49" fontId="198" fillId="0" borderId="0">
      <alignment horizontal="left"/>
    </xf>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234" fontId="120" fillId="0" borderId="0" applyFill="0" applyBorder="0"/>
    <xf numFmtId="167" fontId="41" fillId="0" borderId="0" applyNumberFormat="0" applyFont="0" applyBorder="0" applyAlignment="0"/>
    <xf numFmtId="227" fontId="120" fillId="0" borderId="34" applyFill="0" applyBorder="0"/>
    <xf numFmtId="240" fontId="120" fillId="0" borderId="0" applyFill="0" applyBorder="0"/>
    <xf numFmtId="0" fontId="200"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33"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234" fontId="202" fillId="0" borderId="0" applyNumberFormat="0" applyFill="0" applyBorder="0" applyAlignment="0" applyProtection="0">
      <alignment horizontal="center"/>
    </xf>
    <xf numFmtId="38" fontId="121" fillId="7" borderId="0" applyNumberFormat="0" applyBorder="0" applyAlignment="0" applyProtection="0"/>
    <xf numFmtId="0" fontId="203" fillId="0" borderId="0" applyNumberFormat="0">
      <alignment horizontal="right"/>
    </xf>
    <xf numFmtId="0" fontId="204" fillId="0" borderId="0" applyNumberFormat="0">
      <alignment horizontal="right"/>
    </xf>
    <xf numFmtId="0" fontId="204" fillId="0" borderId="0" applyNumberFormat="0">
      <alignment horizontal="left"/>
    </xf>
    <xf numFmtId="0" fontId="203" fillId="0" borderId="0" applyNumberFormat="0">
      <alignment horizontal="left"/>
    </xf>
    <xf numFmtId="0" fontId="205" fillId="0" borderId="0" applyNumberFormat="0">
      <alignment horizontal="left" vertical="top"/>
    </xf>
    <xf numFmtId="166" fontId="41" fillId="8" borderId="12" applyNumberFormat="0" applyFont="0" applyBorder="0" applyAlignment="0" applyProtection="0"/>
    <xf numFmtId="166" fontId="41" fillId="8" borderId="12" applyNumberFormat="0" applyFont="0" applyBorder="0" applyAlignment="0" applyProtection="0"/>
    <xf numFmtId="166" fontId="41" fillId="8" borderId="12" applyNumberFormat="0" applyFont="0" applyBorder="0" applyAlignment="0" applyProtection="0"/>
    <xf numFmtId="171" fontId="206" fillId="0" borderId="0">
      <alignment vertical="center"/>
    </xf>
    <xf numFmtId="167" fontId="139" fillId="0" borderId="0" applyFont="0" applyFill="0" applyBorder="0" applyAlignment="0" applyProtection="0">
      <alignment horizontal="right"/>
    </xf>
    <xf numFmtId="171" fontId="207" fillId="8" borderId="0" applyNumberFormat="0" applyFont="0" applyAlignment="0"/>
    <xf numFmtId="167" fontId="208" fillId="0" borderId="0" applyProtection="0">
      <alignment horizontal="right"/>
    </xf>
    <xf numFmtId="167" fontId="209" fillId="0" borderId="56" applyNumberFormat="0" applyAlignment="0" applyProtection="0">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4" fontId="105" fillId="52" borderId="7">
      <alignment horizontal="center" vertical="center" wrapText="1"/>
    </xf>
    <xf numFmtId="0" fontId="210" fillId="0" borderId="57" applyNumberFormat="0" applyFill="0" applyAlignment="0" applyProtection="0"/>
    <xf numFmtId="0" fontId="211" fillId="0" borderId="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84" fillId="0" borderId="0"/>
    <xf numFmtId="167" fontId="213" fillId="0" borderId="1"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3" fillId="0" borderId="1" applyNumberFormat="0" applyFill="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33"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7" fillId="0" borderId="2"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17" fillId="0" borderId="2" applyNumberFormat="0" applyFill="0" applyAlignment="0" applyProtection="0"/>
    <xf numFmtId="167" fontId="218" fillId="0" borderId="0" applyNumberFormat="0" applyFill="0" applyBorder="0" applyAlignment="0" applyProtection="0"/>
    <xf numFmtId="167" fontId="2" fillId="0" borderId="2" applyNumberFormat="0" applyFill="0" applyAlignment="0" applyProtection="0"/>
    <xf numFmtId="167" fontId="219" fillId="0" borderId="58" applyNumberFormat="0" applyFill="0" applyAlignment="0" applyProtection="0"/>
    <xf numFmtId="167" fontId="33"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8" fillId="0" borderId="0" applyNumberFormat="0" applyFill="0" applyBorder="0" applyAlignment="0" applyProtection="0"/>
    <xf numFmtId="167" fontId="219"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2" fillId="0" borderId="3"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2" fillId="0" borderId="3" applyNumberFormat="0" applyFill="0" applyAlignment="0" applyProtection="0"/>
    <xf numFmtId="167" fontId="221" fillId="0" borderId="59" applyNumberFormat="0" applyFill="0" applyAlignment="0" applyProtection="0"/>
    <xf numFmtId="167" fontId="33"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2"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0" fontId="222" fillId="0" borderId="0" applyNumberFormat="0" applyFill="0" applyBorder="0" applyAlignment="0" applyProtection="0"/>
    <xf numFmtId="167" fontId="221" fillId="0" borderId="0" applyNumberFormat="0" applyFill="0" applyBorder="0" applyAlignment="0" applyProtection="0"/>
    <xf numFmtId="167" fontId="33"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100" fillId="0" borderId="0"/>
    <xf numFmtId="37" fontId="223" fillId="0" borderId="0"/>
    <xf numFmtId="167" fontId="132" fillId="0" borderId="0" applyFill="0" applyAlignment="0" applyProtection="0">
      <protection locked="0"/>
    </xf>
    <xf numFmtId="167" fontId="132" fillId="0" borderId="35" applyFill="0" applyAlignment="0" applyProtection="0">
      <protection locked="0"/>
    </xf>
    <xf numFmtId="0" fontId="224" fillId="0" borderId="0">
      <alignment horizontal="center"/>
    </xf>
    <xf numFmtId="0" fontId="225" fillId="0" borderId="0"/>
    <xf numFmtId="0" fontId="225" fillId="0" borderId="0"/>
    <xf numFmtId="0" fontId="225" fillId="0" borderId="0"/>
    <xf numFmtId="38" fontId="33" fillId="0" borderId="0">
      <alignment vertical="top"/>
    </xf>
    <xf numFmtId="0" fontId="187" fillId="0" borderId="0"/>
    <xf numFmtId="0" fontId="226" fillId="0" borderId="0"/>
    <xf numFmtId="0" fontId="132" fillId="0" borderId="0"/>
    <xf numFmtId="0" fontId="163" fillId="0" borderId="0"/>
    <xf numFmtId="167" fontId="227" fillId="0" borderId="60" applyNumberFormat="0" applyFill="0" applyBorder="0" applyAlignment="0" applyProtection="0">
      <alignment horizontal="left"/>
    </xf>
    <xf numFmtId="0" fontId="38" fillId="0" borderId="0"/>
    <xf numFmtId="0" fontId="38" fillId="0" borderId="0"/>
    <xf numFmtId="0" fontId="105" fillId="66" borderId="12">
      <alignment horizontal="center" vertical="center" wrapText="1"/>
      <protection locked="0"/>
    </xf>
    <xf numFmtId="175" fontId="228" fillId="11" borderId="0" applyNumberFormat="0" applyBorder="0" applyAlignment="0" applyProtection="0">
      <protection locked="0"/>
    </xf>
    <xf numFmtId="0" fontId="38" fillId="0" borderId="0">
      <alignment horizontal="center"/>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31" fillId="0" borderId="0" applyFont="0" applyFill="0" applyBorder="0" applyAlignment="0" applyProtection="0"/>
    <xf numFmtId="167" fontId="33" fillId="0" borderId="0"/>
    <xf numFmtId="200" fontId="54" fillId="0" borderId="0"/>
    <xf numFmtId="167" fontId="232" fillId="0" borderId="0"/>
    <xf numFmtId="277" fontId="233" fillId="0" borderId="0" applyFont="0" applyFill="0" applyBorder="0" applyAlignment="0" applyProtection="0"/>
    <xf numFmtId="2" fontId="234" fillId="0" borderId="0"/>
    <xf numFmtId="0" fontId="235" fillId="0" borderId="0" applyNumberFormat="0" applyFill="0" applyBorder="0" applyAlignment="0" applyProtection="0">
      <alignment vertical="top"/>
      <protection locked="0"/>
    </xf>
    <xf numFmtId="0" fontId="236" fillId="23" borderId="39" applyNumberFormat="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9" fontId="239" fillId="10" borderId="0" applyProtection="0">
      <alignment horizontal="right" vertical="center"/>
      <protection locked="0"/>
    </xf>
    <xf numFmtId="10" fontId="240" fillId="0" borderId="0">
      <protection locked="0"/>
    </xf>
    <xf numFmtId="280" fontId="241" fillId="0" borderId="0" applyFill="0" applyBorder="0" applyProtection="0"/>
    <xf numFmtId="281" fontId="241" fillId="0" borderId="0" applyFill="0" applyBorder="0" applyProtection="0"/>
    <xf numFmtId="282" fontId="241" fillId="0" borderId="0" applyFill="0" applyBorder="0" applyProtection="0"/>
    <xf numFmtId="37" fontId="141" fillId="68" borderId="0">
      <protection locked="0"/>
    </xf>
    <xf numFmtId="0" fontId="168" fillId="0" borderId="0" applyNumberFormat="0" applyFill="0" applyBorder="0" applyAlignment="0">
      <protection locked="0"/>
    </xf>
    <xf numFmtId="15" fontId="240" fillId="0" borderId="0">
      <protection locked="0"/>
    </xf>
    <xf numFmtId="2" fontId="240" fillId="0" borderId="40">
      <protection locked="0"/>
    </xf>
    <xf numFmtId="283" fontId="242" fillId="67" borderId="0" applyNumberFormat="0" applyFont="0" applyBorder="0" applyAlignment="0">
      <alignment horizontal="right"/>
      <protection locked="0"/>
    </xf>
    <xf numFmtId="174" fontId="42" fillId="0" borderId="0">
      <alignment vertical="top"/>
    </xf>
    <xf numFmtId="174" fontId="42" fillId="7" borderId="0">
      <alignment vertical="top"/>
    </xf>
    <xf numFmtId="284" fontId="42" fillId="8" borderId="0">
      <alignment vertical="top"/>
    </xf>
    <xf numFmtId="0" fontId="240" fillId="0" borderId="0">
      <protection locked="0"/>
    </xf>
    <xf numFmtId="3" fontId="71" fillId="0" borderId="0"/>
    <xf numFmtId="167" fontId="243" fillId="69" borderId="0" applyNumberFormat="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167" fontId="245" fillId="0" borderId="0" applyNumberFormat="0" applyFill="0" applyBorder="0" applyAlignment="0" applyProtection="0">
      <alignment vertical="top"/>
      <protection locked="0"/>
    </xf>
    <xf numFmtId="167" fontId="246" fillId="0" borderId="0">
      <alignment vertical="center"/>
    </xf>
    <xf numFmtId="167" fontId="246" fillId="0" borderId="0">
      <alignment vertical="center"/>
    </xf>
    <xf numFmtId="167" fontId="246" fillId="0" borderId="0">
      <alignment vertical="center"/>
    </xf>
    <xf numFmtId="166" fontId="247" fillId="0" borderId="0" applyFill="0" applyBorder="0" applyProtection="0">
      <alignment vertical="top"/>
    </xf>
    <xf numFmtId="286" fontId="73" fillId="0" borderId="0" applyFill="0" applyBorder="0">
      <alignment horizontal="right"/>
      <protection locked="0"/>
    </xf>
    <xf numFmtId="0" fontId="248" fillId="70" borderId="62">
      <alignment horizontal="left" vertical="center" wrapText="1"/>
    </xf>
    <xf numFmtId="0" fontId="248" fillId="70" borderId="62">
      <alignment horizontal="left" vertical="center" wrapText="1"/>
    </xf>
    <xf numFmtId="3" fontId="249" fillId="71" borderId="62">
      <protection locked="0"/>
    </xf>
    <xf numFmtId="3" fontId="249" fillId="71" borderId="62">
      <protection locked="0"/>
    </xf>
    <xf numFmtId="165" fontId="250" fillId="72" borderId="62">
      <alignment horizontal="left"/>
      <protection locked="0"/>
    </xf>
    <xf numFmtId="165" fontId="250" fillId="72" borderId="62">
      <alignment horizontal="left"/>
      <protection locked="0"/>
    </xf>
    <xf numFmtId="287" fontId="250" fillId="72" borderId="62">
      <protection locked="0"/>
    </xf>
    <xf numFmtId="287" fontId="250" fillId="72" borderId="62">
      <protection locked="0"/>
    </xf>
    <xf numFmtId="0" fontId="250" fillId="72" borderId="62">
      <alignment horizontal="center"/>
      <protection locked="0"/>
    </xf>
    <xf numFmtId="0" fontId="250" fillId="72" borderId="62">
      <alignment horizontal="center"/>
      <protection locked="0"/>
    </xf>
    <xf numFmtId="197" fontId="38" fillId="73" borderId="12">
      <alignment vertical="center"/>
    </xf>
    <xf numFmtId="288" fontId="41" fillId="0" borderId="0"/>
    <xf numFmtId="288" fontId="41" fillId="0" borderId="0"/>
    <xf numFmtId="289" fontId="41" fillId="0" borderId="0"/>
    <xf numFmtId="289" fontId="41" fillId="0" borderId="0"/>
    <xf numFmtId="290" fontId="38" fillId="0" borderId="0" applyFont="0" applyFill="0" applyBorder="0" applyAlignment="0" applyProtection="0"/>
    <xf numFmtId="291" fontId="38" fillId="0" borderId="0" applyFont="0" applyFill="0" applyBorder="0" applyAlignment="0" applyProtection="0"/>
    <xf numFmtId="38" fontId="251" fillId="0" borderId="0"/>
    <xf numFmtId="38" fontId="252" fillId="0" borderId="0"/>
    <xf numFmtId="38" fontId="253" fillId="0" borderId="0"/>
    <xf numFmtId="38" fontId="254" fillId="0" borderId="0"/>
    <xf numFmtId="167" fontId="255" fillId="0" borderId="0"/>
    <xf numFmtId="167" fontId="255" fillId="0" borderId="0"/>
    <xf numFmtId="167" fontId="41" fillId="0" borderId="0">
      <alignment horizontal="left"/>
    </xf>
    <xf numFmtId="167" fontId="41" fillId="0" borderId="0">
      <alignment horizontal="left"/>
    </xf>
    <xf numFmtId="195" fontId="256" fillId="74" borderId="63" applyBorder="0" applyAlignment="0">
      <alignment horizontal="left" indent="1"/>
    </xf>
    <xf numFmtId="167" fontId="230" fillId="0" borderId="0" applyNumberFormat="0" applyFill="0" applyBorder="0" applyAlignment="0" applyProtection="0">
      <alignment vertical="top"/>
      <protection locked="0"/>
    </xf>
    <xf numFmtId="196" fontId="58" fillId="0" borderId="0" applyFill="0" applyBorder="0" applyAlignment="0" applyProtection="0"/>
    <xf numFmtId="197" fontId="257" fillId="0" borderId="40" applyNumberFormat="0" applyFill="0" applyBorder="0" applyAlignment="0" applyProtection="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5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0" fontId="259"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33"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9" fontId="104" fillId="0" borderId="0"/>
    <xf numFmtId="0" fontId="47" fillId="0" borderId="0"/>
    <xf numFmtId="167" fontId="100" fillId="0" borderId="0"/>
    <xf numFmtId="166" fontId="261" fillId="0" borderId="0"/>
    <xf numFmtId="0" fontId="38" fillId="0" borderId="0">
      <alignment horizontal="center"/>
    </xf>
    <xf numFmtId="200" fontId="262" fillId="0" borderId="65" applyFill="0" applyBorder="0">
      <alignment horizontal="left"/>
    </xf>
    <xf numFmtId="0" fontId="38" fillId="0" borderId="0" applyFont="0" applyFill="0" applyBorder="0" applyAlignment="0" applyProtection="0"/>
    <xf numFmtId="0" fontId="38" fillId="0" borderId="0" applyFont="0" applyFill="0" applyBorder="0" applyAlignment="0" applyProtection="0"/>
    <xf numFmtId="292" fontId="38" fillId="0" borderId="0" applyFont="0" applyFill="0" applyBorder="0" applyAlignment="0" applyProtection="0"/>
    <xf numFmtId="293" fontId="38" fillId="0" borderId="0" applyFont="0" applyFill="0" applyBorder="0" applyAlignment="0" applyProtection="0"/>
    <xf numFmtId="167" fontId="33" fillId="0" borderId="0" applyFont="0" applyFill="0" applyBorder="0" applyAlignment="0" applyProtection="0"/>
    <xf numFmtId="294" fontId="41" fillId="0" borderId="0" applyFont="0" applyFill="0" applyBorder="0" applyAlignment="0" applyProtection="0"/>
    <xf numFmtId="167" fontId="33" fillId="0" borderId="0" applyFont="0" applyFill="0" applyBorder="0" applyAlignment="0" applyProtection="0"/>
    <xf numFmtId="2" fontId="71" fillId="0" borderId="66" applyFont="0" applyFill="0" applyBorder="0" applyAlignment="0"/>
    <xf numFmtId="37" fontId="41" fillId="0" borderId="0" applyFont="0" applyFill="0" applyBorder="0" applyAlignment="0" applyProtection="0"/>
    <xf numFmtId="167" fontId="41" fillId="0" borderId="0" applyFont="0" applyFill="0" applyBorder="0" applyAlignment="0" applyProtection="0"/>
    <xf numFmtId="295" fontId="41" fillId="0" borderId="0" applyFont="0" applyFill="0" applyBorder="0" applyAlignment="0" applyProtection="0"/>
    <xf numFmtId="296" fontId="41" fillId="0" borderId="0" applyFont="0" applyFill="0" applyBorder="0" applyAlignment="0" applyProtection="0"/>
    <xf numFmtId="295"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7" fontId="38" fillId="0" borderId="0" applyFont="0" applyFill="0" applyBorder="0" applyAlignment="0" applyProtection="0"/>
    <xf numFmtId="298"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9" fontId="44" fillId="0" borderId="0" applyFont="0" applyFill="0" applyBorder="0" applyAlignment="0" applyProtection="0"/>
    <xf numFmtId="300" fontId="44" fillId="0" borderId="0" applyFont="0" applyFill="0" applyBorder="0" applyAlignment="0" applyProtection="0"/>
    <xf numFmtId="301" fontId="44" fillId="0" borderId="0" applyFont="0" applyFill="0" applyBorder="0" applyAlignment="0" applyProtection="0"/>
    <xf numFmtId="263" fontId="115" fillId="0" borderId="0" applyFont="0" applyFill="0" applyBorder="0" applyAlignment="0" applyProtection="0"/>
    <xf numFmtId="167" fontId="263" fillId="0" borderId="0">
      <alignment horizontal="left" vertical="center"/>
    </xf>
    <xf numFmtId="0" fontId="264"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0" borderId="0"/>
    <xf numFmtId="167" fontId="68" fillId="0" borderId="0"/>
    <xf numFmtId="167" fontId="33" fillId="0" borderId="0"/>
    <xf numFmtId="0" fontId="68" fillId="0" borderId="0"/>
    <xf numFmtId="37" fontId="266" fillId="0" borderId="0"/>
    <xf numFmtId="167" fontId="54" fillId="0" borderId="0"/>
    <xf numFmtId="1" fontId="267" fillId="0" borderId="0" applyProtection="0"/>
    <xf numFmtId="167" fontId="73" fillId="0" borderId="32"/>
    <xf numFmtId="167" fontId="73" fillId="0" borderId="32"/>
    <xf numFmtId="167" fontId="73" fillId="0" borderId="32"/>
    <xf numFmtId="167" fontId="33" fillId="0" borderId="0"/>
    <xf numFmtId="167" fontId="38" fillId="0" borderId="0"/>
    <xf numFmtId="167" fontId="268" fillId="0" borderId="0"/>
    <xf numFmtId="167" fontId="38" fillId="0" borderId="0"/>
    <xf numFmtId="302" fontId="41" fillId="0" borderId="0"/>
    <xf numFmtId="167" fontId="33" fillId="0" borderId="0"/>
    <xf numFmtId="0" fontId="268" fillId="0" borderId="0"/>
    <xf numFmtId="167" fontId="268" fillId="0" borderId="0"/>
    <xf numFmtId="167" fontId="154" fillId="0" borderId="0"/>
    <xf numFmtId="167" fontId="154"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41" fillId="0" borderId="0"/>
    <xf numFmtId="167" fontId="26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26"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0" fontId="41" fillId="0" borderId="0"/>
    <xf numFmtId="167"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4"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85" fillId="0" borderId="0"/>
    <xf numFmtId="167" fontId="6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167" fontId="41"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8"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85" fillId="0" borderId="0"/>
    <xf numFmtId="0" fontId="85" fillId="0" borderId="0"/>
    <xf numFmtId="0" fontId="85" fillId="0" borderId="0"/>
    <xf numFmtId="0" fontId="41" fillId="0" borderId="0"/>
    <xf numFmtId="0" fontId="85" fillId="0" borderId="0"/>
    <xf numFmtId="167" fontId="33" fillId="0" borderId="0"/>
    <xf numFmtId="167" fontId="41" fillId="0" borderId="0"/>
    <xf numFmtId="0" fontId="1" fillId="0" borderId="0"/>
    <xf numFmtId="0" fontId="85" fillId="0" borderId="0"/>
    <xf numFmtId="167" fontId="33" fillId="0" borderId="0"/>
    <xf numFmtId="167" fontId="41" fillId="0" borderId="0"/>
    <xf numFmtId="0" fontId="33"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227" fontId="270" fillId="0" borderId="0"/>
    <xf numFmtId="227" fontId="270" fillId="0" borderId="0"/>
    <xf numFmtId="227" fontId="270"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0"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0" fontId="8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41" fillId="0" borderId="0"/>
    <xf numFmtId="167" fontId="33" fillId="0" borderId="0"/>
    <xf numFmtId="167" fontId="41" fillId="0" borderId="0"/>
    <xf numFmtId="227" fontId="38" fillId="0" borderId="0"/>
    <xf numFmtId="227" fontId="270" fillId="0" borderId="0"/>
    <xf numFmtId="227" fontId="270" fillId="0" borderId="0"/>
    <xf numFmtId="227" fontId="270" fillId="0" borderId="0"/>
    <xf numFmtId="227" fontId="27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3" fillId="0" borderId="0"/>
    <xf numFmtId="167" fontId="33" fillId="0" borderId="0"/>
    <xf numFmtId="0" fontId="41" fillId="0" borderId="0" applyNumberFormat="0" applyFont="0" applyFill="0" applyBorder="0" applyAlignment="0" applyProtection="0"/>
    <xf numFmtId="0" fontId="101" fillId="0" borderId="0" applyProtection="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38" fillId="0" borderId="0"/>
    <xf numFmtId="227" fontId="38" fillId="0" borderId="0"/>
    <xf numFmtId="16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227" fontId="38" fillId="0" borderId="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1"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226" fillId="0" borderId="0" applyNumberFormat="0" applyFill="0" applyBorder="0" applyAlignment="0" applyProtection="0"/>
    <xf numFmtId="0" fontId="271" fillId="0" borderId="0" applyNumberFormat="0" applyFill="0" applyBorder="0" applyAlignment="0" applyProtection="0">
      <alignment vertical="top"/>
      <protection locked="0"/>
    </xf>
    <xf numFmtId="167" fontId="272" fillId="0" borderId="0"/>
    <xf numFmtId="167" fontId="41" fillId="0" borderId="0"/>
    <xf numFmtId="0" fontId="41" fillId="0" borderId="0"/>
    <xf numFmtId="167" fontId="85" fillId="0" borderId="0"/>
    <xf numFmtId="167" fontId="1" fillId="0" borderId="0"/>
    <xf numFmtId="167" fontId="85" fillId="0" borderId="0"/>
    <xf numFmtId="167" fontId="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41" fillId="0" borderId="0">
      <alignment vertical="center"/>
    </xf>
    <xf numFmtId="0" fontId="1" fillId="0" borderId="0"/>
    <xf numFmtId="167" fontId="1" fillId="0" borderId="0"/>
    <xf numFmtId="0" fontId="101" fillId="0" borderId="0" applyProtection="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0" fontId="226" fillId="0" borderId="0" applyNumberFormat="0" applyFill="0" applyBorder="0" applyAlignment="0" applyProtection="0"/>
    <xf numFmtId="227" fontId="41" fillId="0" borderId="0"/>
    <xf numFmtId="227" fontId="41" fillId="0" borderId="0"/>
    <xf numFmtId="167" fontId="41" fillId="0" borderId="0"/>
    <xf numFmtId="167" fontId="1" fillId="0" borderId="0"/>
    <xf numFmtId="167" fontId="41" fillId="0" borderId="0"/>
    <xf numFmtId="227" fontId="41" fillId="0" borderId="0"/>
    <xf numFmtId="0" fontId="101" fillId="0" borderId="0" applyProtection="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167" fontId="85" fillId="0" borderId="0"/>
    <xf numFmtId="167" fontId="84" fillId="0" borderId="0"/>
    <xf numFmtId="167" fontId="41" fillId="0" borderId="0"/>
    <xf numFmtId="167" fontId="84" fillId="0" borderId="0"/>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227" fontId="41" fillId="0" borderId="0"/>
    <xf numFmtId="167" fontId="85" fillId="0" borderId="0"/>
    <xf numFmtId="22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1" fillId="0" borderId="0"/>
    <xf numFmtId="167" fontId="83" fillId="0" borderId="0"/>
    <xf numFmtId="167" fontId="41" fillId="0" borderId="0"/>
    <xf numFmtId="167" fontId="85" fillId="0" borderId="0"/>
    <xf numFmtId="167" fontId="85" fillId="0" borderId="0"/>
    <xf numFmtId="167" fontId="85" fillId="0" borderId="0"/>
    <xf numFmtId="0" fontId="85" fillId="0" borderId="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33" fillId="0" borderId="0"/>
    <xf numFmtId="167" fontId="1"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2" fillId="0" borderId="0"/>
    <xf numFmtId="0" fontId="269" fillId="0" borderId="0"/>
    <xf numFmtId="167" fontId="1" fillId="0" borderId="0"/>
    <xf numFmtId="167" fontId="41" fillId="0" borderId="0"/>
    <xf numFmtId="167" fontId="38" fillId="0" borderId="0"/>
    <xf numFmtId="0" fontId="272"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3" fillId="0" borderId="0"/>
    <xf numFmtId="167" fontId="273" fillId="0" borderId="0"/>
    <xf numFmtId="167" fontId="273" fillId="0" borderId="0"/>
    <xf numFmtId="167" fontId="273" fillId="0" borderId="0"/>
    <xf numFmtId="0" fontId="121" fillId="0" borderId="0"/>
    <xf numFmtId="167" fontId="41" fillId="0" borderId="0"/>
    <xf numFmtId="167" fontId="121" fillId="0" borderId="0"/>
    <xf numFmtId="167" fontId="85" fillId="0" borderId="0"/>
    <xf numFmtId="167" fontId="85" fillId="0" borderId="0"/>
    <xf numFmtId="167" fontId="85" fillId="0" borderId="0"/>
    <xf numFmtId="167" fontId="85" fillId="0" borderId="0"/>
    <xf numFmtId="167" fontId="85" fillId="0" borderId="0"/>
    <xf numFmtId="167" fontId="273"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64" fillId="0" borderId="67"/>
    <xf numFmtId="167" fontId="274" fillId="0" borderId="0"/>
    <xf numFmtId="0" fontId="90" fillId="0" borderId="0"/>
    <xf numFmtId="167" fontId="90" fillId="0" borderId="0"/>
    <xf numFmtId="178" fontId="90" fillId="0" borderId="0"/>
    <xf numFmtId="167" fontId="275" fillId="0" borderId="0"/>
    <xf numFmtId="167" fontId="47" fillId="0" borderId="0"/>
    <xf numFmtId="167" fontId="276" fillId="0" borderId="0"/>
    <xf numFmtId="0" fontId="47" fillId="0" borderId="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33"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303" fontId="278" fillId="0" borderId="67"/>
    <xf numFmtId="303" fontId="279" fillId="0" borderId="67"/>
    <xf numFmtId="304" fontId="38" fillId="11" borderId="0"/>
    <xf numFmtId="305" fontId="280" fillId="0" borderId="0"/>
    <xf numFmtId="227" fontId="232" fillId="0" borderId="0" applyFont="0" applyFill="0" applyBorder="0" applyAlignment="0" applyProtection="0"/>
    <xf numFmtId="234" fontId="232" fillId="0" borderId="0" applyFont="0" applyFill="0" applyBorder="0" applyAlignment="0" applyProtection="0"/>
    <xf numFmtId="241" fontId="120" fillId="0" borderId="0" applyFill="0" applyBorder="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40" fontId="126" fillId="27" borderId="0">
      <alignment horizontal="right"/>
    </xf>
    <xf numFmtId="167" fontId="283" fillId="70" borderId="0">
      <alignment horizontal="center"/>
    </xf>
    <xf numFmtId="167" fontId="284" fillId="75" borderId="0"/>
    <xf numFmtId="167" fontId="285" fillId="27" borderId="0" applyBorder="0">
      <alignment horizontal="centerContinuous"/>
    </xf>
    <xf numFmtId="167" fontId="286" fillId="75" borderId="0" applyBorder="0">
      <alignment horizontal="centerContinuous"/>
    </xf>
    <xf numFmtId="167" fontId="209" fillId="0" borderId="0" applyNumberFormat="0" applyFill="0" applyBorder="0" applyAlignment="0" applyProtection="0"/>
    <xf numFmtId="178" fontId="103" fillId="0" borderId="0">
      <alignment vertical="center"/>
    </xf>
    <xf numFmtId="167" fontId="287" fillId="0" borderId="0"/>
    <xf numFmtId="167" fontId="287" fillId="0" borderId="0"/>
    <xf numFmtId="167" fontId="287" fillId="0" borderId="0"/>
    <xf numFmtId="1" fontId="288" fillId="0" borderId="0" applyProtection="0">
      <alignment horizontal="right" vertical="center"/>
    </xf>
    <xf numFmtId="167" fontId="289" fillId="11" borderId="0"/>
    <xf numFmtId="200" fontId="290" fillId="0" borderId="35">
      <alignment vertical="center"/>
    </xf>
    <xf numFmtId="306" fontId="38" fillId="0" borderId="0" applyFont="0" applyFill="0" applyBorder="0" applyAlignment="0" applyProtection="0"/>
    <xf numFmtId="307" fontId="38"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219" fontId="127"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92" fontId="127" fillId="0" borderId="0" applyFont="0" applyFill="0" applyBorder="0" applyAlignment="0" applyProtection="0"/>
    <xf numFmtId="311" fontId="41" fillId="0" borderId="0" applyFont="0" applyFill="0" applyBorder="0" applyAlignment="0" applyProtection="0"/>
    <xf numFmtId="311" fontId="41" fillId="0" borderId="0" applyFont="0" applyFill="0" applyBorder="0" applyAlignment="0" applyProtection="0"/>
    <xf numFmtId="312" fontId="41" fillId="0" borderId="0" applyFont="0" applyFill="0" applyBorder="0" applyAlignment="0" applyProtection="0"/>
    <xf numFmtId="312" fontId="41" fillId="0" borderId="0" applyFont="0" applyFill="0" applyBorder="0" applyAlignment="0" applyProtection="0"/>
    <xf numFmtId="166" fontId="6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41" fillId="0" borderId="0" applyFill="0" applyBorder="0" applyAlignment="0" applyProtection="0"/>
    <xf numFmtId="9" fontId="68" fillId="0" borderId="0" applyFont="0" applyFill="0" applyBorder="0" applyAlignment="0" applyProtection="0"/>
    <xf numFmtId="167" fontId="72" fillId="0" borderId="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19" fontId="121" fillId="44" borderId="70"/>
    <xf numFmtId="320" fontId="121" fillId="0" borderId="70" applyFont="0" applyFill="0" applyBorder="0" applyAlignment="0" applyProtection="0">
      <protection locked="0"/>
    </xf>
    <xf numFmtId="167" fontId="64" fillId="0" borderId="0"/>
    <xf numFmtId="167" fontId="64" fillId="0" borderId="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120" fillId="0" borderId="34" applyFill="0" applyBorder="0"/>
    <xf numFmtId="182" fontId="120" fillId="0" borderId="0" applyFill="0" applyBorder="0"/>
    <xf numFmtId="234" fontId="120" fillId="0" borderId="0" applyFill="0" applyBorder="0"/>
    <xf numFmtId="321" fontId="47" fillId="0" borderId="0"/>
    <xf numFmtId="322" fontId="47" fillId="0" borderId="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91"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3" fontId="33" fillId="0" borderId="0"/>
    <xf numFmtId="3" fontId="193" fillId="0" borderId="0"/>
    <xf numFmtId="3" fontId="194" fillId="0" borderId="0"/>
    <xf numFmtId="3" fontId="193" fillId="0" borderId="0"/>
    <xf numFmtId="3" fontId="193" fillId="0" borderId="0"/>
    <xf numFmtId="3" fontId="193" fillId="0" borderId="0"/>
    <xf numFmtId="3" fontId="33" fillId="0" borderId="0"/>
    <xf numFmtId="3" fontId="193" fillId="0" borderId="0"/>
    <xf numFmtId="167" fontId="287" fillId="0" borderId="0"/>
    <xf numFmtId="167" fontId="287" fillId="0" borderId="0"/>
    <xf numFmtId="167" fontId="287" fillId="0" borderId="0"/>
    <xf numFmtId="167" fontId="292" fillId="0" borderId="0" applyNumberFormat="0" applyFill="0" applyBorder="0" applyAlignment="0" applyProtection="0">
      <alignment horizontal="left"/>
      <protection locked="0"/>
    </xf>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278" fillId="0" borderId="0"/>
    <xf numFmtId="167" fontId="293" fillId="0" borderId="0"/>
    <xf numFmtId="167" fontId="294" fillId="0" borderId="0"/>
    <xf numFmtId="167" fontId="279" fillId="0" borderId="0"/>
    <xf numFmtId="323" fontId="71" fillId="0" borderId="0" applyNumberFormat="0" applyFill="0" applyBorder="0" applyAlignment="0" applyProtection="0">
      <alignment horizontal="left"/>
    </xf>
    <xf numFmtId="324" fontId="72" fillId="0" borderId="0"/>
    <xf numFmtId="3" fontId="55" fillId="0" borderId="0" applyFont="0" applyFill="0" applyBorder="0" applyAlignment="0"/>
    <xf numFmtId="167" fontId="33" fillId="0" borderId="0">
      <alignment horizontal="right"/>
    </xf>
    <xf numFmtId="166" fontId="295" fillId="0" borderId="0">
      <alignment horizontal="right"/>
    </xf>
    <xf numFmtId="167" fontId="33" fillId="0" borderId="0">
      <alignment horizontal="right"/>
    </xf>
    <xf numFmtId="166" fontId="296" fillId="0" borderId="0">
      <alignment horizontal="right"/>
    </xf>
    <xf numFmtId="178" fontId="297" fillId="0" borderId="0"/>
    <xf numFmtId="178" fontId="297" fillId="0" borderId="71">
      <alignment horizontal="centerContinuous"/>
    </xf>
    <xf numFmtId="167" fontId="298" fillId="0" borderId="72">
      <alignment vertical="center"/>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167" fontId="299" fillId="0" borderId="0">
      <alignment horizontal="left" vertical="top" wrapText="1"/>
    </xf>
    <xf numFmtId="167" fontId="33" fillId="0" borderId="0"/>
    <xf numFmtId="167" fontId="300" fillId="0" borderId="0"/>
    <xf numFmtId="167" fontId="33" fillId="0" borderId="0"/>
    <xf numFmtId="0" fontId="301" fillId="0" borderId="0"/>
    <xf numFmtId="167" fontId="72" fillId="0" borderId="23"/>
    <xf numFmtId="167" fontId="33" fillId="0" borderId="0">
      <alignment horizontal="right"/>
    </xf>
    <xf numFmtId="326" fontId="58" fillId="0" borderId="0">
      <alignment horizontal="right"/>
    </xf>
    <xf numFmtId="167" fontId="33" fillId="0" borderId="0">
      <alignment horizontal="right"/>
    </xf>
    <xf numFmtId="327" fontId="302" fillId="0" borderId="0">
      <alignment horizontal="right"/>
    </xf>
    <xf numFmtId="167" fontId="33" fillId="0" borderId="0">
      <alignment horizontal="right"/>
    </xf>
    <xf numFmtId="328" fontId="295" fillId="0" borderId="0">
      <alignment horizontal="right"/>
    </xf>
    <xf numFmtId="167" fontId="33" fillId="0" borderId="0">
      <alignment horizontal="right"/>
    </xf>
    <xf numFmtId="329" fontId="296" fillId="0" borderId="0">
      <alignment horizontal="right"/>
    </xf>
    <xf numFmtId="167" fontId="64" fillId="78" borderId="0" applyFont="0"/>
    <xf numFmtId="167" fontId="303" fillId="0" borderId="0" applyNumberFormat="0" applyFill="0" applyBorder="0" applyAlignment="0" applyProtection="0"/>
    <xf numFmtId="167" fontId="33" fillId="0" borderId="67"/>
    <xf numFmtId="167" fontId="196" fillId="0" borderId="67"/>
    <xf numFmtId="167" fontId="33" fillId="0" borderId="67"/>
    <xf numFmtId="0" fontId="196" fillId="0" borderId="67"/>
    <xf numFmtId="167" fontId="33" fillId="0" borderId="0">
      <alignment horizontal="right"/>
    </xf>
    <xf numFmtId="166" fontId="304" fillId="0" borderId="0">
      <alignment horizontal="right"/>
    </xf>
    <xf numFmtId="166" fontId="305" fillId="0" borderId="0">
      <alignment horizontal="right"/>
    </xf>
    <xf numFmtId="166" fontId="304" fillId="0" borderId="0">
      <alignment horizontal="right"/>
    </xf>
    <xf numFmtId="166" fontId="304" fillId="0" borderId="0">
      <alignment horizontal="right"/>
    </xf>
    <xf numFmtId="166" fontId="304" fillId="0" borderId="0">
      <alignment horizontal="right"/>
    </xf>
    <xf numFmtId="167" fontId="33" fillId="0" borderId="0">
      <alignment horizontal="right"/>
    </xf>
    <xf numFmtId="166" fontId="304" fillId="0" borderId="0">
      <alignment horizontal="right"/>
    </xf>
    <xf numFmtId="167" fontId="116" fillId="0" borderId="0" applyFill="0" applyBorder="0" applyAlignment="0" applyProtection="0"/>
    <xf numFmtId="167" fontId="90" fillId="0" borderId="0" applyNumberFormat="0" applyFill="0" applyBorder="0" applyAlignment="0" applyProtection="0">
      <alignment horizontal="center"/>
    </xf>
    <xf numFmtId="167" fontId="33" fillId="0" borderId="0"/>
    <xf numFmtId="167" fontId="302" fillId="0" borderId="0"/>
    <xf numFmtId="167" fontId="302" fillId="0" borderId="0"/>
    <xf numFmtId="167" fontId="58"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3" fillId="0" borderId="0"/>
    <xf numFmtId="0" fontId="302" fillId="0" borderId="0"/>
    <xf numFmtId="167" fontId="302" fillId="0" borderId="0"/>
    <xf numFmtId="167" fontId="33" fillId="0" borderId="0">
      <alignment horizontal="right"/>
    </xf>
    <xf numFmtId="166" fontId="306" fillId="0" borderId="0">
      <alignment horizontal="right"/>
    </xf>
    <xf numFmtId="166" fontId="307" fillId="0" borderId="0">
      <alignment horizontal="right"/>
    </xf>
    <xf numFmtId="166" fontId="306" fillId="0" borderId="0">
      <alignment horizontal="right"/>
    </xf>
    <xf numFmtId="166" fontId="306" fillId="0" borderId="0">
      <alignment horizontal="right"/>
    </xf>
    <xf numFmtId="166" fontId="306" fillId="0" borderId="0">
      <alignment horizontal="right"/>
    </xf>
    <xf numFmtId="167" fontId="33" fillId="0" borderId="0">
      <alignment horizontal="right"/>
    </xf>
    <xf numFmtId="166" fontId="306" fillId="0" borderId="0">
      <alignment horizontal="right"/>
    </xf>
    <xf numFmtId="178" fontId="308" fillId="0" borderId="71"/>
    <xf numFmtId="330" fontId="309" fillId="0" borderId="12">
      <alignment horizontal="left" vertical="center"/>
      <protection locked="0"/>
    </xf>
    <xf numFmtId="167" fontId="85" fillId="0" borderId="0"/>
    <xf numFmtId="167" fontId="38" fillId="0" borderId="0"/>
    <xf numFmtId="167" fontId="38" fillId="0" borderId="0"/>
    <xf numFmtId="167" fontId="38"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38"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167" fontId="310" fillId="0" borderId="0"/>
    <xf numFmtId="167" fontId="33" fillId="0" borderId="0"/>
    <xf numFmtId="0" fontId="311" fillId="0" borderId="0"/>
    <xf numFmtId="167" fontId="33" fillId="0" borderId="0">
      <alignment horizontal="right"/>
    </xf>
    <xf numFmtId="327" fontId="302" fillId="0" borderId="0">
      <alignment horizontal="right"/>
    </xf>
    <xf numFmtId="327" fontId="302" fillId="0" borderId="0">
      <alignment horizontal="right"/>
    </xf>
    <xf numFmtId="326" fontId="58"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167" fontId="33" fillId="0" borderId="0">
      <alignment horizontal="right"/>
    </xf>
    <xf numFmtId="327" fontId="302" fillId="0" borderId="0">
      <alignment horizontal="right"/>
    </xf>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312" fillId="0" borderId="0"/>
    <xf numFmtId="167" fontId="54" fillId="0" borderId="0"/>
    <xf numFmtId="167" fontId="54" fillId="0" borderId="0"/>
    <xf numFmtId="167" fontId="54" fillId="0" borderId="0"/>
    <xf numFmtId="0" fontId="312" fillId="0" borderId="0"/>
    <xf numFmtId="167" fontId="313" fillId="0" borderId="0"/>
    <xf numFmtId="167" fontId="314" fillId="0" borderId="0"/>
    <xf numFmtId="40" fontId="315" fillId="0" borderId="0" applyBorder="0">
      <alignment horizontal="right"/>
    </xf>
    <xf numFmtId="167" fontId="33" fillId="0" borderId="0">
      <alignment horizontal="right"/>
    </xf>
    <xf numFmtId="331" fontId="58" fillId="0" borderId="0">
      <alignment horizontal="right"/>
    </xf>
    <xf numFmtId="167" fontId="33" fillId="0" borderId="0">
      <alignment horizontal="right"/>
    </xf>
    <xf numFmtId="332" fontId="302" fillId="0" borderId="0">
      <alignment horizontal="right"/>
    </xf>
    <xf numFmtId="167" fontId="316" fillId="0" borderId="0" applyBorder="0" applyProtection="0">
      <alignment vertical="center"/>
    </xf>
    <xf numFmtId="167" fontId="316" fillId="0" borderId="74" applyBorder="0" applyProtection="0">
      <alignment horizontal="right" vertical="center"/>
    </xf>
    <xf numFmtId="167" fontId="317" fillId="79" borderId="0" applyBorder="0" applyProtection="0">
      <alignment horizontal="centerContinuous" vertical="center"/>
    </xf>
    <xf numFmtId="167" fontId="317" fillId="80" borderId="74" applyBorder="0" applyProtection="0">
      <alignment horizontal="centerContinuous" vertical="center"/>
    </xf>
    <xf numFmtId="167" fontId="306" fillId="0" borderId="0"/>
    <xf numFmtId="167" fontId="105" fillId="0" borderId="74" applyAlignment="0"/>
    <xf numFmtId="167" fontId="275" fillId="0" borderId="0"/>
    <xf numFmtId="167" fontId="318" fillId="0" borderId="0" applyFill="0" applyBorder="0" applyProtection="0">
      <alignment horizontal="left"/>
    </xf>
    <xf numFmtId="167" fontId="195" fillId="0" borderId="34" applyFill="0" applyBorder="0" applyProtection="0">
      <alignment horizontal="left" vertical="top"/>
    </xf>
    <xf numFmtId="167" fontId="319" fillId="0" borderId="0">
      <alignment horizontal="centerContinuous"/>
    </xf>
    <xf numFmtId="0" fontId="12" fillId="6" borderId="22"/>
    <xf numFmtId="49" fontId="320" fillId="0" borderId="35">
      <alignment vertical="center"/>
    </xf>
    <xf numFmtId="49" fontId="41" fillId="0" borderId="0" applyFont="0" applyFill="0" applyBorder="0" applyAlignment="0" applyProtection="0"/>
    <xf numFmtId="167" fontId="321" fillId="0" borderId="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167" fontId="322" fillId="0" borderId="0"/>
    <xf numFmtId="49" fontId="126" fillId="0" borderId="0" applyFill="0" applyBorder="0" applyAlignment="0"/>
    <xf numFmtId="333" fontId="127" fillId="0" borderId="0" applyFill="0" applyBorder="0" applyAlignment="0"/>
    <xf numFmtId="277" fontId="126" fillId="0" borderId="0" applyFill="0" applyBorder="0" applyAlignment="0"/>
    <xf numFmtId="334" fontId="41" fillId="0" borderId="0" applyFill="0" applyBorder="0" applyAlignment="0"/>
    <xf numFmtId="334" fontId="41" fillId="0" borderId="0" applyFill="0" applyBorder="0" applyAlignment="0"/>
    <xf numFmtId="335" fontId="127" fillId="0" borderId="0" applyFill="0" applyBorder="0" applyAlignment="0"/>
    <xf numFmtId="336" fontId="126" fillId="0" borderId="0" applyFill="0" applyBorder="0" applyAlignment="0"/>
    <xf numFmtId="337" fontId="41" fillId="0" borderId="0" applyFill="0" applyBorder="0" applyAlignment="0"/>
    <xf numFmtId="337" fontId="41" fillId="0" borderId="0" applyFill="0" applyBorder="0" applyAlignment="0"/>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33" fillId="0" borderId="0" applyFont="0" applyFill="0" applyBorder="0" applyAlignment="0" applyProtection="0"/>
    <xf numFmtId="338" fontId="41" fillId="0" borderId="0" applyFont="0" applyFill="0" applyBorder="0" applyAlignment="0" applyProtection="0"/>
    <xf numFmtId="167" fontId="33" fillId="0" borderId="0" applyFont="0" applyFill="0" applyBorder="0" applyAlignment="0" applyProtection="0"/>
    <xf numFmtId="167" fontId="323" fillId="0" borderId="0" applyFill="0" applyBorder="0" applyProtection="0">
      <alignment horizontal="left" vertical="top"/>
    </xf>
    <xf numFmtId="200" fontId="131" fillId="0" borderId="0" applyNumberFormat="0" applyFill="0" applyBorder="0"/>
    <xf numFmtId="167" fontId="68" fillId="0" borderId="0" applyNumberFormat="0" applyFill="0" applyBorder="0" applyAlignment="0" applyProtection="0"/>
    <xf numFmtId="167" fontId="115" fillId="0" borderId="0" applyNumberFormat="0" applyFill="0" applyBorder="0" applyAlignment="0" applyProtection="0"/>
    <xf numFmtId="3" fontId="324" fillId="0" borderId="0" applyNumberFormat="0" applyFont="0" applyFill="0" applyBorder="0" applyAlignment="0"/>
    <xf numFmtId="0"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6"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0" fontId="326" fillId="0" borderId="0" applyNumberFormat="0" applyFill="0" applyBorder="0" applyAlignment="0" applyProtection="0"/>
    <xf numFmtId="167" fontId="327" fillId="0" borderId="0" applyNumberFormat="0" applyFill="0" applyBorder="0" applyAlignment="0" applyProtection="0"/>
    <xf numFmtId="167" fontId="33"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7"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260" fontId="291" fillId="0" borderId="0" applyNumberFormat="0" applyFill="0" applyBorder="0" applyAlignment="0" applyProtection="0"/>
    <xf numFmtId="167" fontId="33" fillId="0" borderId="0"/>
    <xf numFmtId="339" fontId="193" fillId="0" borderId="0"/>
    <xf numFmtId="339" fontId="194" fillId="0" borderId="0"/>
    <xf numFmtId="167" fontId="33" fillId="0" borderId="0"/>
    <xf numFmtId="0" fontId="328" fillId="0" borderId="75" applyNumberForma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3"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126" fillId="0" borderId="76" applyNumberFormat="0" applyFont="0" applyFill="0" applyAlignment="0" applyProtection="0"/>
    <xf numFmtId="167" fontId="239" fillId="0" borderId="0">
      <alignment horizontal="fill"/>
    </xf>
    <xf numFmtId="167" fontId="329" fillId="0" borderId="0">
      <alignment vertical="top"/>
    </xf>
    <xf numFmtId="167" fontId="330" fillId="0" borderId="0"/>
    <xf numFmtId="167" fontId="330" fillId="0" borderId="0"/>
    <xf numFmtId="167" fontId="330" fillId="0" borderId="0"/>
    <xf numFmtId="340" fontId="38" fillId="0" borderId="0" applyFont="0" applyFill="0" applyBorder="0" applyAlignment="0" applyProtection="0"/>
    <xf numFmtId="341" fontId="38" fillId="0" borderId="0" applyFont="0" applyFill="0" applyBorder="0" applyAlignment="0" applyProtection="0"/>
    <xf numFmtId="167" fontId="330" fillId="0" borderId="0"/>
    <xf numFmtId="167" fontId="330" fillId="0" borderId="0"/>
    <xf numFmtId="167" fontId="330" fillId="0" borderId="0"/>
    <xf numFmtId="193" fontId="38" fillId="0" borderId="0" applyFont="0" applyFill="0" applyBorder="0" applyAlignment="0" applyProtection="0"/>
    <xf numFmtId="194" fontId="38" fillId="0" borderId="0" applyFont="0" applyFill="0" applyBorder="0" applyAlignment="0" applyProtection="0"/>
    <xf numFmtId="244" fontId="73" fillId="0" borderId="0" applyFont="0" applyFill="0" applyBorder="0" applyAlignment="0" applyProtection="0"/>
    <xf numFmtId="342" fontId="73" fillId="0" borderId="0" applyFont="0" applyFill="0" applyBorder="0" applyAlignment="0" applyProtection="0"/>
    <xf numFmtId="0" fontId="331"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41" fillId="31" borderId="0" applyNumberFormat="0" applyBorder="0" applyAlignment="0" applyProtection="0"/>
    <xf numFmtId="343" fontId="38"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7" fontId="38"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167" fontId="333" fillId="0" borderId="35" applyBorder="0" applyProtection="0">
      <alignment horizontal="right"/>
    </xf>
    <xf numFmtId="351" fontId="160" fillId="0" borderId="52" applyFont="0" applyFill="0" applyBorder="0" applyAlignment="0">
      <alignment horizontal="centerContinuous"/>
    </xf>
    <xf numFmtId="352" fontId="334" fillId="0" borderId="52" applyFont="0" applyFill="0" applyBorder="0" applyAlignment="0">
      <alignment horizontal="centerContinuous"/>
    </xf>
    <xf numFmtId="1" fontId="335" fillId="0" borderId="0" applyFill="0" applyProtection="0">
      <alignment horizontal="right"/>
    </xf>
    <xf numFmtId="353" fontId="116" fillId="0" borderId="0" applyFont="0" applyFill="0" applyBorder="0" applyAlignment="0" applyProtection="0"/>
    <xf numFmtId="354" fontId="41" fillId="0" borderId="0" applyFont="0" applyFill="0" applyBorder="0" applyAlignment="0" applyProtection="0"/>
    <xf numFmtId="167" fontId="33"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200" fontId="55" fillId="0" borderId="37">
      <protection locked="0"/>
    </xf>
    <xf numFmtId="200" fontId="55" fillId="0" borderId="37">
      <protection locked="0"/>
    </xf>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3" fontId="337" fillId="0" borderId="0">
      <alignment horizontal="center" vertical="center" textRotation="90" wrapText="1"/>
    </xf>
    <xf numFmtId="3" fontId="337" fillId="0" borderId="0">
      <alignment horizontal="center" vertical="center" textRotation="90" wrapText="1"/>
    </xf>
    <xf numFmtId="3" fontId="337" fillId="0" borderId="0">
      <alignment horizontal="center" vertical="center" textRotation="90" wrapText="1"/>
    </xf>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0"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39" applyNumberFormat="0" applyAlignment="0" applyProtection="0"/>
    <xf numFmtId="0"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339" fillId="0" borderId="0" applyNumberFormat="0" applyFill="0" applyBorder="0" applyAlignment="0" applyProtection="0"/>
    <xf numFmtId="0" fontId="340" fillId="0" borderId="0" applyNumberFormat="0" applyFill="0" applyBorder="0" applyAlignment="0" applyProtection="0"/>
    <xf numFmtId="167" fontId="341" fillId="0" borderId="0" applyNumberFormat="0" applyFill="0" applyBorder="0" applyAlignment="0" applyProtection="0">
      <alignment vertical="top"/>
      <protection locked="0"/>
    </xf>
    <xf numFmtId="0" fontId="101" fillId="0" borderId="0"/>
    <xf numFmtId="167" fontId="96" fillId="0" borderId="0" applyNumberFormat="0" applyFill="0" applyBorder="0" applyAlignment="0" applyProtection="0">
      <alignment vertical="top"/>
      <protection locked="0"/>
    </xf>
    <xf numFmtId="0" fontId="340" fillId="0" borderId="0" applyNumberFormat="0" applyFill="0" applyBorder="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229" fillId="0" borderId="0" applyNumberFormat="0" applyFill="0" applyBorder="0" applyAlignment="0" applyProtection="0"/>
    <xf numFmtId="0" fontId="271" fillId="0" borderId="0" applyNumberFormat="0" applyFill="0" applyBorder="0" applyAlignment="0" applyProtection="0">
      <alignment vertical="top"/>
      <protection locked="0"/>
    </xf>
    <xf numFmtId="167" fontId="341" fillId="0" borderId="0" applyNumberFormat="0" applyFill="0" applyBorder="0" applyAlignment="0" applyProtection="0">
      <alignment vertical="top"/>
      <protection locked="0"/>
    </xf>
    <xf numFmtId="0" fontId="339" fillId="0" borderId="0" applyNumberFormat="0" applyFill="0" applyBorder="0" applyAlignment="0" applyProtection="0"/>
    <xf numFmtId="167" fontId="341"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160" fillId="7" borderId="41"/>
    <xf numFmtId="167" fontId="49" fillId="0" borderId="40" applyNumberFormat="0" applyFill="0" applyBorder="0" applyProtection="0">
      <alignment horizontal="right" vertical="center"/>
    </xf>
    <xf numFmtId="0" fontId="226" fillId="0" borderId="0" applyNumberFormat="0" applyFill="0" applyBorder="0" applyAlignment="0" applyProtection="0"/>
    <xf numFmtId="0" fontId="226" fillId="0" borderId="0" applyNumberFormat="0" applyFill="0" applyBorder="0" applyAlignment="0" applyProtection="0"/>
    <xf numFmtId="14" fontId="55" fillId="0" borderId="0">
      <alignment horizontal="right"/>
    </xf>
    <xf numFmtId="194" fontId="85"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3"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39" fontId="38" fillId="0" borderId="0" applyFont="0" applyFill="0" applyBorder="0" applyAlignment="0" applyProtection="0"/>
    <xf numFmtId="356" fontId="38" fillId="0" borderId="0" applyFont="0" applyFill="0" applyBorder="0" applyAlignment="0" applyProtection="0"/>
    <xf numFmtId="222" fontId="85" fillId="0" borderId="0" applyFont="0" applyFill="0" applyBorder="0" applyAlignment="0" applyProtection="0"/>
    <xf numFmtId="356" fontId="38" fillId="0" borderId="0" applyFont="0" applyFill="0" applyBorder="0" applyAlignment="0" applyProtection="0"/>
    <xf numFmtId="194" fontId="84"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182" fontId="33" fillId="0" borderId="0" applyFont="0" applyFill="0" applyBorder="0" applyAlignment="0" applyProtection="0"/>
    <xf numFmtId="165" fontId="38" fillId="0" borderId="0" applyFont="0" applyFill="0" applyBorder="0" applyAlignment="0" applyProtection="0"/>
    <xf numFmtId="229" fontId="38" fillId="0" borderId="0" applyFont="0" applyFill="0" applyBorder="0" applyAlignment="0" applyProtection="0"/>
    <xf numFmtId="240" fontId="83"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357" fontId="38" fillId="0" borderId="0" applyFont="0" applyFill="0" applyBorder="0" applyAlignment="0" applyProtection="0"/>
    <xf numFmtId="194" fontId="33" fillId="0" borderId="0" applyFont="0" applyFill="0" applyBorder="0" applyAlignment="0" applyProtection="0"/>
    <xf numFmtId="0" fontId="342" fillId="0" borderId="0" applyBorder="0">
      <alignment horizontal="center" vertical="center" wrapText="1"/>
    </xf>
    <xf numFmtId="0" fontId="210"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43" fillId="0" borderId="7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3" fillId="0" borderId="57" applyNumberFormat="0" applyFill="0" applyAlignment="0" applyProtection="0"/>
    <xf numFmtId="0" fontId="210" fillId="0" borderId="57" applyNumberFormat="0" applyFill="0" applyAlignment="0" applyProtection="0"/>
    <xf numFmtId="0" fontId="215"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44" fillId="0" borderId="7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3" fillId="0" borderId="58" applyNumberFormat="0" applyFill="0" applyAlignment="0" applyProtection="0"/>
    <xf numFmtId="0" fontId="215" fillId="0" borderId="58" applyNumberFormat="0" applyFill="0" applyAlignment="0" applyProtection="0"/>
    <xf numFmtId="0" fontId="220"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45" fillId="0" borderId="7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3" fillId="0" borderId="59" applyNumberFormat="0" applyFill="0" applyAlignment="0" applyProtection="0"/>
    <xf numFmtId="0" fontId="220" fillId="0" borderId="59" applyNumberFormat="0" applyFill="0" applyAlignment="0" applyProtection="0"/>
    <xf numFmtId="0"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45"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3" fillId="0" borderId="0" applyNumberFormat="0" applyFill="0" applyBorder="0" applyAlignment="0" applyProtection="0"/>
    <xf numFmtId="0" fontId="220" fillId="0" borderId="0" applyNumberFormat="0" applyFill="0" applyBorder="0" applyAlignment="0" applyProtection="0"/>
    <xf numFmtId="0" fontId="346" fillId="0" borderId="0" applyNumberFormat="0" applyFill="0" applyBorder="0" applyAlignment="0" applyProtection="0"/>
    <xf numFmtId="0" fontId="75" fillId="0" borderId="0" applyNumberFormat="0" applyFill="0" applyBorder="0" applyAlignment="0" applyProtection="0"/>
    <xf numFmtId="0" fontId="347" fillId="0" borderId="80" applyBorder="0">
      <alignment horizontal="center" vertical="center" wrapText="1"/>
    </xf>
    <xf numFmtId="200" fontId="152" fillId="52" borderId="37"/>
    <xf numFmtId="200" fontId="152" fillId="52" borderId="37"/>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0"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226" fillId="0" borderId="33" applyNumberFormat="0" applyFill="0" applyAlignment="0" applyProtection="0"/>
    <xf numFmtId="0" fontId="226" fillId="0" borderId="33" applyNumberFormat="0" applyFill="0" applyAlignment="0" applyProtection="0"/>
    <xf numFmtId="167" fontId="38" fillId="0" borderId="0"/>
    <xf numFmtId="167" fontId="33" fillId="57" borderId="42" applyNumberFormat="0" applyAlignment="0" applyProtection="0"/>
    <xf numFmtId="0" fontId="134" fillId="57" borderId="42" applyNumberFormat="0" applyAlignment="0" applyProtection="0"/>
    <xf numFmtId="0" fontId="134" fillId="57" borderId="4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57" borderId="42" applyNumberFormat="0" applyAlignment="0" applyProtection="0"/>
    <xf numFmtId="167" fontId="134" fillId="38" borderId="82" applyNumberFormat="0" applyAlignment="0" applyProtection="0"/>
    <xf numFmtId="0" fontId="3" fillId="3" borderId="5" applyNumberFormat="0" applyAlignment="0" applyProtection="0"/>
    <xf numFmtId="167" fontId="134" fillId="38" borderId="82" applyNumberFormat="0" applyAlignment="0" applyProtection="0"/>
    <xf numFmtId="167" fontId="134" fillId="57" borderId="42" applyNumberFormat="0" applyAlignment="0" applyProtection="0"/>
    <xf numFmtId="167" fontId="134" fillId="57" borderId="42" applyNumberFormat="0" applyAlignment="0" applyProtection="0"/>
    <xf numFmtId="167" fontId="134"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75" fillId="0" borderId="0">
      <alignment horizontal="center" vertical="top" wrapText="1"/>
    </xf>
    <xf numFmtId="0" fontId="225" fillId="0" borderId="0">
      <alignment horizontal="centerContinuous" vertical="center" wrapText="1"/>
    </xf>
    <xf numFmtId="164" fontId="348" fillId="8" borderId="12">
      <alignment wrapText="1"/>
    </xf>
    <xf numFmtId="164" fontId="348" fillId="8" borderId="12">
      <alignment wrapText="1"/>
    </xf>
    <xf numFmtId="164" fontId="348" fillId="8" borderId="12">
      <alignment wrapText="1"/>
    </xf>
    <xf numFmtId="164" fontId="348" fillId="8" borderId="12">
      <alignment wrapText="1"/>
    </xf>
    <xf numFmtId="0" fontId="325"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49"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3" fillId="0" borderId="0" applyNumberFormat="0" applyFill="0" applyBorder="0" applyAlignment="0" applyProtection="0"/>
    <xf numFmtId="0" fontId="325" fillId="0" borderId="0" applyNumberFormat="0" applyFill="0" applyBorder="0" applyAlignment="0" applyProtection="0"/>
    <xf numFmtId="358" fontId="350" fillId="0" borderId="0"/>
    <xf numFmtId="167" fontId="199" fillId="11" borderId="0" applyFill="0"/>
    <xf numFmtId="0"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51" fillId="34"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3" fillId="9" borderId="0" applyNumberFormat="0" applyBorder="0" applyAlignment="0" applyProtection="0"/>
    <xf numFmtId="0" fontId="264" fillId="9" borderId="0" applyNumberFormat="0" applyBorder="0" applyAlignment="0" applyProtection="0"/>
    <xf numFmtId="49" fontId="277" fillId="0" borderId="0" applyBorder="0">
      <alignment vertical="top"/>
    </xf>
    <xf numFmtId="0" fontId="1" fillId="0" borderId="0"/>
    <xf numFmtId="0" fontId="1" fillId="0" borderId="0"/>
    <xf numFmtId="0" fontId="101" fillId="0" borderId="0" applyProtection="0"/>
    <xf numFmtId="167" fontId="1" fillId="0" borderId="0"/>
    <xf numFmtId="0" fontId="38" fillId="0" borderId="0"/>
    <xf numFmtId="167" fontId="85" fillId="0" borderId="0"/>
    <xf numFmtId="167" fontId="85" fillId="0" borderId="0"/>
    <xf numFmtId="167" fontId="83" fillId="0" borderId="0"/>
    <xf numFmtId="167" fontId="83" fillId="0" borderId="0"/>
    <xf numFmtId="167" fontId="83" fillId="0" borderId="0"/>
    <xf numFmtId="0" fontId="1" fillId="0" borderId="0"/>
    <xf numFmtId="167" fontId="83" fillId="0" borderId="0"/>
    <xf numFmtId="0" fontId="1" fillId="0" borderId="0"/>
    <xf numFmtId="167" fontId="83" fillId="0" borderId="0"/>
    <xf numFmtId="167" fontId="83" fillId="0" borderId="0"/>
    <xf numFmtId="167" fontId="83" fillId="0" borderId="0"/>
    <xf numFmtId="167" fontId="83" fillId="0" borderId="0"/>
    <xf numFmtId="167" fontId="83" fillId="0" borderId="0"/>
    <xf numFmtId="0" fontId="352" fillId="0" borderId="0"/>
    <xf numFmtId="167" fontId="33" fillId="0" borderId="0"/>
    <xf numFmtId="0" fontId="33" fillId="0" borderId="0"/>
    <xf numFmtId="167" fontId="33" fillId="0" borderId="0"/>
    <xf numFmtId="167" fontId="33" fillId="0" borderId="0"/>
    <xf numFmtId="167" fontId="33" fillId="0" borderId="0"/>
    <xf numFmtId="167" fontId="1" fillId="0" borderId="0"/>
    <xf numFmtId="178" fontId="1" fillId="0" borderId="0"/>
    <xf numFmtId="0" fontId="33" fillId="0" borderId="0"/>
    <xf numFmtId="167" fontId="41" fillId="0" borderId="0"/>
    <xf numFmtId="0" fontId="85" fillId="0" borderId="0"/>
    <xf numFmtId="178" fontId="1" fillId="0" borderId="0"/>
    <xf numFmtId="0" fontId="33" fillId="0" borderId="0"/>
    <xf numFmtId="167" fontId="38" fillId="0" borderId="0"/>
    <xf numFmtId="167" fontId="38" fillId="0" borderId="0"/>
    <xf numFmtId="167" fontId="38" fillId="0" borderId="0"/>
    <xf numFmtId="167" fontId="38" fillId="0" borderId="0"/>
    <xf numFmtId="167" fontId="38" fillId="0" borderId="0"/>
    <xf numFmtId="0" fontId="33" fillId="0" borderId="0"/>
    <xf numFmtId="167" fontId="33" fillId="0" borderId="0"/>
    <xf numFmtId="0" fontId="1" fillId="0" borderId="0"/>
    <xf numFmtId="0" fontId="33" fillId="0" borderId="0"/>
    <xf numFmtId="167" fontId="33" fillId="0" borderId="0"/>
    <xf numFmtId="167" fontId="33"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3" fillId="0" borderId="0"/>
    <xf numFmtId="0" fontId="33" fillId="0" borderId="0"/>
    <xf numFmtId="167" fontId="33" fillId="0" borderId="0"/>
    <xf numFmtId="0" fontId="1" fillId="0" borderId="0"/>
    <xf numFmtId="167" fontId="33" fillId="0" borderId="0"/>
    <xf numFmtId="0" fontId="85" fillId="0" borderId="0"/>
    <xf numFmtId="167" fontId="83" fillId="0" borderId="0"/>
    <xf numFmtId="0" fontId="33" fillId="0" borderId="0"/>
    <xf numFmtId="167" fontId="33" fillId="0" borderId="0"/>
    <xf numFmtId="0" fontId="353" fillId="0" borderId="0" applyBorder="0"/>
    <xf numFmtId="167" fontId="83" fillId="0" borderId="0"/>
    <xf numFmtId="0" fontId="33" fillId="0" borderId="0"/>
    <xf numFmtId="0" fontId="38" fillId="0" borderId="0"/>
    <xf numFmtId="167" fontId="83" fillId="0" borderId="0"/>
    <xf numFmtId="0" fontId="33" fillId="0" borderId="0"/>
    <xf numFmtId="167" fontId="33" fillId="0" borderId="0"/>
    <xf numFmtId="167" fontId="83" fillId="0" borderId="0"/>
    <xf numFmtId="0" fontId="33" fillId="0" borderId="0"/>
    <xf numFmtId="167" fontId="1" fillId="0" borderId="0"/>
    <xf numFmtId="167" fontId="33" fillId="0" borderId="0"/>
    <xf numFmtId="0" fontId="1"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359" fontId="65" fillId="0" borderId="0"/>
    <xf numFmtId="359" fontId="65" fillId="0" borderId="0"/>
    <xf numFmtId="167" fontId="83" fillId="0" borderId="0"/>
    <xf numFmtId="167" fontId="83" fillId="0" borderId="0"/>
    <xf numFmtId="167" fontId="83" fillId="0" borderId="0"/>
    <xf numFmtId="167" fontId="83" fillId="0" borderId="0"/>
    <xf numFmtId="49" fontId="277" fillId="0" borderId="0" applyBorder="0">
      <alignment vertical="top"/>
    </xf>
    <xf numFmtId="0" fontId="85" fillId="0" borderId="0"/>
    <xf numFmtId="0" fontId="38" fillId="0" borderId="0"/>
    <xf numFmtId="167" fontId="38" fillId="0" borderId="0"/>
    <xf numFmtId="0" fontId="33" fillId="0" borderId="0"/>
    <xf numFmtId="167" fontId="33" fillId="0" borderId="0"/>
    <xf numFmtId="167" fontId="38" fillId="0" borderId="0"/>
    <xf numFmtId="167" fontId="83" fillId="0" borderId="0"/>
    <xf numFmtId="167" fontId="38" fillId="0" borderId="0"/>
    <xf numFmtId="167" fontId="38" fillId="0" borderId="0"/>
    <xf numFmtId="167" fontId="1" fillId="0" borderId="0"/>
    <xf numFmtId="167" fontId="83" fillId="0" borderId="0"/>
    <xf numFmtId="0" fontId="83"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53" fillId="0" borderId="0" applyBorder="0"/>
    <xf numFmtId="0" fontId="353" fillId="0" borderId="0" applyBorder="0"/>
    <xf numFmtId="167" fontId="83" fillId="0" borderId="0"/>
    <xf numFmtId="167" fontId="83" fillId="0" borderId="0"/>
    <xf numFmtId="167" fontId="83" fillId="0" borderId="0"/>
    <xf numFmtId="167" fontId="83" fillId="0" borderId="0"/>
    <xf numFmtId="0" fontId="38" fillId="0" borderId="0"/>
    <xf numFmtId="167" fontId="38" fillId="0" borderId="0"/>
    <xf numFmtId="359" fontId="65"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1" fillId="0" borderId="0"/>
    <xf numFmtId="167" fontId="83" fillId="0" borderId="0"/>
    <xf numFmtId="167" fontId="83" fillId="0" borderId="0"/>
    <xf numFmtId="0" fontId="6"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8" fillId="0" borderId="0"/>
    <xf numFmtId="167" fontId="83" fillId="0" borderId="0"/>
    <xf numFmtId="167" fontId="83" fillId="0" borderId="0"/>
    <xf numFmtId="0" fontId="38" fillId="0" borderId="0"/>
    <xf numFmtId="167" fontId="38" fillId="0" borderId="0"/>
    <xf numFmtId="0" fontId="33" fillId="0" borderId="0"/>
    <xf numFmtId="167" fontId="83" fillId="0" borderId="0"/>
    <xf numFmtId="167" fontId="83" fillId="0" borderId="0"/>
    <xf numFmtId="167" fontId="33" fillId="0" borderId="0"/>
    <xf numFmtId="167" fontId="33" fillId="0" borderId="0"/>
    <xf numFmtId="167" fontId="38" fillId="0" borderId="0"/>
    <xf numFmtId="167" fontId="33" fillId="0" borderId="0"/>
    <xf numFmtId="167" fontId="83" fillId="0" borderId="0"/>
    <xf numFmtId="167" fontId="140" fillId="0" borderId="0"/>
    <xf numFmtId="167" fontId="1" fillId="0" borderId="0"/>
    <xf numFmtId="167" fontId="1" fillId="0" borderId="0"/>
    <xf numFmtId="167" fontId="63" fillId="0" borderId="0"/>
    <xf numFmtId="167" fontId="1" fillId="0" borderId="0"/>
    <xf numFmtId="167" fontId="1" fillId="0" borderId="0"/>
    <xf numFmtId="167" fontId="1" fillId="0" borderId="0"/>
    <xf numFmtId="167" fontId="1" fillId="0" borderId="0"/>
    <xf numFmtId="167" fontId="272" fillId="0" borderId="0"/>
    <xf numFmtId="167" fontId="1" fillId="0" borderId="0"/>
    <xf numFmtId="167" fontId="1" fillId="0" borderId="0"/>
    <xf numFmtId="167" fontId="55" fillId="0" borderId="0"/>
    <xf numFmtId="167" fontId="1" fillId="0" borderId="0"/>
    <xf numFmtId="0" fontId="355" fillId="0" borderId="0"/>
    <xf numFmtId="167" fontId="83" fillId="0" borderId="0"/>
    <xf numFmtId="0" fontId="33" fillId="0" borderId="0"/>
    <xf numFmtId="167" fontId="33" fillId="0" borderId="0"/>
    <xf numFmtId="0" fontId="38" fillId="0" borderId="0"/>
    <xf numFmtId="0" fontId="355" fillId="0" borderId="0"/>
    <xf numFmtId="167" fontId="38" fillId="0" borderId="0"/>
    <xf numFmtId="167" fontId="38" fillId="0" borderId="0"/>
    <xf numFmtId="167" fontId="38" fillId="0" borderId="0"/>
    <xf numFmtId="167" fontId="272" fillId="0" borderId="0"/>
    <xf numFmtId="167" fontId="38" fillId="0" borderId="0"/>
    <xf numFmtId="167" fontId="1" fillId="0" borderId="0"/>
    <xf numFmtId="167" fontId="85" fillId="0" borderId="0"/>
    <xf numFmtId="0" fontId="33" fillId="0" borderId="0"/>
    <xf numFmtId="167" fontId="1" fillId="0" borderId="0"/>
    <xf numFmtId="0" fontId="1" fillId="0" borderId="0"/>
    <xf numFmtId="0" fontId="1" fillId="0" borderId="0"/>
    <xf numFmtId="0" fontId="1" fillId="0" borderId="0"/>
    <xf numFmtId="0" fontId="356" fillId="0" borderId="0"/>
    <xf numFmtId="167" fontId="83" fillId="0" borderId="0"/>
    <xf numFmtId="0" fontId="38" fillId="0" borderId="0"/>
    <xf numFmtId="167" fontId="38" fillId="0" borderId="0"/>
    <xf numFmtId="0" fontId="101" fillId="0" borderId="0" applyProtection="0"/>
    <xf numFmtId="0" fontId="1" fillId="0" borderId="0"/>
    <xf numFmtId="0" fontId="1" fillId="0" borderId="0"/>
    <xf numFmtId="0" fontId="1" fillId="0" borderId="0"/>
    <xf numFmtId="0" fontId="1" fillId="0" borderId="0"/>
    <xf numFmtId="0" fontId="38" fillId="0" borderId="0"/>
    <xf numFmtId="0" fontId="1" fillId="0" borderId="0"/>
    <xf numFmtId="0" fontId="33" fillId="0" borderId="0"/>
    <xf numFmtId="0" fontId="1" fillId="0" borderId="0"/>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3"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89" fontId="359" fillId="10" borderId="83" applyNumberFormat="0" applyBorder="0" applyAlignment="0">
      <alignment vertical="center"/>
      <protection locked="0"/>
    </xf>
    <xf numFmtId="0"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60"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3" fillId="0" borderId="0" applyNumberFormat="0" applyFill="0" applyBorder="0" applyAlignment="0" applyProtection="0"/>
    <xf numFmtId="0" fontId="173" fillId="0" borderId="0" applyNumberFormat="0" applyFill="0" applyBorder="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3"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9" fontId="83"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2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7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9" fillId="0" borderId="6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1" fillId="0" borderId="8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 fillId="0" borderId="64" applyNumberFormat="0" applyFill="0" applyAlignment="0" applyProtection="0"/>
    <xf numFmtId="0" fontId="259" fillId="0" borderId="64" applyNumberFormat="0" applyFill="0" applyAlignment="0" applyProtection="0"/>
    <xf numFmtId="167" fontId="33" fillId="0" borderId="0"/>
    <xf numFmtId="167" fontId="362" fillId="0" borderId="0"/>
    <xf numFmtId="167" fontId="33" fillId="0" borderId="0"/>
    <xf numFmtId="0" fontId="362" fillId="0" borderId="0"/>
    <xf numFmtId="0" fontId="47" fillId="0" borderId="0"/>
    <xf numFmtId="174" fontId="58" fillId="0" borderId="0">
      <alignment vertical="top"/>
    </xf>
    <xf numFmtId="38" fontId="58" fillId="0" borderId="0">
      <alignment vertical="top"/>
    </xf>
    <xf numFmtId="167" fontId="38" fillId="0" borderId="0"/>
    <xf numFmtId="0" fontId="47" fillId="0" borderId="0"/>
    <xf numFmtId="167" fontId="47" fillId="0" borderId="0"/>
    <xf numFmtId="0" fontId="39" fillId="0" borderId="0"/>
    <xf numFmtId="167" fontId="38" fillId="0" borderId="0"/>
    <xf numFmtId="167" fontId="38" fillId="0" borderId="0"/>
    <xf numFmtId="167" fontId="53" fillId="0" borderId="0"/>
    <xf numFmtId="167" fontId="33" fillId="0" borderId="0"/>
    <xf numFmtId="0" fontId="5" fillId="84" borderId="12" applyBorder="0" applyAlignment="0">
      <alignment vertical="center"/>
    </xf>
    <xf numFmtId="167" fontId="33" fillId="0" borderId="0"/>
    <xf numFmtId="167" fontId="53" fillId="0" borderId="0"/>
    <xf numFmtId="167" fontId="73" fillId="0" borderId="0" applyNumberFormat="0" applyFont="0" applyFill="0" applyBorder="0" applyAlignment="0" applyProtection="0">
      <alignment vertical="top"/>
    </xf>
    <xf numFmtId="167" fontId="73" fillId="0" borderId="0" applyNumberFormat="0" applyFont="0" applyFill="0" applyBorder="0" applyAlignment="0" applyProtection="0">
      <alignment vertical="top"/>
    </xf>
    <xf numFmtId="167" fontId="33" fillId="0" borderId="0"/>
    <xf numFmtId="167" fontId="33" fillId="0" borderId="0"/>
    <xf numFmtId="167" fontId="33" fillId="0" borderId="0">
      <alignment vertical="justify"/>
    </xf>
    <xf numFmtId="49" fontId="363" fillId="0" borderId="0"/>
    <xf numFmtId="49" fontId="364" fillId="0" borderId="0">
      <alignment vertical="top"/>
    </xf>
    <xf numFmtId="189" fontId="226" fillId="0" borderId="0" applyFill="0" applyBorder="0" applyAlignment="0" applyProtection="0"/>
    <xf numFmtId="189" fontId="226" fillId="0" borderId="0" applyFill="0" applyBorder="0" applyAlignment="0" applyProtection="0"/>
    <xf numFmtId="167" fontId="33"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0" fontId="4"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49" fontId="226" fillId="0" borderId="0">
      <alignment horizontal="center"/>
    </xf>
    <xf numFmtId="49" fontId="226" fillId="0" borderId="0">
      <alignment horizontal="center"/>
    </xf>
    <xf numFmtId="49" fontId="55" fillId="0" borderId="0"/>
    <xf numFmtId="360" fontId="365" fillId="0" borderId="0"/>
    <xf numFmtId="360" fontId="365" fillId="0" borderId="0"/>
    <xf numFmtId="360" fontId="365" fillId="0" borderId="0"/>
    <xf numFmtId="38" fontId="33" fillId="0" borderId="0" applyFont="0" applyFill="0" applyBorder="0" applyAlignment="0" applyProtection="0"/>
    <xf numFmtId="3" fontId="366" fillId="0" borderId="40" applyFont="0" applyBorder="0">
      <alignment horizontal="right"/>
      <protection locked="0"/>
    </xf>
    <xf numFmtId="182" fontId="38" fillId="0" borderId="0" applyFont="0" applyFill="0" applyBorder="0" applyAlignment="0" applyProtection="0"/>
    <xf numFmtId="2" fontId="226" fillId="0" borderId="0" applyFill="0" applyBorder="0" applyAlignment="0" applyProtection="0"/>
    <xf numFmtId="2" fontId="226" fillId="0" borderId="0" applyFill="0" applyBorder="0" applyAlignment="0" applyProtection="0"/>
    <xf numFmtId="294" fontId="38" fillId="0" borderId="0" applyFont="0" applyFill="0" applyBorder="0" applyAlignment="0" applyProtection="0"/>
    <xf numFmtId="227" fontId="33" fillId="0" borderId="0" applyFont="0" applyFill="0" applyBorder="0" applyAlignment="0" applyProtection="0"/>
    <xf numFmtId="22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7"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165" fontId="367" fillId="0" borderId="0" applyFont="0" applyFill="0" applyBorder="0" applyAlignment="0" applyProtection="0"/>
    <xf numFmtId="189" fontId="36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8" fillId="0" borderId="0" applyFont="0" applyFill="0" applyBorder="0" applyAlignment="0" applyProtection="0"/>
    <xf numFmtId="234" fontId="1" fillId="0" borderId="0" applyFont="0" applyFill="0" applyBorder="0" applyAlignment="0" applyProtection="0"/>
    <xf numFmtId="234" fontId="38" fillId="0" borderId="0" applyFont="0" applyFill="0" applyBorder="0" applyAlignment="0" applyProtection="0"/>
    <xf numFmtId="234" fontId="84" fillId="0" borderId="0" applyFont="0" applyFill="0" applyBorder="0" applyAlignment="0" applyProtection="0"/>
    <xf numFmtId="237"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7" fontId="38" fillId="0" borderId="0" applyFont="0" applyFill="0" applyBorder="0" applyAlignment="0" applyProtection="0"/>
    <xf numFmtId="234" fontId="3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362" fontId="55" fillId="0" borderId="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35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363" fontId="33" fillId="0" borderId="0" applyFont="0" applyFill="0" applyBorder="0" applyAlignment="0" applyProtection="0"/>
    <xf numFmtId="229" fontId="33" fillId="0" borderId="0" applyFont="0" applyFill="0" applyBorder="0" applyAlignment="0" applyProtection="0"/>
    <xf numFmtId="229" fontId="33" fillId="0" borderId="0" applyFont="0" applyFill="0" applyBorder="0" applyAlignment="0" applyProtection="0"/>
    <xf numFmtId="234" fontId="83" fillId="0" borderId="0" applyFont="0" applyFill="0" applyBorder="0" applyAlignment="0" applyProtection="0"/>
    <xf numFmtId="36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4"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8" fillId="0" borderId="0" applyFont="0" applyFill="0" applyBorder="0" applyAlignment="0" applyProtection="0"/>
    <xf numFmtId="234" fontId="272" fillId="0" borderId="0" applyFont="0" applyFill="0" applyBorder="0" applyAlignment="0" applyProtection="0"/>
    <xf numFmtId="180"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365" fontId="38" fillId="0" borderId="0" applyFont="0" applyFill="0" applyBorder="0" applyAlignment="0" applyProtection="0"/>
    <xf numFmtId="181"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8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7" fontId="1"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4" fontId="277" fillId="8" borderId="0" applyBorder="0">
      <alignment horizontal="right"/>
    </xf>
    <xf numFmtId="4" fontId="277" fillId="85" borderId="8"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0"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68" fillId="26"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3" fillId="20" borderId="0" applyNumberFormat="0" applyBorder="0" applyAlignment="0" applyProtection="0"/>
    <xf numFmtId="0" fontId="200" fillId="20" borderId="0" applyNumberFormat="0" applyBorder="0" applyAlignment="0" applyProtection="0"/>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37" fontId="33" fillId="0" borderId="0" applyFont="0" applyBorder="0" applyAlignment="0" applyProtection="0"/>
    <xf numFmtId="366" fontId="62" fillId="0" borderId="0">
      <protection locked="0"/>
    </xf>
    <xf numFmtId="182" fontId="62" fillId="0" borderId="0">
      <protection locked="0"/>
    </xf>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167" fontId="38" fillId="39" borderId="0" applyNumberFormat="0" applyBorder="0" applyAlignment="0" applyProtection="0">
      <alignment vertical="center"/>
    </xf>
    <xf numFmtId="0" fontId="38" fillId="39" borderId="0" applyNumberFormat="0" applyBorder="0" applyAlignment="0" applyProtection="0">
      <alignment vertical="center"/>
    </xf>
    <xf numFmtId="167" fontId="38" fillId="42" borderId="0" applyNumberFormat="0" applyBorder="0" applyAlignment="0" applyProtection="0">
      <alignment vertical="center"/>
    </xf>
    <xf numFmtId="0" fontId="38" fillId="42" borderId="0" applyNumberFormat="0" applyBorder="0" applyAlignment="0" applyProtection="0">
      <alignment vertical="center"/>
    </xf>
    <xf numFmtId="167" fontId="38" fillId="46" borderId="0" applyNumberFormat="0" applyBorder="0" applyAlignment="0" applyProtection="0">
      <alignment vertical="center"/>
    </xf>
    <xf numFmtId="0" fontId="38" fillId="46"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49" borderId="0" applyNumberFormat="0" applyBorder="0" applyAlignment="0" applyProtection="0">
      <alignment vertical="center"/>
    </xf>
    <xf numFmtId="0" fontId="38" fillId="49" borderId="0" applyNumberFormat="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7" borderId="42" applyNumberFormat="0" applyAlignment="0" applyProtection="0">
      <alignment vertical="center"/>
    </xf>
    <xf numFmtId="0" fontId="38" fillId="57" borderId="42" applyNumberFormat="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9" borderId="0" applyNumberFormat="0" applyBorder="0" applyAlignment="0" applyProtection="0">
      <alignment vertical="center"/>
    </xf>
    <xf numFmtId="0" fontId="38" fillId="9" borderId="0" applyNumberFormat="0" applyBorder="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0"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0" borderId="64" applyNumberFormat="0" applyFill="0" applyAlignment="0" applyProtection="0">
      <alignment vertical="center"/>
    </xf>
    <xf numFmtId="0" fontId="38" fillId="0" borderId="64" applyNumberFormat="0" applyFill="0" applyAlignment="0" applyProtection="0">
      <alignment vertical="center"/>
    </xf>
    <xf numFmtId="167" fontId="38" fillId="23" borderId="39" applyNumberFormat="0" applyAlignment="0" applyProtection="0">
      <alignment vertical="center"/>
    </xf>
    <xf numFmtId="0"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0"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367" fontId="115" fillId="0" borderId="0" applyFont="0" applyFill="0" applyBorder="0" applyAlignment="0" applyProtection="0"/>
    <xf numFmtId="210" fontId="115" fillId="0" borderId="0" applyFont="0" applyFill="0" applyBorder="0" applyAlignment="0" applyProtection="0"/>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40" fontId="33" fillId="0" borderId="0" applyFont="0" applyFill="0" applyBorder="0" applyAlignment="0" applyProtection="0"/>
    <xf numFmtId="38" fontId="33" fillId="0" borderId="0" applyFont="0" applyFill="0" applyBorder="0" applyAlignment="0" applyProtection="0"/>
    <xf numFmtId="167" fontId="33" fillId="0" borderId="0"/>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0" borderId="57" applyNumberFormat="0" applyFill="0" applyAlignment="0" applyProtection="0">
      <alignment vertical="center"/>
    </xf>
    <xf numFmtId="0" fontId="38" fillId="0" borderId="57" applyNumberFormat="0" applyFill="0" applyAlignment="0" applyProtection="0">
      <alignment vertical="center"/>
    </xf>
    <xf numFmtId="167" fontId="38" fillId="0" borderId="58" applyNumberFormat="0" applyFill="0" applyAlignment="0" applyProtection="0">
      <alignment vertical="center"/>
    </xf>
    <xf numFmtId="0" fontId="38" fillId="0" borderId="58" applyNumberFormat="0" applyFill="0" applyAlignment="0" applyProtection="0">
      <alignment vertical="center"/>
    </xf>
    <xf numFmtId="167" fontId="38" fillId="0" borderId="59" applyNumberFormat="0" applyFill="0" applyAlignment="0" applyProtection="0">
      <alignment vertical="center"/>
    </xf>
    <xf numFmtId="0" fontId="38" fillId="0" borderId="59" applyNumberFormat="0" applyFill="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4" borderId="39" applyNumberFormat="0" applyAlignment="0" applyProtection="0">
      <alignment vertical="center"/>
    </xf>
    <xf numFmtId="0"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0"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cellStyleXfs>
  <cellXfs count="124">
    <xf numFmtId="0" fontId="0" fillId="0" borderId="0" xfId="0"/>
    <xf numFmtId="10" fontId="7" fillId="6" borderId="0" xfId="2" applyNumberFormat="1" applyFont="1" applyFill="1" applyAlignment="1">
      <alignment wrapText="1"/>
    </xf>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49" fontId="12" fillId="6" borderId="11" xfId="0" applyNumberFormat="1" applyFont="1" applyFill="1" applyBorder="1" applyAlignment="1">
      <alignment horizontal="right" vertical="center"/>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24" xfId="2" applyNumberFormat="1" applyFont="1" applyFill="1" applyBorder="1" applyAlignment="1">
      <alignment horizontal="right" vertical="center"/>
    </xf>
    <xf numFmtId="0" fontId="7" fillId="6" borderId="25" xfId="2" applyFont="1" applyFill="1" applyBorder="1" applyAlignment="1">
      <alignment horizontal="left" vertical="center" wrapText="1" indent="4"/>
    </xf>
    <xf numFmtId="10" fontId="7" fillId="6" borderId="25"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0" fontId="34" fillId="6" borderId="9" xfId="3" applyFont="1" applyFill="1" applyBorder="1" applyAlignment="1">
      <alignment horizontal="left" vertical="center" wrapText="1"/>
    </xf>
    <xf numFmtId="10" fontId="7" fillId="6" borderId="9" xfId="1" applyNumberFormat="1" applyFont="1" applyFill="1" applyBorder="1" applyAlignment="1">
      <alignment horizontal="center" vertical="center" wrapText="1"/>
    </xf>
    <xf numFmtId="0" fontId="7" fillId="6" borderId="0" xfId="2" applyFont="1" applyFill="1" applyBorder="1" applyAlignment="1">
      <alignment horizontal="right" vertical="center"/>
    </xf>
    <xf numFmtId="0" fontId="7" fillId="6" borderId="27" xfId="2" applyFont="1" applyFill="1" applyBorder="1" applyAlignment="1">
      <alignment horizontal="right" wrapText="1" indent="1"/>
    </xf>
    <xf numFmtId="0" fontId="7" fillId="6" borderId="28"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0" fontId="7" fillId="6" borderId="11" xfId="2" applyFont="1" applyFill="1" applyBorder="1"/>
    <xf numFmtId="10" fontId="19" fillId="6" borderId="13" xfId="2" applyNumberFormat="1" applyFont="1" applyFill="1" applyBorder="1" applyAlignment="1" applyProtection="1">
      <alignment vertical="center"/>
    </xf>
    <xf numFmtId="0" fontId="7" fillId="6" borderId="14" xfId="2" applyFont="1" applyFill="1" applyBorder="1"/>
    <xf numFmtId="10" fontId="19" fillId="6" borderId="16" xfId="2" applyNumberFormat="1" applyFont="1" applyFill="1" applyBorder="1" applyAlignment="1" applyProtection="1">
      <alignment vertical="center"/>
    </xf>
    <xf numFmtId="0" fontId="7" fillId="6" borderId="24" xfId="2" applyFont="1" applyFill="1" applyBorder="1"/>
    <xf numFmtId="10" fontId="19" fillId="6" borderId="26"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7" fillId="6" borderId="15"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8" fillId="6" borderId="0" xfId="2" applyFont="1" applyFill="1" applyBorder="1" applyAlignment="1">
      <alignment horizontal="center" vertical="center" wrapText="1"/>
    </xf>
    <xf numFmtId="0" fontId="9" fillId="6" borderId="7" xfId="2" applyFont="1" applyFill="1" applyBorder="1" applyAlignment="1">
      <alignment horizontal="left" wrapText="1"/>
    </xf>
    <xf numFmtId="0" fontId="9" fillId="6" borderId="19" xfId="2" applyFont="1" applyFill="1" applyBorder="1" applyAlignment="1">
      <alignment horizontal="left" vertic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3553" name="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4577" name="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7649" name="Button 1" hidden="1">
              <a:extLst>
                <a:ext uri="{63B3BB69-23CF-44E3-9099-C40C66FF867C}">
                  <a14:compatExt spid="_x0000_s276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21" name="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1745" name="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41;&#1072;&#1082;&#1083;&#1091;&#1096;&#1077;&#1074;&#1089;&#1082;&#1086;&#107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42;&#1086;&#1083;&#1095;&#1072;&#1085;&#1089;&#1082;&#1086;&#107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44;&#1086;&#1074;&#1086;&#1083;&#1077;&#1085;&#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48;&#1083;&#1100;&#1080;&#1085;&#1089;&#1082;&#1086;&#107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48;&#1085;&#1076;&#1077;&#1088;&#1089;&#1082;&#1086;&#1077;.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50;&#1086;&#1084;&#1072;&#1088;&#1100;&#1077;&#1074;&#1089;&#1082;&#1086;&#1077;.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50;&#1088;&#1072;&#1089;&#1085;&#1086;&#1075;&#1088;&#1080;&#1074;&#1077;&#1085;&#1089;&#1082;&#1086;&#1077;.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57;&#1086;&#1075;&#1086;&#1088;&#1085;&#1089;&#1082;&#1086;&#1077;.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57;&#1091;&#1079;&#1076;&#1072;&#1083;&#1100;&#1089;&#1082;&#1086;&#107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58;&#1088;&#1072;&#1074;&#1085;&#1080;&#1085;&#1089;&#1082;&#1086;&#1077;.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59;&#1090;&#1103;&#1085;&#1089;&#1082;&#1086;&#1077;.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64;&#1072;&#1075;&#1072;&#1083;&#1100;&#1089;&#1082;&#1086;&#1077;.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3/&#1085;&#1072;%20&#1089;&#1072;&#1081;&#1090;/&#1044;&#1086;&#1074;&#1086;&#1083;&#1077;&#1085;&#1089;&#1082;&#1080;&#1081;/&#1064;&#1072;&#1073;&#1083;&#1086;&#1085;%20&#1062;&#1040;&#1050;_&#1091;&#1075;&#1086;&#1083;&#1100;_&#1062;&#1055;%20(&#1073;&#1077;&#1079;%20&#1053;&#1044;&#1057;)_2&#1087;&#1075;2023&#1075;_&#1084;&#1077;&#1085;&#1077;&#1077;%2050%20&#1090;&#1099;&#1089;%20&#1044;&#1086;&#1074;&#1086;&#1083;&#1077;&#1085;&#1089;&#1082;&#1080;&#1081;%20&#1071;&#1088;&#1082;&#1086;&#1074;&#1089;&#1082;&#1086;&#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Баклуши, Доволенский муниципальный район</v>
          </cell>
        </row>
        <row r="15">
          <cell r="D15" t="str">
            <v/>
          </cell>
        </row>
        <row r="16">
          <cell r="D16" t="str">
            <v>Код ОКТМО</v>
          </cell>
          <cell r="E16" t="str">
            <v>50610402101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1065.1709480811937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2864.0666666666671</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421.66253786147172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71.255610000000004</v>
          </cell>
        </row>
        <row r="27">
          <cell r="F27">
            <v>1040.8858115370676</v>
          </cell>
        </row>
        <row r="28">
          <cell r="F28">
            <v>799.45146815442979</v>
          </cell>
        </row>
        <row r="29">
          <cell r="F29">
            <v>241.43434338263785</v>
          </cell>
        </row>
        <row r="30">
          <cell r="F30">
            <v>2284.5293084245932</v>
          </cell>
        </row>
        <row r="33">
          <cell r="F33">
            <v>1569.2821354760915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18.79</v>
          </cell>
        </row>
        <row r="19">
          <cell r="E19">
            <v>26.27</v>
          </cell>
        </row>
      </sheetData>
      <sheetData sheetId="29" refreshError="1"/>
      <sheetData sheetId="30">
        <row r="12">
          <cell r="F12">
            <v>81.909618003326358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Волчанка, Доволенский муниципальный район</v>
          </cell>
        </row>
        <row r="15">
          <cell r="D15" t="str">
            <v/>
          </cell>
        </row>
        <row r="16">
          <cell r="D16" t="str">
            <v>Код ОКТМО</v>
          </cell>
          <cell r="E16" t="str">
            <v>50610404101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991.75619569488015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2666.666666666667</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415.88780718163343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62.137410000000003</v>
          </cell>
        </row>
        <row r="27">
          <cell r="F27">
            <v>1040.8858115370676</v>
          </cell>
        </row>
        <row r="28">
          <cell r="F28">
            <v>799.45146815442979</v>
          </cell>
        </row>
        <row r="29">
          <cell r="F29">
            <v>241.43434338263785</v>
          </cell>
        </row>
        <row r="30">
          <cell r="F30">
            <v>2176.9140140295349</v>
          </cell>
        </row>
        <row r="33">
          <cell r="F33">
            <v>1462.2970339490387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16.190000000000001</v>
          </cell>
        </row>
        <row r="19">
          <cell r="E19">
            <v>26.27</v>
          </cell>
        </row>
      </sheetData>
      <sheetData sheetId="29" refreshError="1"/>
      <sheetData sheetId="30">
        <row r="12">
          <cell r="F12">
            <v>80.325828342003319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Довольное, Доволенский муниципальный район</v>
          </cell>
        </row>
        <row r="15">
          <cell r="D15" t="str">
            <v/>
          </cell>
        </row>
        <row r="16">
          <cell r="D16" t="str">
            <v>Код ОКТМО</v>
          </cell>
          <cell r="E16" t="str">
            <v>50610407101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1030.1960459923912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2770.0250000000001</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419.6397233853578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77.357790000000008</v>
          </cell>
        </row>
        <row r="27">
          <cell r="F27">
            <v>1040.8858115370676</v>
          </cell>
        </row>
        <row r="28">
          <cell r="F28">
            <v>799.45146815442979</v>
          </cell>
        </row>
        <row r="29">
          <cell r="F29">
            <v>241.43434338263785</v>
          </cell>
        </row>
        <row r="30">
          <cell r="F30">
            <v>2233.983184310443</v>
          </cell>
        </row>
        <row r="33">
          <cell r="F33">
            <v>1518.3142669041224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20.53</v>
          </cell>
        </row>
        <row r="19">
          <cell r="E19">
            <v>26.27</v>
          </cell>
        </row>
      </sheetData>
      <sheetData sheetId="29" refreshError="1"/>
      <sheetData sheetId="30">
        <row r="12">
          <cell r="F12">
            <v>81.169663672028022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Ильинка, Доволенский муниципальный район</v>
          </cell>
        </row>
        <row r="15">
          <cell r="D15" t="str">
            <v/>
          </cell>
        </row>
        <row r="16">
          <cell r="D16" t="str">
            <v>Код ОКТМО</v>
          </cell>
          <cell r="E16" t="str">
            <v>50610410101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998.91543573255217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2685.9166666666665</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416.56010344925403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64.592310000000012</v>
          </cell>
        </row>
        <row r="27">
          <cell r="F27">
            <v>1040.8858115370676</v>
          </cell>
        </row>
        <row r="28">
          <cell r="F28">
            <v>799.45146815442979</v>
          </cell>
        </row>
        <row r="29">
          <cell r="F29">
            <v>241.43434338263785</v>
          </cell>
        </row>
        <row r="30">
          <cell r="F30">
            <v>2187.5166256380016</v>
          </cell>
        </row>
        <row r="33">
          <cell r="F33">
            <v>1472.7299782468888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16.89</v>
          </cell>
        </row>
        <row r="19">
          <cell r="E19">
            <v>26.27</v>
          </cell>
        </row>
      </sheetData>
      <sheetData sheetId="29" refreshError="1"/>
      <sheetData sheetId="30">
        <row r="12">
          <cell r="F12">
            <v>80.482459068109165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Индерь, Доволенский муниципальный район</v>
          </cell>
        </row>
        <row r="15">
          <cell r="D15" t="str">
            <v/>
          </cell>
        </row>
        <row r="16">
          <cell r="D16" t="str">
            <v>Код ОКТМО</v>
          </cell>
          <cell r="E16" t="str">
            <v>50610413101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1024.5213410101494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2754.7666666666664</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418.33784686454447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64.381889999999999</v>
          </cell>
        </row>
        <row r="27">
          <cell r="F27">
            <v>1040.8858115370676</v>
          </cell>
        </row>
        <row r="28">
          <cell r="F28">
            <v>799.45146815442979</v>
          </cell>
        </row>
        <row r="29">
          <cell r="F29">
            <v>241.43434338263785</v>
          </cell>
        </row>
        <row r="30">
          <cell r="F30">
            <v>2224.8167951883665</v>
          </cell>
        </row>
        <row r="33">
          <cell r="F33">
            <v>1510.044690709592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16.829999999999998</v>
          </cell>
        </row>
        <row r="19">
          <cell r="E19">
            <v>26.27</v>
          </cell>
        </row>
      </sheetData>
      <sheetData sheetId="29" refreshError="1"/>
      <sheetData sheetId="30">
        <row r="12">
          <cell r="F12">
            <v>81.030132041966922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Комарье, Доволенский муниципальный район</v>
          </cell>
        </row>
        <row r="15">
          <cell r="D15" t="str">
            <v/>
          </cell>
        </row>
        <row r="16">
          <cell r="D16" t="str">
            <v>Код ОКТМО</v>
          </cell>
          <cell r="E16" t="str">
            <v>50610416101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999.66266204124622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2687.9258333333332</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417.41925676864264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76.165410000000008</v>
          </cell>
        </row>
        <row r="27">
          <cell r="F27">
            <v>1040.8858115370676</v>
          </cell>
        </row>
        <row r="28">
          <cell r="F28">
            <v>799.45146815442979</v>
          </cell>
        </row>
        <row r="29">
          <cell r="F29">
            <v>241.43434338263785</v>
          </cell>
        </row>
        <row r="30">
          <cell r="F30">
            <v>2189.4053961500495</v>
          </cell>
        </row>
        <row r="33">
          <cell r="F33">
            <v>1473.8188885803143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20.190000000000001</v>
          </cell>
        </row>
        <row r="19">
          <cell r="E19">
            <v>26.27</v>
          </cell>
        </row>
      </sheetData>
      <sheetData sheetId="29" refreshError="1"/>
      <sheetData sheetId="30">
        <row r="12">
          <cell r="F12">
            <v>80.514586660670815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Красная Грива, Доволенский муниципальный район</v>
          </cell>
        </row>
        <row r="15">
          <cell r="D15" t="str">
            <v/>
          </cell>
        </row>
        <row r="16">
          <cell r="D16" t="str">
            <v>Код ОКТМО</v>
          </cell>
          <cell r="E16" t="str">
            <v>50610419101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973.93557655348741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2618.75</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415.61836078449949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76.165410000000008</v>
          </cell>
        </row>
        <row r="27">
          <cell r="F27">
            <v>1040.8858115370676</v>
          </cell>
        </row>
        <row r="28">
          <cell r="F28">
            <v>799.45146815442979</v>
          </cell>
        </row>
        <row r="29">
          <cell r="F29">
            <v>241.43434338263785</v>
          </cell>
        </row>
        <row r="30">
          <cell r="F30">
            <v>2151.9140914267205</v>
          </cell>
        </row>
        <row r="33">
          <cell r="F33">
            <v>1436.3275838569853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20.190000000000001</v>
          </cell>
        </row>
        <row r="19">
          <cell r="E19">
            <v>26.27</v>
          </cell>
        </row>
      </sheetData>
      <sheetData sheetId="29" refreshError="1"/>
      <sheetData sheetId="30">
        <row r="12">
          <cell r="F12">
            <v>79.964027031232789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Согорное, Доволенский муниципальный район</v>
          </cell>
        </row>
        <row r="15">
          <cell r="D15" t="str">
            <v/>
          </cell>
        </row>
        <row r="16">
          <cell r="D16" t="str">
            <v>Код ОКТМО</v>
          </cell>
          <cell r="E16" t="str">
            <v>50610422101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1056.4372950828554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2840.5833333333335</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419.79934606485062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53.299770000000002</v>
          </cell>
        </row>
        <row r="27">
          <cell r="F27">
            <v>1040.8858115370676</v>
          </cell>
        </row>
        <row r="28">
          <cell r="F28">
            <v>799.45146815442979</v>
          </cell>
        </row>
        <row r="29">
          <cell r="F29">
            <v>241.43434338263785</v>
          </cell>
        </row>
        <row r="30">
          <cell r="F30">
            <v>2270.5610244802087</v>
          </cell>
        </row>
        <row r="33">
          <cell r="F33">
            <v>1556.5548467179333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13.67</v>
          </cell>
        </row>
        <row r="19">
          <cell r="E19">
            <v>26.27</v>
          </cell>
        </row>
      </sheetData>
      <sheetData sheetId="29" refreshError="1"/>
      <sheetData sheetId="30">
        <row r="12">
          <cell r="F12">
            <v>81.697681107427158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Суздалка, Доволенский муниципальный район</v>
          </cell>
        </row>
        <row r="15">
          <cell r="D15" t="str">
            <v/>
          </cell>
        </row>
        <row r="16">
          <cell r="D16" t="str">
            <v>Код ОКТМО</v>
          </cell>
          <cell r="E16" t="str">
            <v>50610425101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1030.1960459923912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2770.0250000000001</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419.6397233853578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77.357790000000008</v>
          </cell>
        </row>
        <row r="27">
          <cell r="F27">
            <v>1040.8858115370676</v>
          </cell>
        </row>
        <row r="28">
          <cell r="F28">
            <v>799.45146815442979</v>
          </cell>
        </row>
        <row r="29">
          <cell r="F29">
            <v>241.43434338263785</v>
          </cell>
        </row>
        <row r="30">
          <cell r="F30">
            <v>2233.983184310443</v>
          </cell>
        </row>
        <row r="33">
          <cell r="F33">
            <v>1518.3142669041224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20.53</v>
          </cell>
        </row>
        <row r="19">
          <cell r="E19">
            <v>26.27</v>
          </cell>
        </row>
      </sheetData>
      <sheetData sheetId="29" refreshError="1"/>
      <sheetData sheetId="30">
        <row r="12">
          <cell r="F12">
            <v>81.169663672028022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Травное, Доволенский муниципальный район</v>
          </cell>
        </row>
        <row r="15">
          <cell r="D15" t="str">
            <v/>
          </cell>
        </row>
        <row r="16">
          <cell r="D16" t="str">
            <v>Код ОКТМО</v>
          </cell>
          <cell r="E16" t="str">
            <v>50610428101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976.46145561439812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2625.541666666667</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414.38441172882682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55.930020000000006</v>
          </cell>
        </row>
        <row r="27">
          <cell r="F27">
            <v>1040.8858115370676</v>
          </cell>
        </row>
        <row r="28">
          <cell r="F28">
            <v>799.45146815442979</v>
          </cell>
        </row>
        <row r="29">
          <cell r="F29">
            <v>241.43434338263785</v>
          </cell>
        </row>
        <row r="30">
          <cell r="F30">
            <v>2154.1964352974105</v>
          </cell>
        </row>
        <row r="33">
          <cell r="F33">
            <v>1440.0084711309028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14.42</v>
          </cell>
        </row>
        <row r="19">
          <cell r="E19">
            <v>26.27</v>
          </cell>
        </row>
      </sheetData>
      <sheetData sheetId="29" refreshError="1"/>
      <sheetData sheetId="30">
        <row r="12">
          <cell r="F12">
            <v>79.989865631337551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Утянка, Доволенский муниципальный район</v>
          </cell>
        </row>
        <row r="15">
          <cell r="D15" t="str">
            <v/>
          </cell>
        </row>
        <row r="16">
          <cell r="D16" t="str">
            <v>Код ОКТМО</v>
          </cell>
          <cell r="E16" t="str">
            <v>50610431101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986.48749090525087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2652.5</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416.87230111590861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81.548655000000011</v>
          </cell>
        </row>
        <row r="27">
          <cell r="F27">
            <v>1040.8858115370676</v>
          </cell>
        </row>
        <row r="28">
          <cell r="F28">
            <v>799.45146815442979</v>
          </cell>
        </row>
        <row r="29">
          <cell r="F29">
            <v>241.43434338263785</v>
          </cell>
        </row>
        <row r="30">
          <cell r="F30">
            <v>2170.5776733177272</v>
          </cell>
        </row>
        <row r="33">
          <cell r="F33">
            <v>1454.6191095739964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21.725000000000001</v>
          </cell>
        </row>
        <row r="19">
          <cell r="E19">
            <v>26.27</v>
          </cell>
        </row>
      </sheetData>
      <sheetData sheetId="29" refreshError="1"/>
      <sheetData sheetId="30">
        <row r="12">
          <cell r="F12">
            <v>80.240144124896233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Шагалка, Доволенский муниципальный район</v>
          </cell>
        </row>
        <row r="15">
          <cell r="D15" t="str">
            <v/>
          </cell>
        </row>
        <row r="16">
          <cell r="D16" t="str">
            <v>Код ОКТМО</v>
          </cell>
          <cell r="E16" t="str">
            <v>50610433101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976.46145561439812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2625.541666666667</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414.38441172882682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55.930020000000006</v>
          </cell>
        </row>
        <row r="27">
          <cell r="F27">
            <v>1040.8858115370676</v>
          </cell>
        </row>
        <row r="28">
          <cell r="F28">
            <v>799.45146815442979</v>
          </cell>
        </row>
        <row r="29">
          <cell r="F29">
            <v>241.43434338263785</v>
          </cell>
        </row>
        <row r="30">
          <cell r="F30">
            <v>2154.1964352974105</v>
          </cell>
        </row>
        <row r="33">
          <cell r="F33">
            <v>1440.0084711309028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14.42</v>
          </cell>
        </row>
        <row r="19">
          <cell r="E19">
            <v>26.27</v>
          </cell>
        </row>
      </sheetData>
      <sheetData sheetId="29" refreshError="1"/>
      <sheetData sheetId="30">
        <row r="12">
          <cell r="F12">
            <v>79.989865631337551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Ярки, Доволенский муниципальный район</v>
          </cell>
        </row>
        <row r="15">
          <cell r="D15" t="str">
            <v/>
          </cell>
        </row>
        <row r="16">
          <cell r="D16" t="str">
            <v>Код ОКТМО</v>
          </cell>
          <cell r="E16" t="str">
            <v>50610434101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977.41602095275437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2628.1083333333336</v>
          </cell>
        </row>
      </sheetData>
      <sheetData sheetId="9" refreshError="1"/>
      <sheetData sheetId="10" refreshError="1"/>
      <sheetData sheetId="11"/>
      <sheetData sheetId="12" refreshError="1"/>
      <sheetData sheetId="13">
        <row r="12">
          <cell r="F12">
            <v>2105.0745921739249</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1012.1091133444331</v>
          </cell>
        </row>
        <row r="27">
          <cell r="F27">
            <v>0.17433463600000002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503.57282204972699</v>
          </cell>
        </row>
        <row r="14">
          <cell r="F14">
            <v>6993.2576401328561</v>
          </cell>
        </row>
        <row r="15">
          <cell r="F15">
            <v>0.2</v>
          </cell>
        </row>
        <row r="18">
          <cell r="F18">
            <v>15</v>
          </cell>
        </row>
        <row r="19">
          <cell r="F19">
            <v>3487.1555421534131</v>
          </cell>
        </row>
        <row r="20">
          <cell r="F20">
            <v>2.1999999999999999E-2</v>
          </cell>
        </row>
        <row r="21">
          <cell r="F21">
            <v>10</v>
          </cell>
        </row>
        <row r="22">
          <cell r="F22">
            <v>3.0363273400332993</v>
          </cell>
        </row>
        <row r="23">
          <cell r="F23">
            <v>3.0000000000000001E-3</v>
          </cell>
        </row>
        <row r="24">
          <cell r="F24">
            <v>1012.1091133444331</v>
          </cell>
        </row>
      </sheetData>
      <sheetData sheetId="24"/>
      <sheetData sheetId="25">
        <row r="12">
          <cell r="F12">
            <v>414.25807690631598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53.159490000000005</v>
          </cell>
        </row>
        <row r="27">
          <cell r="F27">
            <v>1040.8858115370676</v>
          </cell>
        </row>
        <row r="28">
          <cell r="F28">
            <v>799.45146815442979</v>
          </cell>
        </row>
        <row r="29">
          <cell r="F29">
            <v>241.43434338263785</v>
          </cell>
        </row>
        <row r="30">
          <cell r="F30">
            <v>2155.3960128579993</v>
          </cell>
        </row>
        <row r="33">
          <cell r="F33">
            <v>1441.399530370616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13.63</v>
          </cell>
        </row>
        <row r="19">
          <cell r="E19">
            <v>26.27</v>
          </cell>
        </row>
      </sheetData>
      <sheetData sheetId="29" refreshError="1"/>
      <sheetData sheetId="30">
        <row r="12">
          <cell r="F12">
            <v>80.006430241654456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[5]И1!D13</f>
        <v>Субъект Российской Федерации</v>
      </c>
      <c r="C4" s="10" t="str">
        <f>[5]И1!E13</f>
        <v>Новосибирская область</v>
      </c>
    </row>
    <row r="5" spans="1:3" ht="38.25">
      <c r="A5" s="8"/>
      <c r="B5" s="9" t="str">
        <f>[5]И1!D14</f>
        <v>Тип муниципального образования (выберите из списка)</v>
      </c>
      <c r="C5" s="10" t="str">
        <f>[5]И1!E14</f>
        <v>село Баклуши, Доволенский муниципальный район</v>
      </c>
    </row>
    <row r="6" spans="1:3">
      <c r="A6" s="8"/>
      <c r="B6" s="9" t="str">
        <f>IF([5]И1!E15="","",[5]И1!D15)</f>
        <v/>
      </c>
      <c r="C6" s="10" t="str">
        <f>IF([5]И1!E15="","",[5]И1!E15)</f>
        <v/>
      </c>
    </row>
    <row r="7" spans="1:3">
      <c r="A7" s="8"/>
      <c r="B7" s="9" t="str">
        <f>[5]И1!D16</f>
        <v>Код ОКТМО</v>
      </c>
      <c r="C7" s="11" t="str">
        <f>[5]И1!E16</f>
        <v>50610402101</v>
      </c>
    </row>
    <row r="8" spans="1:3">
      <c r="A8" s="8"/>
      <c r="B8" s="12" t="str">
        <f>[5]И1!D17</f>
        <v>Система теплоснабжения</v>
      </c>
      <c r="C8" s="13">
        <f>[5]И1!E17</f>
        <v>0</v>
      </c>
    </row>
    <row r="9" spans="1:3">
      <c r="A9" s="8"/>
      <c r="B9" s="9" t="str">
        <f>[5]И1!D8</f>
        <v>Период регулирования (i)-й</v>
      </c>
      <c r="C9" s="14">
        <f>[5]И1!E8</f>
        <v>2023</v>
      </c>
    </row>
    <row r="10" spans="1:3">
      <c r="A10" s="8"/>
      <c r="B10" s="9" t="str">
        <f>[5]И1!D9</f>
        <v>Период регулирования (i-1)-й</v>
      </c>
      <c r="C10" s="14">
        <f>[5]И1!E9</f>
        <v>2022</v>
      </c>
    </row>
    <row r="11" spans="1:3">
      <c r="A11" s="8"/>
      <c r="B11" s="9" t="str">
        <f>[5]И1!D10</f>
        <v>Период регулирования (i-2)-й</v>
      </c>
      <c r="C11" s="14">
        <f>[5]И1!E10</f>
        <v>2021</v>
      </c>
    </row>
    <row r="12" spans="1:3">
      <c r="A12" s="8"/>
      <c r="B12" s="9" t="str">
        <f>[5]И1!D11</f>
        <v>Базовый год (б)</v>
      </c>
      <c r="C12" s="14">
        <f>[5]И1!E11</f>
        <v>2019</v>
      </c>
    </row>
    <row r="13" spans="1:3" ht="38.25">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4177.3905181696437</v>
      </c>
    </row>
    <row r="18" spans="1:3" ht="42.75">
      <c r="A18" s="22" t="s">
        <v>8</v>
      </c>
      <c r="B18" s="25" t="s">
        <v>9</v>
      </c>
      <c r="C18" s="26">
        <f>[5]С1!F12</f>
        <v>1065.1709480811937</v>
      </c>
    </row>
    <row r="19" spans="1:3" ht="42.75">
      <c r="A19" s="22" t="s">
        <v>10</v>
      </c>
      <c r="B19" s="25" t="s">
        <v>11</v>
      </c>
      <c r="C19" s="26">
        <f>[5]С2!F12</f>
        <v>2105.0745921739249</v>
      </c>
    </row>
    <row r="20" spans="1:3" ht="30">
      <c r="A20" s="22" t="s">
        <v>12</v>
      </c>
      <c r="B20" s="25" t="s">
        <v>13</v>
      </c>
      <c r="C20" s="26">
        <f>[5]С3!F12</f>
        <v>503.57282204972699</v>
      </c>
    </row>
    <row r="21" spans="1:3" ht="42.75">
      <c r="A21" s="22" t="s">
        <v>14</v>
      </c>
      <c r="B21" s="25" t="s">
        <v>15</v>
      </c>
      <c r="C21" s="26">
        <f>[5]С4!F12</f>
        <v>421.66253786147172</v>
      </c>
    </row>
    <row r="22" spans="1:3" ht="30">
      <c r="A22" s="22" t="s">
        <v>16</v>
      </c>
      <c r="B22" s="25" t="s">
        <v>17</v>
      </c>
      <c r="C22" s="26">
        <f>[5]С5!F12</f>
        <v>81.909618003326358</v>
      </c>
    </row>
    <row r="23" spans="1:3" ht="43.5" thickBot="1">
      <c r="A23" s="27" t="s">
        <v>18</v>
      </c>
      <c r="B23" s="117" t="s">
        <v>19</v>
      </c>
      <c r="C23" s="28" t="str">
        <f>[5]С6!F12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[5]С1.1!E16</f>
        <v>5100</v>
      </c>
    </row>
    <row r="29" spans="1:3" ht="42.75">
      <c r="A29" s="22" t="s">
        <v>10</v>
      </c>
      <c r="B29" s="33" t="s">
        <v>22</v>
      </c>
      <c r="C29" s="34">
        <f>[5]С1.1!E27</f>
        <v>2864.0666666666671</v>
      </c>
    </row>
    <row r="30" spans="1:3" ht="17.25">
      <c r="A30" s="22" t="s">
        <v>12</v>
      </c>
      <c r="B30" s="33" t="s">
        <v>23</v>
      </c>
      <c r="C30" s="35">
        <f>[5]С1.1!E19</f>
        <v>0.59499999999999997</v>
      </c>
    </row>
    <row r="31" spans="1:3" ht="17.25">
      <c r="A31" s="22" t="s">
        <v>14</v>
      </c>
      <c r="B31" s="33" t="s">
        <v>24</v>
      </c>
      <c r="C31" s="35">
        <f>[5]С1.1!E20</f>
        <v>-0.113</v>
      </c>
    </row>
    <row r="32" spans="1:3" ht="30">
      <c r="A32" s="22" t="s">
        <v>16</v>
      </c>
      <c r="B32" s="36" t="s">
        <v>25</v>
      </c>
      <c r="C32" s="37">
        <f>[5]С1!F13</f>
        <v>176.4</v>
      </c>
    </row>
    <row r="33" spans="1:3">
      <c r="A33" s="22" t="s">
        <v>18</v>
      </c>
      <c r="B33" s="36" t="s">
        <v>26</v>
      </c>
      <c r="C33" s="38">
        <f>[5]С1!F16</f>
        <v>7000</v>
      </c>
    </row>
    <row r="34" spans="1:3" ht="14.25">
      <c r="A34" s="22" t="s">
        <v>27</v>
      </c>
      <c r="B34" s="39" t="s">
        <v>28</v>
      </c>
      <c r="C34" s="40">
        <f>[5]С1!F17</f>
        <v>0.72857142857142854</v>
      </c>
    </row>
    <row r="35" spans="1:3" ht="15.75">
      <c r="A35" s="41" t="s">
        <v>29</v>
      </c>
      <c r="B35" s="42" t="s">
        <v>30</v>
      </c>
      <c r="C35" s="40">
        <f>[5]С1!F20</f>
        <v>21.588411179999994</v>
      </c>
    </row>
    <row r="36" spans="1:3" ht="15.75">
      <c r="A36" s="41" t="s">
        <v>31</v>
      </c>
      <c r="B36" s="43" t="s">
        <v>32</v>
      </c>
      <c r="C36" s="40">
        <f>[5]С1!F21</f>
        <v>20.818139999999996</v>
      </c>
    </row>
    <row r="37" spans="1:3" ht="14.25">
      <c r="A37" s="41" t="s">
        <v>33</v>
      </c>
      <c r="B37" s="44" t="s">
        <v>34</v>
      </c>
      <c r="C37" s="40">
        <f>[5]С1!F22</f>
        <v>1.0369999999999999</v>
      </c>
    </row>
    <row r="38" spans="1:3" ht="53.25" thickBot="1">
      <c r="A38" s="27" t="s">
        <v>35</v>
      </c>
      <c r="B38" s="45" t="s">
        <v>36</v>
      </c>
      <c r="C38" s="46">
        <f>[5]С1!F23</f>
        <v>1.0469999999999999</v>
      </c>
    </row>
    <row r="39" spans="1:3" ht="13.5" thickBot="1">
      <c r="A39" s="47"/>
      <c r="B39" s="48"/>
      <c r="C39" s="49"/>
    </row>
    <row r="40" spans="1:3" ht="30" customHeight="1">
      <c r="A40" s="50" t="s">
        <v>37</v>
      </c>
      <c r="B40" s="118" t="s">
        <v>38</v>
      </c>
      <c r="C40" s="118"/>
    </row>
    <row r="41" spans="1:3" ht="25.5">
      <c r="A41" s="22" t="s">
        <v>39</v>
      </c>
      <c r="B41" s="36" t="s">
        <v>40</v>
      </c>
      <c r="C41" s="51" t="str">
        <f>[5]С2.1!E12</f>
        <v>V</v>
      </c>
    </row>
    <row r="42" spans="1:3" ht="25.5">
      <c r="A42" s="22" t="s">
        <v>41</v>
      </c>
      <c r="B42" s="33" t="s">
        <v>42</v>
      </c>
      <c r="C42" s="51" t="str">
        <f>[5]С2.1!E13</f>
        <v>6 и менее баллов</v>
      </c>
    </row>
    <row r="43" spans="1:3" ht="25.5">
      <c r="A43" s="22" t="s">
        <v>43</v>
      </c>
      <c r="B43" s="33" t="s">
        <v>44</v>
      </c>
      <c r="C43" s="51" t="str">
        <f>[5]С2.1!E14</f>
        <v>от 200 до 500</v>
      </c>
    </row>
    <row r="44" spans="1:3" ht="25.5">
      <c r="A44" s="22" t="s">
        <v>45</v>
      </c>
      <c r="B44" s="33" t="s">
        <v>46</v>
      </c>
      <c r="C44" s="52" t="str">
        <f>[5]С2.1!E15</f>
        <v>нет</v>
      </c>
    </row>
    <row r="45" spans="1:3" ht="30">
      <c r="A45" s="22" t="s">
        <v>47</v>
      </c>
      <c r="B45" s="33" t="s">
        <v>48</v>
      </c>
      <c r="C45" s="34">
        <f>[5]С2!F18</f>
        <v>32402.627334033532</v>
      </c>
    </row>
    <row r="46" spans="1:3" ht="30">
      <c r="A46" s="22" t="s">
        <v>49</v>
      </c>
      <c r="B46" s="53" t="s">
        <v>50</v>
      </c>
      <c r="C46" s="34">
        <f>IF([5]С2!F19&gt;0,[5]С2!F19,[5]С2!F20)</f>
        <v>23441.524932855718</v>
      </c>
    </row>
    <row r="47" spans="1:3" ht="25.5">
      <c r="A47" s="22" t="s">
        <v>51</v>
      </c>
      <c r="B47" s="54" t="s">
        <v>52</v>
      </c>
      <c r="C47" s="34">
        <f>[5]С2.1!E19</f>
        <v>-38</v>
      </c>
    </row>
    <row r="48" spans="1:3" ht="25.5">
      <c r="A48" s="22" t="s">
        <v>53</v>
      </c>
      <c r="B48" s="54" t="s">
        <v>54</v>
      </c>
      <c r="C48" s="34" t="str">
        <f>[5]С2.1!E22</f>
        <v>нет</v>
      </c>
    </row>
    <row r="49" spans="1:3" ht="38.25">
      <c r="A49" s="22" t="s">
        <v>55</v>
      </c>
      <c r="B49" s="55" t="s">
        <v>56</v>
      </c>
      <c r="C49" s="34">
        <f>[5]С2.2!E10</f>
        <v>1287</v>
      </c>
    </row>
    <row r="50" spans="1:3" ht="25.5">
      <c r="A50" s="22" t="s">
        <v>57</v>
      </c>
      <c r="B50" s="56" t="s">
        <v>58</v>
      </c>
      <c r="C50" s="34">
        <f>[5]С2.2!E12</f>
        <v>5.97</v>
      </c>
    </row>
    <row r="51" spans="1:3" ht="52.5">
      <c r="A51" s="22" t="s">
        <v>59</v>
      </c>
      <c r="B51" s="57" t="s">
        <v>60</v>
      </c>
      <c r="C51" s="34">
        <f>[5]С2.2!E13</f>
        <v>1</v>
      </c>
    </row>
    <row r="52" spans="1:3" ht="27.75">
      <c r="A52" s="22" t="s">
        <v>61</v>
      </c>
      <c r="B52" s="56" t="s">
        <v>62</v>
      </c>
      <c r="C52" s="34">
        <f>[5]С2.2!E14</f>
        <v>12104</v>
      </c>
    </row>
    <row r="53" spans="1:3" ht="25.5">
      <c r="A53" s="22" t="s">
        <v>63</v>
      </c>
      <c r="B53" s="57" t="s">
        <v>64</v>
      </c>
      <c r="C53" s="35">
        <f>[5]С2.2!E15</f>
        <v>4.8000000000000001E-2</v>
      </c>
    </row>
    <row r="54" spans="1:3">
      <c r="A54" s="22" t="s">
        <v>65</v>
      </c>
      <c r="B54" s="57" t="s">
        <v>66</v>
      </c>
      <c r="C54" s="34">
        <f>[5]С2.2!E16</f>
        <v>1</v>
      </c>
    </row>
    <row r="55" spans="1:3" ht="15.75">
      <c r="A55" s="22" t="s">
        <v>67</v>
      </c>
      <c r="B55" s="58" t="s">
        <v>68</v>
      </c>
      <c r="C55" s="34">
        <f>[5]С2!F21</f>
        <v>1</v>
      </c>
    </row>
    <row r="56" spans="1:3" ht="30">
      <c r="A56" s="59" t="s">
        <v>69</v>
      </c>
      <c r="B56" s="33" t="s">
        <v>70</v>
      </c>
      <c r="C56" s="34">
        <f>[5]С2!F13</f>
        <v>169640.22915965237</v>
      </c>
    </row>
    <row r="57" spans="1:3" ht="30">
      <c r="A57" s="59" t="s">
        <v>71</v>
      </c>
      <c r="B57" s="58" t="s">
        <v>72</v>
      </c>
      <c r="C57" s="34">
        <f>[5]С2!F14</f>
        <v>113455</v>
      </c>
    </row>
    <row r="58" spans="1:3" ht="15.75">
      <c r="A58" s="59" t="s">
        <v>73</v>
      </c>
      <c r="B58" s="60" t="s">
        <v>74</v>
      </c>
      <c r="C58" s="40">
        <f>[5]С2!F15</f>
        <v>1.071</v>
      </c>
    </row>
    <row r="59" spans="1:3" ht="15.75">
      <c r="A59" s="59" t="s">
        <v>75</v>
      </c>
      <c r="B59" s="60" t="s">
        <v>76</v>
      </c>
      <c r="C59" s="40">
        <f>[5]С2!F16</f>
        <v>1</v>
      </c>
    </row>
    <row r="60" spans="1:3" ht="17.25">
      <c r="A60" s="59" t="s">
        <v>77</v>
      </c>
      <c r="B60" s="58" t="s">
        <v>78</v>
      </c>
      <c r="C60" s="34">
        <f>[5]С2!F17</f>
        <v>1.01</v>
      </c>
    </row>
    <row r="61" spans="1:3" s="63" customFormat="1" ht="14.25">
      <c r="A61" s="59" t="s">
        <v>79</v>
      </c>
      <c r="B61" s="61" t="s">
        <v>80</v>
      </c>
      <c r="C61" s="62">
        <f>[5]С2!F33</f>
        <v>10</v>
      </c>
    </row>
    <row r="62" spans="1:3" ht="30">
      <c r="A62" s="59" t="s">
        <v>81</v>
      </c>
      <c r="B62" s="64" t="s">
        <v>82</v>
      </c>
      <c r="C62" s="34">
        <f>[5]С2!F26</f>
        <v>1012.1091133444331</v>
      </c>
    </row>
    <row r="63" spans="1:3" ht="17.25">
      <c r="A63" s="59" t="s">
        <v>83</v>
      </c>
      <c r="B63" s="53" t="s">
        <v>84</v>
      </c>
      <c r="C63" s="34">
        <f>[5]С2!F27</f>
        <v>0.17433463600000002</v>
      </c>
    </row>
    <row r="64" spans="1:3" ht="17.25">
      <c r="A64" s="59" t="s">
        <v>85</v>
      </c>
      <c r="B64" s="58" t="s">
        <v>86</v>
      </c>
      <c r="C64" s="62">
        <f>[5]С2!F28</f>
        <v>4200</v>
      </c>
    </row>
    <row r="65" spans="1:3" ht="42.75">
      <c r="A65" s="59" t="s">
        <v>87</v>
      </c>
      <c r="B65" s="33" t="s">
        <v>88</v>
      </c>
      <c r="C65" s="34">
        <f>[5]С2!F22</f>
        <v>35717.748653137714</v>
      </c>
    </row>
    <row r="66" spans="1:3" ht="30">
      <c r="A66" s="59" t="s">
        <v>89</v>
      </c>
      <c r="B66" s="60" t="s">
        <v>90</v>
      </c>
      <c r="C66" s="34">
        <f>[5]С2!F23</f>
        <v>1990</v>
      </c>
    </row>
    <row r="67" spans="1:3" ht="30">
      <c r="A67" s="59" t="s">
        <v>91</v>
      </c>
      <c r="B67" s="53" t="s">
        <v>92</v>
      </c>
      <c r="C67" s="34">
        <f>[5]С2.1!E27</f>
        <v>14307.876789999998</v>
      </c>
    </row>
    <row r="68" spans="1:3" ht="38.25">
      <c r="A68" s="59" t="s">
        <v>93</v>
      </c>
      <c r="B68" s="65" t="s">
        <v>94</v>
      </c>
      <c r="C68" s="52">
        <f>[5]С2.3!E21</f>
        <v>0</v>
      </c>
    </row>
    <row r="69" spans="1:3" ht="25.5">
      <c r="A69" s="59" t="s">
        <v>95</v>
      </c>
      <c r="B69" s="66" t="s">
        <v>96</v>
      </c>
      <c r="C69" s="67">
        <f>[5]С2.3!E11</f>
        <v>9.89</v>
      </c>
    </row>
    <row r="70" spans="1:3" ht="25.5">
      <c r="A70" s="59" t="s">
        <v>97</v>
      </c>
      <c r="B70" s="66" t="s">
        <v>98</v>
      </c>
      <c r="C70" s="62">
        <f>[5]С2.3!E13</f>
        <v>300</v>
      </c>
    </row>
    <row r="71" spans="1:3" ht="25.5">
      <c r="A71" s="59" t="s">
        <v>99</v>
      </c>
      <c r="B71" s="65" t="s">
        <v>100</v>
      </c>
      <c r="C71" s="68">
        <f>IF([5]С2.3!E22&gt;0,[5]С2.3!E22,[5]С2.3!E14)</f>
        <v>61211</v>
      </c>
    </row>
    <row r="72" spans="1:3" ht="38.25">
      <c r="A72" s="59" t="s">
        <v>101</v>
      </c>
      <c r="B72" s="65" t="s">
        <v>102</v>
      </c>
      <c r="C72" s="68">
        <f>IF([5]С2.3!E23&gt;0,[5]С2.3!E23,[5]С2.3!E15)</f>
        <v>45675</v>
      </c>
    </row>
    <row r="73" spans="1:3" ht="30">
      <c r="A73" s="59" t="s">
        <v>103</v>
      </c>
      <c r="B73" s="53" t="s">
        <v>104</v>
      </c>
      <c r="C73" s="34">
        <f>[5]С2.1!E28</f>
        <v>9541.9567200000001</v>
      </c>
    </row>
    <row r="74" spans="1:3" ht="38.25">
      <c r="A74" s="59" t="s">
        <v>105</v>
      </c>
      <c r="B74" s="65" t="s">
        <v>106</v>
      </c>
      <c r="C74" s="52">
        <f>[5]С2.3!E25</f>
        <v>0</v>
      </c>
    </row>
    <row r="75" spans="1:3" ht="25.5">
      <c r="A75" s="59" t="s">
        <v>107</v>
      </c>
      <c r="B75" s="66" t="s">
        <v>108</v>
      </c>
      <c r="C75" s="67">
        <f>[5]С2.3!E12</f>
        <v>0.56000000000000005</v>
      </c>
    </row>
    <row r="76" spans="1:3" ht="25.5">
      <c r="A76" s="59" t="s">
        <v>109</v>
      </c>
      <c r="B76" s="66" t="s">
        <v>98</v>
      </c>
      <c r="C76" s="62">
        <f>[5]С2.3!E13</f>
        <v>300</v>
      </c>
    </row>
    <row r="77" spans="1:3" ht="25.5">
      <c r="A77" s="59" t="s">
        <v>110</v>
      </c>
      <c r="B77" s="69" t="s">
        <v>111</v>
      </c>
      <c r="C77" s="68">
        <f>IF([5]С2.3!E26&gt;0,[5]С2.3!E26,[5]С2.3!E16)</f>
        <v>65637</v>
      </c>
    </row>
    <row r="78" spans="1:3" ht="38.25">
      <c r="A78" s="59" t="s">
        <v>112</v>
      </c>
      <c r="B78" s="69" t="s">
        <v>113</v>
      </c>
      <c r="C78" s="68">
        <f>IF([5]С2.3!E27&gt;0,[5]С2.3!E27,[5]С2.3!E17)</f>
        <v>31684</v>
      </c>
    </row>
    <row r="79" spans="1:3" ht="17.25">
      <c r="A79" s="59" t="s">
        <v>114</v>
      </c>
      <c r="B79" s="33" t="s">
        <v>115</v>
      </c>
      <c r="C79" s="35">
        <f>[5]С2!F29</f>
        <v>0.128978033685065</v>
      </c>
    </row>
    <row r="80" spans="1:3" ht="30">
      <c r="A80" s="59" t="s">
        <v>116</v>
      </c>
      <c r="B80" s="53" t="s">
        <v>117</v>
      </c>
      <c r="C80" s="70">
        <f>[5]С2!F30</f>
        <v>0.11668498168498169</v>
      </c>
    </row>
    <row r="81" spans="1:3" ht="17.25">
      <c r="A81" s="59" t="s">
        <v>118</v>
      </c>
      <c r="B81" s="71" t="s">
        <v>119</v>
      </c>
      <c r="C81" s="35">
        <f>[5]С2!F31</f>
        <v>0.13880000000000001</v>
      </c>
    </row>
    <row r="82" spans="1:3" s="63" customFormat="1" ht="18" thickBot="1">
      <c r="A82" s="72" t="s">
        <v>120</v>
      </c>
      <c r="B82" s="73" t="s">
        <v>121</v>
      </c>
      <c r="C82" s="74">
        <f>[5]С2!F32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[5]С3!F14</f>
        <v>6993.2576401328561</v>
      </c>
    </row>
    <row r="86" spans="1:3" s="63" customFormat="1" ht="42.75">
      <c r="A86" s="77" t="s">
        <v>126</v>
      </c>
      <c r="B86" s="53" t="s">
        <v>127</v>
      </c>
      <c r="C86" s="78">
        <f>[5]С3!F15</f>
        <v>0.2</v>
      </c>
    </row>
    <row r="87" spans="1:3" s="63" customFormat="1" ht="14.25">
      <c r="A87" s="77" t="s">
        <v>128</v>
      </c>
      <c r="B87" s="79" t="s">
        <v>129</v>
      </c>
      <c r="C87" s="62">
        <f>[5]С3!F18</f>
        <v>15</v>
      </c>
    </row>
    <row r="88" spans="1:3" s="63" customFormat="1" ht="17.25">
      <c r="A88" s="77" t="s">
        <v>130</v>
      </c>
      <c r="B88" s="33" t="s">
        <v>131</v>
      </c>
      <c r="C88" s="34">
        <f>[5]С3!F19</f>
        <v>3487.1555421534131</v>
      </c>
    </row>
    <row r="89" spans="1:3" s="63" customFormat="1" ht="55.5">
      <c r="A89" s="77" t="s">
        <v>132</v>
      </c>
      <c r="B89" s="53" t="s">
        <v>133</v>
      </c>
      <c r="C89" s="80">
        <f>[5]С3!F20</f>
        <v>2.1999999999999999E-2</v>
      </c>
    </row>
    <row r="90" spans="1:3" s="63" customFormat="1" ht="14.25">
      <c r="A90" s="77" t="s">
        <v>134</v>
      </c>
      <c r="B90" s="58" t="s">
        <v>80</v>
      </c>
      <c r="C90" s="62">
        <f>[5]С3!F21</f>
        <v>10</v>
      </c>
    </row>
    <row r="91" spans="1:3" s="63" customFormat="1" ht="17.25">
      <c r="A91" s="77" t="s">
        <v>135</v>
      </c>
      <c r="B91" s="33" t="s">
        <v>136</v>
      </c>
      <c r="C91" s="34">
        <f>[5]С3!F22</f>
        <v>3.0363273400332993</v>
      </c>
    </row>
    <row r="92" spans="1:3" s="63" customFormat="1" ht="55.5">
      <c r="A92" s="77" t="s">
        <v>137</v>
      </c>
      <c r="B92" s="53" t="s">
        <v>138</v>
      </c>
      <c r="C92" s="80">
        <f>[5]С3!F23</f>
        <v>3.0000000000000001E-3</v>
      </c>
    </row>
    <row r="93" spans="1:3" s="63" customFormat="1" ht="27.75" thickBot="1">
      <c r="A93" s="81" t="s">
        <v>139</v>
      </c>
      <c r="B93" s="82" t="s">
        <v>140</v>
      </c>
      <c r="C93" s="83">
        <f>[5]С3!F24</f>
        <v>1012.1091133444331</v>
      </c>
    </row>
    <row r="94" spans="1:3" ht="13.5" thickBot="1">
      <c r="A94" s="47"/>
      <c r="B94" s="75"/>
      <c r="C94" s="15"/>
    </row>
    <row r="95" spans="1:3" ht="30" customHeight="1">
      <c r="A95" s="84" t="s">
        <v>141</v>
      </c>
      <c r="B95" s="118" t="s">
        <v>142</v>
      </c>
      <c r="C95" s="118"/>
    </row>
    <row r="96" spans="1:3" ht="30">
      <c r="A96" s="59" t="s">
        <v>143</v>
      </c>
      <c r="B96" s="33" t="s">
        <v>144</v>
      </c>
      <c r="C96" s="34">
        <f>[5]С4!F16</f>
        <v>1652.5</v>
      </c>
    </row>
    <row r="97" spans="1:3" ht="30">
      <c r="A97" s="59" t="s">
        <v>145</v>
      </c>
      <c r="B97" s="58" t="s">
        <v>146</v>
      </c>
      <c r="C97" s="34">
        <f>[5]С4!F17</f>
        <v>73547</v>
      </c>
    </row>
    <row r="98" spans="1:3" ht="17.25">
      <c r="A98" s="59" t="s">
        <v>147</v>
      </c>
      <c r="B98" s="58" t="s">
        <v>148</v>
      </c>
      <c r="C98" s="40">
        <f>[5]С4!F18</f>
        <v>0.02</v>
      </c>
    </row>
    <row r="99" spans="1:3" ht="30">
      <c r="A99" s="59" t="s">
        <v>149</v>
      </c>
      <c r="B99" s="58" t="s">
        <v>150</v>
      </c>
      <c r="C99" s="34">
        <f>[5]С4!F19</f>
        <v>12104</v>
      </c>
    </row>
    <row r="100" spans="1:3" ht="31.5">
      <c r="A100" s="59" t="s">
        <v>151</v>
      </c>
      <c r="B100" s="58" t="s">
        <v>152</v>
      </c>
      <c r="C100" s="40">
        <f>[5]С4!F20</f>
        <v>1.4999999999999999E-2</v>
      </c>
    </row>
    <row r="101" spans="1:3" ht="30">
      <c r="A101" s="59" t="s">
        <v>153</v>
      </c>
      <c r="B101" s="33" t="s">
        <v>154</v>
      </c>
      <c r="C101" s="34">
        <f>[5]С4!F21</f>
        <v>1933.1949342509995</v>
      </c>
    </row>
    <row r="102" spans="1:3" ht="24" customHeight="1">
      <c r="A102" s="59" t="s">
        <v>155</v>
      </c>
      <c r="B102" s="53" t="s">
        <v>156</v>
      </c>
      <c r="C102" s="85">
        <f>IF([5]С4.2!F8="да",[5]С4.2!D21,[5]С4.2!D15)</f>
        <v>0</v>
      </c>
    </row>
    <row r="103" spans="1:3" ht="68.25">
      <c r="A103" s="59" t="s">
        <v>157</v>
      </c>
      <c r="B103" s="53" t="s">
        <v>158</v>
      </c>
      <c r="C103" s="34">
        <f>[5]С4!F22</f>
        <v>3.6112641666666665</v>
      </c>
    </row>
    <row r="104" spans="1:3" ht="30">
      <c r="A104" s="59" t="s">
        <v>159</v>
      </c>
      <c r="B104" s="58" t="s">
        <v>160</v>
      </c>
      <c r="C104" s="34">
        <f>[5]С4!F23</f>
        <v>180</v>
      </c>
    </row>
    <row r="105" spans="1:3" ht="14.25">
      <c r="A105" s="59" t="s">
        <v>161</v>
      </c>
      <c r="B105" s="53" t="s">
        <v>162</v>
      </c>
      <c r="C105" s="34">
        <f>[5]С4!F24</f>
        <v>8497.1999999999989</v>
      </c>
    </row>
    <row r="106" spans="1:3" ht="14.25">
      <c r="A106" s="59" t="s">
        <v>163</v>
      </c>
      <c r="B106" s="58" t="s">
        <v>164</v>
      </c>
      <c r="C106" s="40">
        <f>[5]С4!F25</f>
        <v>0.35</v>
      </c>
    </row>
    <row r="107" spans="1:3" ht="17.25">
      <c r="A107" s="59" t="s">
        <v>165</v>
      </c>
      <c r="B107" s="33" t="s">
        <v>166</v>
      </c>
      <c r="C107" s="34">
        <f>[5]С4!F26</f>
        <v>71.255610000000004</v>
      </c>
    </row>
    <row r="108" spans="1:3" ht="25.5">
      <c r="A108" s="59" t="s">
        <v>167</v>
      </c>
      <c r="B108" s="53" t="s">
        <v>94</v>
      </c>
      <c r="C108" s="85">
        <f>[5]С4.3!E16</f>
        <v>0</v>
      </c>
    </row>
    <row r="109" spans="1:3" ht="25.5">
      <c r="A109" s="59" t="s">
        <v>168</v>
      </c>
      <c r="B109" s="53" t="s">
        <v>169</v>
      </c>
      <c r="C109" s="34">
        <f>[5]С4.3!E17</f>
        <v>18.79</v>
      </c>
    </row>
    <row r="110" spans="1:3" ht="38.25">
      <c r="A110" s="59" t="s">
        <v>170</v>
      </c>
      <c r="B110" s="53" t="s">
        <v>106</v>
      </c>
      <c r="C110" s="85">
        <f>[5]С4.3!E18</f>
        <v>0</v>
      </c>
    </row>
    <row r="111" spans="1:3">
      <c r="A111" s="59" t="s">
        <v>171</v>
      </c>
      <c r="B111" s="53" t="s">
        <v>172</v>
      </c>
      <c r="C111" s="34">
        <f>[5]С4.3!E19</f>
        <v>26.27</v>
      </c>
    </row>
    <row r="112" spans="1:3">
      <c r="A112" s="59" t="s">
        <v>173</v>
      </c>
      <c r="B112" s="58" t="s">
        <v>174</v>
      </c>
      <c r="C112" s="34">
        <f>[5]С4.3!E11</f>
        <v>1871</v>
      </c>
    </row>
    <row r="113" spans="1:3">
      <c r="A113" s="59" t="s">
        <v>175</v>
      </c>
      <c r="B113" s="58" t="s">
        <v>176</v>
      </c>
      <c r="C113" s="52">
        <f>[5]С4.3!E12</f>
        <v>1636</v>
      </c>
    </row>
    <row r="114" spans="1:3">
      <c r="A114" s="59" t="s">
        <v>177</v>
      </c>
      <c r="B114" s="58" t="s">
        <v>178</v>
      </c>
      <c r="C114" s="52">
        <f>[5]С4.3!E13</f>
        <v>204</v>
      </c>
    </row>
    <row r="115" spans="1:3" ht="30">
      <c r="A115" s="59" t="s">
        <v>179</v>
      </c>
      <c r="B115" s="33" t="s">
        <v>180</v>
      </c>
      <c r="C115" s="34">
        <f>[5]С4!F27</f>
        <v>1040.8858115370676</v>
      </c>
    </row>
    <row r="116" spans="1:3" ht="25.5">
      <c r="A116" s="59" t="s">
        <v>181</v>
      </c>
      <c r="B116" s="53" t="s">
        <v>182</v>
      </c>
      <c r="C116" s="34">
        <f>[5]С4!F28</f>
        <v>799.45146815442979</v>
      </c>
    </row>
    <row r="117" spans="1:3" ht="42.75">
      <c r="A117" s="59" t="s">
        <v>183</v>
      </c>
      <c r="B117" s="53" t="s">
        <v>184</v>
      </c>
      <c r="C117" s="34">
        <f>[5]С4!F29</f>
        <v>241.43434338263785</v>
      </c>
    </row>
    <row r="118" spans="1:3" ht="30">
      <c r="A118" s="59" t="s">
        <v>185</v>
      </c>
      <c r="B118" s="39" t="s">
        <v>186</v>
      </c>
      <c r="C118" s="34">
        <f>[5]С4!F30</f>
        <v>2284.5293084245932</v>
      </c>
    </row>
    <row r="119" spans="1:3" ht="42.75">
      <c r="A119" s="59" t="s">
        <v>187</v>
      </c>
      <c r="B119" s="86" t="s">
        <v>188</v>
      </c>
      <c r="C119" s="34">
        <f>[5]С4!F33</f>
        <v>1569.2821354760915</v>
      </c>
    </row>
    <row r="120" spans="1:3" ht="30">
      <c r="A120" s="59" t="s">
        <v>189</v>
      </c>
      <c r="B120" s="87" t="s">
        <v>190</v>
      </c>
      <c r="C120" s="34">
        <f>[5]С4!F35</f>
        <v>17.040680999999999</v>
      </c>
    </row>
    <row r="121" spans="1:3" ht="14.25">
      <c r="A121" s="59" t="s">
        <v>191</v>
      </c>
      <c r="B121" s="56" t="s">
        <v>192</v>
      </c>
      <c r="C121" s="34">
        <f>[5]С4!F36</f>
        <v>14319.9</v>
      </c>
    </row>
    <row r="122" spans="1:3" ht="28.5" thickBot="1">
      <c r="A122" s="72" t="s">
        <v>193</v>
      </c>
      <c r="B122" s="88" t="s">
        <v>194</v>
      </c>
      <c r="C122" s="83">
        <f>[5]С4!F37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[5]С5!F17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[5]С2!F37</f>
        <v>20.818139999999996</v>
      </c>
    </row>
    <row r="136" spans="1:4" ht="14.25">
      <c r="A136" s="59" t="s">
        <v>216</v>
      </c>
      <c r="B136" s="101" t="s">
        <v>217</v>
      </c>
      <c r="C136" s="34">
        <f>[5]С2!F38</f>
        <v>7</v>
      </c>
    </row>
    <row r="137" spans="1:4" ht="17.25">
      <c r="A137" s="59" t="s">
        <v>218</v>
      </c>
      <c r="B137" s="101" t="s">
        <v>219</v>
      </c>
      <c r="C137" s="34">
        <f>[5]С2!F40</f>
        <v>0.97</v>
      </c>
    </row>
    <row r="138" spans="1:4" ht="15" thickBot="1">
      <c r="A138" s="72" t="s">
        <v>220</v>
      </c>
      <c r="B138" s="102" t="s">
        <v>221</v>
      </c>
      <c r="C138" s="46">
        <f>[5]С2!F42</f>
        <v>0.35</v>
      </c>
    </row>
    <row r="139" spans="1:4" s="89" customFormat="1" ht="13.5" thickBot="1">
      <c r="A139" s="47"/>
      <c r="B139" s="75"/>
      <c r="C139" s="15"/>
    </row>
    <row r="140" spans="1:4" ht="30">
      <c r="A140" s="84" t="s">
        <v>222</v>
      </c>
      <c r="B140" s="103" t="s">
        <v>223</v>
      </c>
      <c r="C140" s="104">
        <f>[5]С2!F35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[5]С2.5!$E$11</f>
        <v>-2.9000000000000026E-2</v>
      </c>
      <c r="D143" s="89"/>
    </row>
    <row r="144" spans="1:4">
      <c r="A144" s="105"/>
      <c r="B144" s="110">
        <f>B143+1</f>
        <v>2021</v>
      </c>
      <c r="C144" s="111">
        <f>[5]С2.5!$F$11</f>
        <v>0.245</v>
      </c>
      <c r="D144" s="89"/>
    </row>
    <row r="145" spans="1:4">
      <c r="A145" s="105"/>
      <c r="B145" s="110">
        <f t="shared" ref="B145:B208" si="0">B144+1</f>
        <v>2022</v>
      </c>
      <c r="C145" s="111">
        <f>[5]С2.5!$G$11</f>
        <v>0.121</v>
      </c>
      <c r="D145" s="89"/>
    </row>
    <row r="146" spans="1:4" ht="13.5" thickBot="1">
      <c r="A146" s="105"/>
      <c r="B146" s="112">
        <f t="shared" si="0"/>
        <v>2023</v>
      </c>
      <c r="C146" s="113">
        <f>[5]С2.5!$H$11</f>
        <v>0.02</v>
      </c>
      <c r="D146" s="89"/>
    </row>
    <row r="147" spans="1:4" hidden="1">
      <c r="A147" s="105"/>
      <c r="B147" s="114">
        <f t="shared" si="0"/>
        <v>2024</v>
      </c>
      <c r="C147" s="115">
        <f>[5]С2.5!$I$11</f>
        <v>-2.93E-2</v>
      </c>
      <c r="D147" s="89"/>
    </row>
    <row r="148" spans="1:4" hidden="1">
      <c r="A148" s="105"/>
      <c r="B148" s="110">
        <f t="shared" si="0"/>
        <v>2025</v>
      </c>
      <c r="C148" s="111">
        <f>[5]С2.5!$J$11</f>
        <v>0.21215960863291</v>
      </c>
      <c r="D148" s="89"/>
    </row>
    <row r="149" spans="1:4" hidden="1">
      <c r="A149" s="105"/>
      <c r="B149" s="110">
        <f t="shared" si="0"/>
        <v>2026</v>
      </c>
      <c r="C149" s="111">
        <f>[5]С2.5!$K$11</f>
        <v>3.5813361771260002E-2</v>
      </c>
      <c r="D149" s="89"/>
    </row>
    <row r="150" spans="1:4" hidden="1">
      <c r="A150" s="105"/>
      <c r="B150" s="110">
        <f t="shared" si="0"/>
        <v>2027</v>
      </c>
      <c r="C150" s="111">
        <f>[5]С2.5!$L$11</f>
        <v>3.2682303599220003E-2</v>
      </c>
      <c r="D150" s="89"/>
    </row>
    <row r="151" spans="1:4" hidden="1">
      <c r="A151" s="105"/>
      <c r="B151" s="110">
        <f t="shared" si="0"/>
        <v>2028</v>
      </c>
      <c r="C151" s="111">
        <f>[5]С2.5!$M$11</f>
        <v>0</v>
      </c>
      <c r="D151" s="89"/>
    </row>
    <row r="152" spans="1:4" hidden="1">
      <c r="A152" s="105"/>
      <c r="B152" s="110">
        <f t="shared" si="0"/>
        <v>2029</v>
      </c>
      <c r="C152" s="111">
        <f>[5]С2.5!$N$11</f>
        <v>0</v>
      </c>
      <c r="D152" s="89"/>
    </row>
    <row r="153" spans="1:4" hidden="1">
      <c r="A153" s="105"/>
      <c r="B153" s="110">
        <f t="shared" si="0"/>
        <v>2030</v>
      </c>
      <c r="C153" s="111">
        <f>[5]С2.5!$O$11</f>
        <v>0</v>
      </c>
      <c r="D153" s="89"/>
    </row>
    <row r="154" spans="1:4" hidden="1">
      <c r="A154" s="105"/>
      <c r="B154" s="110">
        <f t="shared" si="0"/>
        <v>2031</v>
      </c>
      <c r="C154" s="111">
        <f>[5]С2.5!$P$11</f>
        <v>0</v>
      </c>
      <c r="D154" s="89"/>
    </row>
    <row r="155" spans="1:4" hidden="1">
      <c r="A155" s="89"/>
      <c r="B155" s="110">
        <f t="shared" si="0"/>
        <v>2032</v>
      </c>
      <c r="C155" s="111">
        <f>[5]С2.5!$Q$11</f>
        <v>0</v>
      </c>
      <c r="D155" s="89"/>
    </row>
    <row r="156" spans="1:4" hidden="1">
      <c r="A156" s="89"/>
      <c r="B156" s="110">
        <f t="shared" si="0"/>
        <v>2033</v>
      </c>
      <c r="C156" s="111">
        <f>[5]С2.5!$R$11</f>
        <v>0</v>
      </c>
      <c r="D156" s="89"/>
    </row>
    <row r="157" spans="1:4" hidden="1">
      <c r="B157" s="110">
        <f t="shared" si="0"/>
        <v>2034</v>
      </c>
      <c r="C157" s="111">
        <f>[5]С2.5!$S$11</f>
        <v>0</v>
      </c>
    </row>
    <row r="158" spans="1:4" hidden="1">
      <c r="B158" s="110">
        <f t="shared" si="0"/>
        <v>2035</v>
      </c>
      <c r="C158" s="111">
        <f>[5]С2.5!$T$11</f>
        <v>0</v>
      </c>
    </row>
    <row r="159" spans="1:4" hidden="1">
      <c r="B159" s="110">
        <f t="shared" si="0"/>
        <v>2036</v>
      </c>
      <c r="C159" s="111">
        <f>[5]С2.5!$U$11</f>
        <v>0</v>
      </c>
    </row>
    <row r="160" spans="1:4" hidden="1">
      <c r="B160" s="110">
        <f t="shared" si="0"/>
        <v>2037</v>
      </c>
      <c r="C160" s="111">
        <f>[5]С2.5!$V$11</f>
        <v>0</v>
      </c>
    </row>
    <row r="161" spans="2:3" hidden="1">
      <c r="B161" s="110">
        <f t="shared" si="0"/>
        <v>2038</v>
      </c>
      <c r="C161" s="111">
        <f>[5]С2.5!$W$11</f>
        <v>0</v>
      </c>
    </row>
    <row r="162" spans="2:3" hidden="1">
      <c r="B162" s="110">
        <f t="shared" si="0"/>
        <v>2039</v>
      </c>
      <c r="C162" s="111">
        <f>[5]С2.5!$X$11</f>
        <v>0</v>
      </c>
    </row>
    <row r="163" spans="2:3" hidden="1">
      <c r="B163" s="110">
        <f t="shared" si="0"/>
        <v>2040</v>
      </c>
      <c r="C163" s="111">
        <f>[5]С2.5!$Y$11</f>
        <v>0</v>
      </c>
    </row>
    <row r="164" spans="2:3" hidden="1">
      <c r="B164" s="110">
        <f t="shared" si="0"/>
        <v>2041</v>
      </c>
      <c r="C164" s="111">
        <f>[5]С2.5!$Z$11</f>
        <v>0</v>
      </c>
    </row>
    <row r="165" spans="2:3" hidden="1">
      <c r="B165" s="110">
        <f t="shared" si="0"/>
        <v>2042</v>
      </c>
      <c r="C165" s="111">
        <f>[5]С2.5!$AA$11</f>
        <v>0</v>
      </c>
    </row>
    <row r="166" spans="2:3" hidden="1">
      <c r="B166" s="110">
        <f t="shared" si="0"/>
        <v>2043</v>
      </c>
      <c r="C166" s="111">
        <f>[5]С2.5!$AB$11</f>
        <v>0</v>
      </c>
    </row>
    <row r="167" spans="2:3" hidden="1">
      <c r="B167" s="110">
        <f t="shared" si="0"/>
        <v>2044</v>
      </c>
      <c r="C167" s="111">
        <f>[5]С2.5!$AC$11</f>
        <v>0</v>
      </c>
    </row>
    <row r="168" spans="2:3" hidden="1">
      <c r="B168" s="110">
        <f t="shared" si="0"/>
        <v>2045</v>
      </c>
      <c r="C168" s="111">
        <f>[5]С2.5!$AD$11</f>
        <v>0</v>
      </c>
    </row>
    <row r="169" spans="2:3" hidden="1">
      <c r="B169" s="110">
        <f t="shared" si="0"/>
        <v>2046</v>
      </c>
      <c r="C169" s="111">
        <f>[5]С2.5!$AE$11</f>
        <v>0</v>
      </c>
    </row>
    <row r="170" spans="2:3" hidden="1">
      <c r="B170" s="110">
        <f t="shared" si="0"/>
        <v>2047</v>
      </c>
      <c r="C170" s="111">
        <f>[5]С2.5!$AF$11</f>
        <v>0</v>
      </c>
    </row>
    <row r="171" spans="2:3" hidden="1">
      <c r="B171" s="110">
        <f t="shared" si="0"/>
        <v>2048</v>
      </c>
      <c r="C171" s="111">
        <f>[5]С2.5!$AG$11</f>
        <v>0</v>
      </c>
    </row>
    <row r="172" spans="2:3" hidden="1">
      <c r="B172" s="110">
        <f t="shared" si="0"/>
        <v>2049</v>
      </c>
      <c r="C172" s="111">
        <f>[5]С2.5!$AH$11</f>
        <v>0</v>
      </c>
    </row>
    <row r="173" spans="2:3" hidden="1">
      <c r="B173" s="110">
        <f t="shared" si="0"/>
        <v>2050</v>
      </c>
      <c r="C173" s="111">
        <f>[5]С2.5!$AI$11</f>
        <v>0</v>
      </c>
    </row>
    <row r="174" spans="2:3" hidden="1">
      <c r="B174" s="110">
        <f t="shared" si="0"/>
        <v>2051</v>
      </c>
      <c r="C174" s="111">
        <f>[5]С2.5!$AJ$11</f>
        <v>0</v>
      </c>
    </row>
    <row r="175" spans="2:3" hidden="1">
      <c r="B175" s="110">
        <f t="shared" si="0"/>
        <v>2052</v>
      </c>
      <c r="C175" s="111">
        <f>[5]С2.5!$AK$11</f>
        <v>0</v>
      </c>
    </row>
    <row r="176" spans="2:3" hidden="1">
      <c r="B176" s="110">
        <f t="shared" si="0"/>
        <v>2053</v>
      </c>
      <c r="C176" s="111">
        <f>[5]С2.5!$AL$11</f>
        <v>0</v>
      </c>
    </row>
    <row r="177" spans="2:3" hidden="1">
      <c r="B177" s="110">
        <f t="shared" si="0"/>
        <v>2054</v>
      </c>
      <c r="C177" s="111">
        <f>[5]С2.5!$AM$11</f>
        <v>0</v>
      </c>
    </row>
    <row r="178" spans="2:3" hidden="1">
      <c r="B178" s="110">
        <f t="shared" si="0"/>
        <v>2055</v>
      </c>
      <c r="C178" s="111">
        <f>[5]С2.5!$AN$11</f>
        <v>0</v>
      </c>
    </row>
    <row r="179" spans="2:3" hidden="1">
      <c r="B179" s="110">
        <f t="shared" si="0"/>
        <v>2056</v>
      </c>
      <c r="C179" s="111">
        <f>[5]С2.5!$AO$11</f>
        <v>0</v>
      </c>
    </row>
    <row r="180" spans="2:3" hidden="1">
      <c r="B180" s="110">
        <f t="shared" si="0"/>
        <v>2057</v>
      </c>
      <c r="C180" s="111">
        <f>[5]С2.5!$AP$11</f>
        <v>0</v>
      </c>
    </row>
    <row r="181" spans="2:3" hidden="1">
      <c r="B181" s="110">
        <f t="shared" si="0"/>
        <v>2058</v>
      </c>
      <c r="C181" s="111">
        <f>[5]С2.5!$AQ$11</f>
        <v>0</v>
      </c>
    </row>
    <row r="182" spans="2:3" hidden="1">
      <c r="B182" s="110">
        <f t="shared" si="0"/>
        <v>2059</v>
      </c>
      <c r="C182" s="111">
        <f>[5]С2.5!$AR$11</f>
        <v>0</v>
      </c>
    </row>
    <row r="183" spans="2:3" hidden="1">
      <c r="B183" s="110">
        <f t="shared" si="0"/>
        <v>2060</v>
      </c>
      <c r="C183" s="111">
        <f>[5]С2.5!$AS$11</f>
        <v>0</v>
      </c>
    </row>
    <row r="184" spans="2:3" hidden="1">
      <c r="B184" s="110">
        <f t="shared" si="0"/>
        <v>2061</v>
      </c>
      <c r="C184" s="111">
        <f>[5]С2.5!$AT$11</f>
        <v>0</v>
      </c>
    </row>
    <row r="185" spans="2:3" hidden="1">
      <c r="B185" s="110">
        <f t="shared" si="0"/>
        <v>2062</v>
      </c>
      <c r="C185" s="111">
        <f>[5]С2.5!$AU$11</f>
        <v>0</v>
      </c>
    </row>
    <row r="186" spans="2:3" hidden="1">
      <c r="B186" s="110">
        <f t="shared" si="0"/>
        <v>2063</v>
      </c>
      <c r="C186" s="111">
        <f>[5]С2.5!$AV$11</f>
        <v>0</v>
      </c>
    </row>
    <row r="187" spans="2:3" hidden="1">
      <c r="B187" s="110">
        <f t="shared" si="0"/>
        <v>2064</v>
      </c>
      <c r="C187" s="111">
        <f>[5]С2.5!$AW$11</f>
        <v>0</v>
      </c>
    </row>
    <row r="188" spans="2:3" hidden="1">
      <c r="B188" s="110">
        <f t="shared" si="0"/>
        <v>2065</v>
      </c>
      <c r="C188" s="111">
        <f>[5]С2.5!$AX$11</f>
        <v>0</v>
      </c>
    </row>
    <row r="189" spans="2:3" hidden="1">
      <c r="B189" s="110">
        <f t="shared" si="0"/>
        <v>2066</v>
      </c>
      <c r="C189" s="111">
        <f>[5]С2.5!$AY$11</f>
        <v>0</v>
      </c>
    </row>
    <row r="190" spans="2:3" hidden="1">
      <c r="B190" s="110">
        <f t="shared" si="0"/>
        <v>2067</v>
      </c>
      <c r="C190" s="111">
        <f>[5]С2.5!$AZ$11</f>
        <v>0</v>
      </c>
    </row>
    <row r="191" spans="2:3" hidden="1">
      <c r="B191" s="110">
        <f t="shared" si="0"/>
        <v>2068</v>
      </c>
      <c r="C191" s="111">
        <f>[5]С2.5!$BA$11</f>
        <v>0</v>
      </c>
    </row>
    <row r="192" spans="2:3" hidden="1">
      <c r="B192" s="110">
        <f t="shared" si="0"/>
        <v>2069</v>
      </c>
      <c r="C192" s="111">
        <f>[5]С2.5!$BB$11</f>
        <v>0</v>
      </c>
    </row>
    <row r="193" spans="2:3" hidden="1">
      <c r="B193" s="110">
        <f t="shared" si="0"/>
        <v>2070</v>
      </c>
      <c r="C193" s="111">
        <f>[5]С2.5!$BC$11</f>
        <v>0</v>
      </c>
    </row>
    <row r="194" spans="2:3" hidden="1">
      <c r="B194" s="110">
        <f t="shared" si="0"/>
        <v>2071</v>
      </c>
      <c r="C194" s="111">
        <f>[5]С2.5!$BD$11</f>
        <v>0</v>
      </c>
    </row>
    <row r="195" spans="2:3" hidden="1">
      <c r="B195" s="110">
        <f t="shared" si="0"/>
        <v>2072</v>
      </c>
      <c r="C195" s="111">
        <f>[5]С2.5!$BE$11</f>
        <v>0</v>
      </c>
    </row>
    <row r="196" spans="2:3" hidden="1">
      <c r="B196" s="110">
        <f t="shared" si="0"/>
        <v>2073</v>
      </c>
      <c r="C196" s="111">
        <f>[5]С2.5!$BF$11</f>
        <v>0</v>
      </c>
    </row>
    <row r="197" spans="2:3" hidden="1">
      <c r="B197" s="110">
        <f t="shared" si="0"/>
        <v>2074</v>
      </c>
      <c r="C197" s="111">
        <f>[5]С2.5!$BG$11</f>
        <v>0</v>
      </c>
    </row>
    <row r="198" spans="2:3" hidden="1">
      <c r="B198" s="110">
        <f t="shared" si="0"/>
        <v>2075</v>
      </c>
      <c r="C198" s="111">
        <f>[5]С2.5!$BH$11</f>
        <v>0</v>
      </c>
    </row>
    <row r="199" spans="2:3" hidden="1">
      <c r="B199" s="110">
        <f t="shared" si="0"/>
        <v>2076</v>
      </c>
      <c r="C199" s="111">
        <f>[5]С2.5!$BI$11</f>
        <v>0</v>
      </c>
    </row>
    <row r="200" spans="2:3" hidden="1">
      <c r="B200" s="110">
        <f t="shared" si="0"/>
        <v>2077</v>
      </c>
      <c r="C200" s="111">
        <f>[5]С2.5!$BJ$11</f>
        <v>0</v>
      </c>
    </row>
    <row r="201" spans="2:3" hidden="1">
      <c r="B201" s="110">
        <f t="shared" si="0"/>
        <v>2078</v>
      </c>
      <c r="C201" s="111">
        <f>[5]С2.5!$BK$11</f>
        <v>0</v>
      </c>
    </row>
    <row r="202" spans="2:3" hidden="1">
      <c r="B202" s="110">
        <f t="shared" si="0"/>
        <v>2079</v>
      </c>
      <c r="C202" s="111">
        <f>[5]С2.5!$BL$11</f>
        <v>0</v>
      </c>
    </row>
    <row r="203" spans="2:3" hidden="1">
      <c r="B203" s="110">
        <f t="shared" si="0"/>
        <v>2080</v>
      </c>
      <c r="C203" s="111">
        <f>[5]С2.5!$BM$11</f>
        <v>0</v>
      </c>
    </row>
    <row r="204" spans="2:3" hidden="1">
      <c r="B204" s="110">
        <f t="shared" si="0"/>
        <v>2081</v>
      </c>
      <c r="C204" s="111">
        <f>[5]С2.5!$BN$11</f>
        <v>0</v>
      </c>
    </row>
    <row r="205" spans="2:3" hidden="1">
      <c r="B205" s="110">
        <f t="shared" si="0"/>
        <v>2082</v>
      </c>
      <c r="C205" s="111">
        <f>[5]С2.5!$BO$11</f>
        <v>0</v>
      </c>
    </row>
    <row r="206" spans="2:3" hidden="1">
      <c r="B206" s="110">
        <f t="shared" si="0"/>
        <v>2083</v>
      </c>
      <c r="C206" s="111">
        <f>[5]С2.5!$BP$11</f>
        <v>0</v>
      </c>
    </row>
    <row r="207" spans="2:3" hidden="1">
      <c r="B207" s="110">
        <f t="shared" si="0"/>
        <v>2084</v>
      </c>
      <c r="C207" s="111">
        <f>[5]С2.5!$BQ$11</f>
        <v>0</v>
      </c>
    </row>
    <row r="208" spans="2:3" hidden="1">
      <c r="B208" s="110">
        <f t="shared" si="0"/>
        <v>2085</v>
      </c>
      <c r="C208" s="111">
        <f>[5]С2.5!$BR$11</f>
        <v>0</v>
      </c>
    </row>
    <row r="209" spans="2:3" hidden="1">
      <c r="B209" s="110">
        <f t="shared" ref="B209:B223" si="1">B208+1</f>
        <v>2086</v>
      </c>
      <c r="C209" s="111">
        <f>[5]С2.5!$BS$11</f>
        <v>0</v>
      </c>
    </row>
    <row r="210" spans="2:3" hidden="1">
      <c r="B210" s="110">
        <f t="shared" si="1"/>
        <v>2087</v>
      </c>
      <c r="C210" s="111">
        <f>[5]С2.5!$BT$11</f>
        <v>0</v>
      </c>
    </row>
    <row r="211" spans="2:3" hidden="1">
      <c r="B211" s="110">
        <f t="shared" si="1"/>
        <v>2088</v>
      </c>
      <c r="C211" s="111">
        <f>[5]С2.5!$BU$11</f>
        <v>0</v>
      </c>
    </row>
    <row r="212" spans="2:3" hidden="1">
      <c r="B212" s="110">
        <f t="shared" si="1"/>
        <v>2089</v>
      </c>
      <c r="C212" s="111">
        <f>[5]С2.5!$BV$11</f>
        <v>0</v>
      </c>
    </row>
    <row r="213" spans="2:3" hidden="1">
      <c r="B213" s="110">
        <f t="shared" si="1"/>
        <v>2090</v>
      </c>
      <c r="C213" s="111">
        <f>[5]С2.5!$BW$11</f>
        <v>0</v>
      </c>
    </row>
    <row r="214" spans="2:3" hidden="1">
      <c r="B214" s="110">
        <f t="shared" si="1"/>
        <v>2091</v>
      </c>
      <c r="C214" s="111">
        <f>[5]С2.5!$BX$11</f>
        <v>0</v>
      </c>
    </row>
    <row r="215" spans="2:3" hidden="1">
      <c r="B215" s="110">
        <f t="shared" si="1"/>
        <v>2092</v>
      </c>
      <c r="C215" s="111">
        <f>[5]С2.5!$BY$11</f>
        <v>0</v>
      </c>
    </row>
    <row r="216" spans="2:3" hidden="1">
      <c r="B216" s="110">
        <f t="shared" si="1"/>
        <v>2093</v>
      </c>
      <c r="C216" s="111">
        <f>[5]С2.5!$BZ$11</f>
        <v>0</v>
      </c>
    </row>
    <row r="217" spans="2:3" hidden="1">
      <c r="B217" s="110">
        <f t="shared" si="1"/>
        <v>2094</v>
      </c>
      <c r="C217" s="111">
        <f>[5]С2.5!$CA$11</f>
        <v>0</v>
      </c>
    </row>
    <row r="218" spans="2:3" hidden="1">
      <c r="B218" s="110">
        <f t="shared" si="1"/>
        <v>2095</v>
      </c>
      <c r="C218" s="111">
        <f>[5]С2.5!$CB$11</f>
        <v>0</v>
      </c>
    </row>
    <row r="219" spans="2:3" hidden="1">
      <c r="B219" s="110">
        <f t="shared" si="1"/>
        <v>2096</v>
      </c>
      <c r="C219" s="111">
        <f>[5]С2.5!$CC$11</f>
        <v>0</v>
      </c>
    </row>
    <row r="220" spans="2:3" hidden="1">
      <c r="B220" s="110">
        <f t="shared" si="1"/>
        <v>2097</v>
      </c>
      <c r="C220" s="111">
        <f>[5]С2.5!$CD$11</f>
        <v>0</v>
      </c>
    </row>
    <row r="221" spans="2:3" hidden="1">
      <c r="B221" s="110">
        <f t="shared" si="1"/>
        <v>2098</v>
      </c>
      <c r="C221" s="111">
        <f>[5]С2.5!$CE$11</f>
        <v>0</v>
      </c>
    </row>
    <row r="222" spans="2:3" hidden="1">
      <c r="B222" s="110">
        <f t="shared" si="1"/>
        <v>2099</v>
      </c>
      <c r="C222" s="111">
        <f>[5]С2.5!$CF$11</f>
        <v>0</v>
      </c>
    </row>
    <row r="223" spans="2:3" ht="13.5" hidden="1" thickBot="1">
      <c r="B223" s="112">
        <f t="shared" si="1"/>
        <v>2100</v>
      </c>
      <c r="C223" s="113">
        <f>[5]С2.5!$CG$11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K14" sqref="K14"/>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[6]И1!D13</f>
        <v>Субъект Российской Федерации</v>
      </c>
      <c r="C4" s="10" t="str">
        <f>[6]И1!E13</f>
        <v>Новосибирская область</v>
      </c>
    </row>
    <row r="5" spans="1:3" ht="38.25">
      <c r="A5" s="8"/>
      <c r="B5" s="9" t="str">
        <f>[6]И1!D14</f>
        <v>Тип муниципального образования (выберите из списка)</v>
      </c>
      <c r="C5" s="10" t="str">
        <f>[6]И1!E14</f>
        <v>село Волчанка, Доволенский муниципальный район</v>
      </c>
    </row>
    <row r="6" spans="1:3">
      <c r="A6" s="8"/>
      <c r="B6" s="9" t="str">
        <f>IF([6]И1!E15="","",[6]И1!D15)</f>
        <v/>
      </c>
      <c r="C6" s="10" t="str">
        <f>IF([6]И1!E15="","",[6]И1!E15)</f>
        <v/>
      </c>
    </row>
    <row r="7" spans="1:3">
      <c r="A7" s="8"/>
      <c r="B7" s="9" t="str">
        <f>[6]И1!D16</f>
        <v>Код ОКТМО</v>
      </c>
      <c r="C7" s="11" t="str">
        <f>[6]И1!E16</f>
        <v>50610404101</v>
      </c>
    </row>
    <row r="8" spans="1:3">
      <c r="A8" s="8"/>
      <c r="B8" s="12" t="str">
        <f>[6]И1!D17</f>
        <v>Система теплоснабжения</v>
      </c>
      <c r="C8" s="13">
        <f>[6]И1!E17</f>
        <v>0</v>
      </c>
    </row>
    <row r="9" spans="1:3">
      <c r="A9" s="8"/>
      <c r="B9" s="9" t="str">
        <f>[6]И1!D8</f>
        <v>Период регулирования (i)-й</v>
      </c>
      <c r="C9" s="14">
        <f>[6]И1!E8</f>
        <v>2023</v>
      </c>
    </row>
    <row r="10" spans="1:3">
      <c r="A10" s="8"/>
      <c r="B10" s="9" t="str">
        <f>[6]И1!D9</f>
        <v>Период регулирования (i-1)-й</v>
      </c>
      <c r="C10" s="14">
        <f>[6]И1!E9</f>
        <v>2022</v>
      </c>
    </row>
    <row r="11" spans="1:3">
      <c r="A11" s="8"/>
      <c r="B11" s="9" t="str">
        <f>[6]И1!D10</f>
        <v>Период регулирования (i-2)-й</v>
      </c>
      <c r="C11" s="14">
        <f>[6]И1!E10</f>
        <v>2021</v>
      </c>
    </row>
    <row r="12" spans="1:3">
      <c r="A12" s="8"/>
      <c r="B12" s="9" t="str">
        <f>[6]И1!D11</f>
        <v>Базовый год (б)</v>
      </c>
      <c r="C12" s="14">
        <f>[6]И1!E11</f>
        <v>2019</v>
      </c>
    </row>
    <row r="13" spans="1:3" ht="38.25">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4096.6172454421694</v>
      </c>
    </row>
    <row r="18" spans="1:3" ht="42.75">
      <c r="A18" s="22" t="s">
        <v>8</v>
      </c>
      <c r="B18" s="25" t="s">
        <v>9</v>
      </c>
      <c r="C18" s="26">
        <f>[6]С1!F12</f>
        <v>991.75619569488015</v>
      </c>
    </row>
    <row r="19" spans="1:3" ht="42.75">
      <c r="A19" s="22" t="s">
        <v>10</v>
      </c>
      <c r="B19" s="25" t="s">
        <v>11</v>
      </c>
      <c r="C19" s="26">
        <f>[6]С2!F12</f>
        <v>2105.0745921739249</v>
      </c>
    </row>
    <row r="20" spans="1:3" ht="30">
      <c r="A20" s="22" t="s">
        <v>12</v>
      </c>
      <c r="B20" s="25" t="s">
        <v>13</v>
      </c>
      <c r="C20" s="26">
        <f>[6]С3!F12</f>
        <v>503.57282204972699</v>
      </c>
    </row>
    <row r="21" spans="1:3" ht="42.75">
      <c r="A21" s="22" t="s">
        <v>14</v>
      </c>
      <c r="B21" s="25" t="s">
        <v>15</v>
      </c>
      <c r="C21" s="26">
        <f>[6]С4!F12</f>
        <v>415.88780718163343</v>
      </c>
    </row>
    <row r="22" spans="1:3" ht="30">
      <c r="A22" s="22" t="s">
        <v>16</v>
      </c>
      <c r="B22" s="25" t="s">
        <v>17</v>
      </c>
      <c r="C22" s="26">
        <f>[6]С5!F12</f>
        <v>80.325828342003319</v>
      </c>
    </row>
    <row r="23" spans="1:3" ht="43.5" thickBot="1">
      <c r="A23" s="27" t="s">
        <v>18</v>
      </c>
      <c r="B23" s="117" t="s">
        <v>19</v>
      </c>
      <c r="C23" s="28" t="str">
        <f>[6]С6!F12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[6]С1.1!E16</f>
        <v>5100</v>
      </c>
    </row>
    <row r="29" spans="1:3" ht="42.75">
      <c r="A29" s="22" t="s">
        <v>10</v>
      </c>
      <c r="B29" s="33" t="s">
        <v>22</v>
      </c>
      <c r="C29" s="34">
        <f>[6]С1.1!E27</f>
        <v>2666.666666666667</v>
      </c>
    </row>
    <row r="30" spans="1:3" ht="17.25">
      <c r="A30" s="22" t="s">
        <v>12</v>
      </c>
      <c r="B30" s="33" t="s">
        <v>23</v>
      </c>
      <c r="C30" s="35">
        <f>[6]С1.1!E19</f>
        <v>0.59499999999999997</v>
      </c>
    </row>
    <row r="31" spans="1:3" ht="17.25">
      <c r="A31" s="22" t="s">
        <v>14</v>
      </c>
      <c r="B31" s="33" t="s">
        <v>24</v>
      </c>
      <c r="C31" s="35">
        <f>[6]С1.1!E20</f>
        <v>-0.113</v>
      </c>
    </row>
    <row r="32" spans="1:3" ht="30">
      <c r="A32" s="22" t="s">
        <v>16</v>
      </c>
      <c r="B32" s="36" t="s">
        <v>25</v>
      </c>
      <c r="C32" s="37">
        <f>[6]С1!F13</f>
        <v>176.4</v>
      </c>
    </row>
    <row r="33" spans="1:3">
      <c r="A33" s="22" t="s">
        <v>18</v>
      </c>
      <c r="B33" s="36" t="s">
        <v>26</v>
      </c>
      <c r="C33" s="38">
        <f>[6]С1!F16</f>
        <v>7000</v>
      </c>
    </row>
    <row r="34" spans="1:3" ht="14.25">
      <c r="A34" s="22" t="s">
        <v>27</v>
      </c>
      <c r="B34" s="39" t="s">
        <v>28</v>
      </c>
      <c r="C34" s="40">
        <f>[6]С1!F17</f>
        <v>0.72857142857142854</v>
      </c>
    </row>
    <row r="35" spans="1:3" ht="15.75">
      <c r="A35" s="41" t="s">
        <v>29</v>
      </c>
      <c r="B35" s="42" t="s">
        <v>30</v>
      </c>
      <c r="C35" s="40">
        <f>[6]С1!F20</f>
        <v>21.588411179999994</v>
      </c>
    </row>
    <row r="36" spans="1:3" ht="15.75">
      <c r="A36" s="41" t="s">
        <v>31</v>
      </c>
      <c r="B36" s="43" t="s">
        <v>32</v>
      </c>
      <c r="C36" s="40">
        <f>[6]С1!F21</f>
        <v>20.818139999999996</v>
      </c>
    </row>
    <row r="37" spans="1:3" ht="14.25">
      <c r="A37" s="41" t="s">
        <v>33</v>
      </c>
      <c r="B37" s="44" t="s">
        <v>34</v>
      </c>
      <c r="C37" s="40">
        <f>[6]С1!F22</f>
        <v>1.0369999999999999</v>
      </c>
    </row>
    <row r="38" spans="1:3" ht="53.25" thickBot="1">
      <c r="A38" s="27" t="s">
        <v>35</v>
      </c>
      <c r="B38" s="45" t="s">
        <v>36</v>
      </c>
      <c r="C38" s="46">
        <f>[6]С1!F23</f>
        <v>1.0469999999999999</v>
      </c>
    </row>
    <row r="39" spans="1:3" ht="13.5" thickBot="1">
      <c r="A39" s="47"/>
      <c r="B39" s="48"/>
      <c r="C39" s="49"/>
    </row>
    <row r="40" spans="1:3" ht="30" customHeight="1">
      <c r="A40" s="50" t="s">
        <v>37</v>
      </c>
      <c r="B40" s="118" t="s">
        <v>38</v>
      </c>
      <c r="C40" s="118"/>
    </row>
    <row r="41" spans="1:3" ht="25.5">
      <c r="A41" s="22" t="s">
        <v>39</v>
      </c>
      <c r="B41" s="36" t="s">
        <v>40</v>
      </c>
      <c r="C41" s="51" t="str">
        <f>[6]С2.1!E12</f>
        <v>V</v>
      </c>
    </row>
    <row r="42" spans="1:3" ht="25.5">
      <c r="A42" s="22" t="s">
        <v>41</v>
      </c>
      <c r="B42" s="33" t="s">
        <v>42</v>
      </c>
      <c r="C42" s="51" t="str">
        <f>[6]С2.1!E13</f>
        <v>6 и менее баллов</v>
      </c>
    </row>
    <row r="43" spans="1:3" ht="25.5">
      <c r="A43" s="22" t="s">
        <v>43</v>
      </c>
      <c r="B43" s="33" t="s">
        <v>44</v>
      </c>
      <c r="C43" s="51" t="str">
        <f>[6]С2.1!E14</f>
        <v>от 200 до 500</v>
      </c>
    </row>
    <row r="44" spans="1:3" ht="25.5">
      <c r="A44" s="22" t="s">
        <v>45</v>
      </c>
      <c r="B44" s="33" t="s">
        <v>46</v>
      </c>
      <c r="C44" s="52" t="str">
        <f>[6]С2.1!E15</f>
        <v>нет</v>
      </c>
    </row>
    <row r="45" spans="1:3" ht="30">
      <c r="A45" s="22" t="s">
        <v>47</v>
      </c>
      <c r="B45" s="33" t="s">
        <v>48</v>
      </c>
      <c r="C45" s="34">
        <f>[6]С2!F18</f>
        <v>32402.627334033532</v>
      </c>
    </row>
    <row r="46" spans="1:3" ht="30">
      <c r="A46" s="22" t="s">
        <v>49</v>
      </c>
      <c r="B46" s="53" t="s">
        <v>50</v>
      </c>
      <c r="C46" s="34">
        <f>IF([6]С2!F19&gt;0,[6]С2!F19,[6]С2!F20)</f>
        <v>23441.524932855718</v>
      </c>
    </row>
    <row r="47" spans="1:3" ht="25.5">
      <c r="A47" s="22" t="s">
        <v>51</v>
      </c>
      <c r="B47" s="54" t="s">
        <v>52</v>
      </c>
      <c r="C47" s="34">
        <f>[6]С2.1!E19</f>
        <v>-38</v>
      </c>
    </row>
    <row r="48" spans="1:3" ht="25.5">
      <c r="A48" s="22" t="s">
        <v>53</v>
      </c>
      <c r="B48" s="54" t="s">
        <v>54</v>
      </c>
      <c r="C48" s="34" t="str">
        <f>[6]С2.1!E22</f>
        <v>нет</v>
      </c>
    </row>
    <row r="49" spans="1:3" ht="38.25">
      <c r="A49" s="22" t="s">
        <v>55</v>
      </c>
      <c r="B49" s="55" t="s">
        <v>56</v>
      </c>
      <c r="C49" s="34">
        <f>[6]С2.2!E10</f>
        <v>1287</v>
      </c>
    </row>
    <row r="50" spans="1:3" ht="25.5">
      <c r="A50" s="22" t="s">
        <v>57</v>
      </c>
      <c r="B50" s="56" t="s">
        <v>58</v>
      </c>
      <c r="C50" s="34">
        <f>[6]С2.2!E12</f>
        <v>5.97</v>
      </c>
    </row>
    <row r="51" spans="1:3" ht="52.5">
      <c r="A51" s="22" t="s">
        <v>59</v>
      </c>
      <c r="B51" s="57" t="s">
        <v>60</v>
      </c>
      <c r="C51" s="34">
        <f>[6]С2.2!E13</f>
        <v>1</v>
      </c>
    </row>
    <row r="52" spans="1:3" ht="27.75">
      <c r="A52" s="22" t="s">
        <v>61</v>
      </c>
      <c r="B52" s="56" t="s">
        <v>62</v>
      </c>
      <c r="C52" s="34">
        <f>[6]С2.2!E14</f>
        <v>12104</v>
      </c>
    </row>
    <row r="53" spans="1:3" ht="25.5">
      <c r="A53" s="22" t="s">
        <v>63</v>
      </c>
      <c r="B53" s="57" t="s">
        <v>64</v>
      </c>
      <c r="C53" s="35">
        <f>[6]С2.2!E15</f>
        <v>4.8000000000000001E-2</v>
      </c>
    </row>
    <row r="54" spans="1:3">
      <c r="A54" s="22" t="s">
        <v>65</v>
      </c>
      <c r="B54" s="57" t="s">
        <v>66</v>
      </c>
      <c r="C54" s="34">
        <f>[6]С2.2!E16</f>
        <v>1</v>
      </c>
    </row>
    <row r="55" spans="1:3" ht="15.75">
      <c r="A55" s="22" t="s">
        <v>67</v>
      </c>
      <c r="B55" s="58" t="s">
        <v>68</v>
      </c>
      <c r="C55" s="34">
        <f>[6]С2!F21</f>
        <v>1</v>
      </c>
    </row>
    <row r="56" spans="1:3" ht="30">
      <c r="A56" s="59" t="s">
        <v>69</v>
      </c>
      <c r="B56" s="33" t="s">
        <v>70</v>
      </c>
      <c r="C56" s="34">
        <f>[6]С2!F13</f>
        <v>169640.22915965237</v>
      </c>
    </row>
    <row r="57" spans="1:3" ht="30">
      <c r="A57" s="59" t="s">
        <v>71</v>
      </c>
      <c r="B57" s="58" t="s">
        <v>72</v>
      </c>
      <c r="C57" s="34">
        <f>[6]С2!F14</f>
        <v>113455</v>
      </c>
    </row>
    <row r="58" spans="1:3" ht="15.75">
      <c r="A58" s="59" t="s">
        <v>73</v>
      </c>
      <c r="B58" s="60" t="s">
        <v>74</v>
      </c>
      <c r="C58" s="40">
        <f>[6]С2!F15</f>
        <v>1.071</v>
      </c>
    </row>
    <row r="59" spans="1:3" ht="15.75">
      <c r="A59" s="59" t="s">
        <v>75</v>
      </c>
      <c r="B59" s="60" t="s">
        <v>76</v>
      </c>
      <c r="C59" s="40">
        <f>[6]С2!F16</f>
        <v>1</v>
      </c>
    </row>
    <row r="60" spans="1:3" ht="17.25">
      <c r="A60" s="59" t="s">
        <v>77</v>
      </c>
      <c r="B60" s="58" t="s">
        <v>78</v>
      </c>
      <c r="C60" s="34">
        <f>[6]С2!F17</f>
        <v>1.01</v>
      </c>
    </row>
    <row r="61" spans="1:3" s="63" customFormat="1" ht="14.25">
      <c r="A61" s="59" t="s">
        <v>79</v>
      </c>
      <c r="B61" s="61" t="s">
        <v>80</v>
      </c>
      <c r="C61" s="62">
        <f>[6]С2!F33</f>
        <v>10</v>
      </c>
    </row>
    <row r="62" spans="1:3" ht="30">
      <c r="A62" s="59" t="s">
        <v>81</v>
      </c>
      <c r="B62" s="64" t="s">
        <v>82</v>
      </c>
      <c r="C62" s="34">
        <f>[6]С2!F26</f>
        <v>1012.1091133444331</v>
      </c>
    </row>
    <row r="63" spans="1:3" ht="17.25">
      <c r="A63" s="59" t="s">
        <v>83</v>
      </c>
      <c r="B63" s="53" t="s">
        <v>84</v>
      </c>
      <c r="C63" s="34">
        <f>[6]С2!F27</f>
        <v>0.17433463600000002</v>
      </c>
    </row>
    <row r="64" spans="1:3" ht="17.25">
      <c r="A64" s="59" t="s">
        <v>85</v>
      </c>
      <c r="B64" s="58" t="s">
        <v>86</v>
      </c>
      <c r="C64" s="62">
        <f>[6]С2!F28</f>
        <v>4200</v>
      </c>
    </row>
    <row r="65" spans="1:3" ht="42.75">
      <c r="A65" s="59" t="s">
        <v>87</v>
      </c>
      <c r="B65" s="33" t="s">
        <v>88</v>
      </c>
      <c r="C65" s="34">
        <f>[6]С2!F22</f>
        <v>35717.748653137714</v>
      </c>
    </row>
    <row r="66" spans="1:3" ht="30">
      <c r="A66" s="59" t="s">
        <v>89</v>
      </c>
      <c r="B66" s="60" t="s">
        <v>90</v>
      </c>
      <c r="C66" s="34">
        <f>[6]С2!F23</f>
        <v>1990</v>
      </c>
    </row>
    <row r="67" spans="1:3" ht="30">
      <c r="A67" s="59" t="s">
        <v>91</v>
      </c>
      <c r="B67" s="53" t="s">
        <v>92</v>
      </c>
      <c r="C67" s="34">
        <f>[6]С2.1!E27</f>
        <v>14307.876789999998</v>
      </c>
    </row>
    <row r="68" spans="1:3" ht="38.25">
      <c r="A68" s="59" t="s">
        <v>93</v>
      </c>
      <c r="B68" s="65" t="s">
        <v>94</v>
      </c>
      <c r="C68" s="52">
        <f>[6]С2.3!E21</f>
        <v>0</v>
      </c>
    </row>
    <row r="69" spans="1:3" ht="25.5">
      <c r="A69" s="59" t="s">
        <v>95</v>
      </c>
      <c r="B69" s="66" t="s">
        <v>96</v>
      </c>
      <c r="C69" s="67">
        <f>[6]С2.3!E11</f>
        <v>9.89</v>
      </c>
    </row>
    <row r="70" spans="1:3" ht="25.5">
      <c r="A70" s="59" t="s">
        <v>97</v>
      </c>
      <c r="B70" s="66" t="s">
        <v>98</v>
      </c>
      <c r="C70" s="62">
        <f>[6]С2.3!E13</f>
        <v>300</v>
      </c>
    </row>
    <row r="71" spans="1:3" ht="25.5">
      <c r="A71" s="59" t="s">
        <v>99</v>
      </c>
      <c r="B71" s="65" t="s">
        <v>100</v>
      </c>
      <c r="C71" s="68">
        <f>IF([6]С2.3!E22&gt;0,[6]С2.3!E22,[6]С2.3!E14)</f>
        <v>61211</v>
      </c>
    </row>
    <row r="72" spans="1:3" ht="38.25">
      <c r="A72" s="59" t="s">
        <v>101</v>
      </c>
      <c r="B72" s="65" t="s">
        <v>102</v>
      </c>
      <c r="C72" s="68">
        <f>IF([6]С2.3!E23&gt;0,[6]С2.3!E23,[6]С2.3!E15)</f>
        <v>45675</v>
      </c>
    </row>
    <row r="73" spans="1:3" ht="30">
      <c r="A73" s="59" t="s">
        <v>103</v>
      </c>
      <c r="B73" s="53" t="s">
        <v>104</v>
      </c>
      <c r="C73" s="34">
        <f>[6]С2.1!E28</f>
        <v>9541.9567200000001</v>
      </c>
    </row>
    <row r="74" spans="1:3" ht="38.25">
      <c r="A74" s="59" t="s">
        <v>105</v>
      </c>
      <c r="B74" s="65" t="s">
        <v>106</v>
      </c>
      <c r="C74" s="52">
        <f>[6]С2.3!E25</f>
        <v>0</v>
      </c>
    </row>
    <row r="75" spans="1:3" ht="25.5">
      <c r="A75" s="59" t="s">
        <v>107</v>
      </c>
      <c r="B75" s="66" t="s">
        <v>108</v>
      </c>
      <c r="C75" s="67">
        <f>[6]С2.3!E12</f>
        <v>0.56000000000000005</v>
      </c>
    </row>
    <row r="76" spans="1:3" ht="25.5">
      <c r="A76" s="59" t="s">
        <v>109</v>
      </c>
      <c r="B76" s="66" t="s">
        <v>98</v>
      </c>
      <c r="C76" s="62">
        <f>[6]С2.3!E13</f>
        <v>300</v>
      </c>
    </row>
    <row r="77" spans="1:3" ht="25.5">
      <c r="A77" s="59" t="s">
        <v>110</v>
      </c>
      <c r="B77" s="69" t="s">
        <v>111</v>
      </c>
      <c r="C77" s="68">
        <f>IF([6]С2.3!E26&gt;0,[6]С2.3!E26,[6]С2.3!E16)</f>
        <v>65637</v>
      </c>
    </row>
    <row r="78" spans="1:3" ht="38.25">
      <c r="A78" s="59" t="s">
        <v>112</v>
      </c>
      <c r="B78" s="69" t="s">
        <v>113</v>
      </c>
      <c r="C78" s="68">
        <f>IF([6]С2.3!E27&gt;0,[6]С2.3!E27,[6]С2.3!E17)</f>
        <v>31684</v>
      </c>
    </row>
    <row r="79" spans="1:3" ht="17.25">
      <c r="A79" s="59" t="s">
        <v>114</v>
      </c>
      <c r="B79" s="33" t="s">
        <v>115</v>
      </c>
      <c r="C79" s="35">
        <f>[6]С2!F29</f>
        <v>0.128978033685065</v>
      </c>
    </row>
    <row r="80" spans="1:3" ht="30">
      <c r="A80" s="59" t="s">
        <v>116</v>
      </c>
      <c r="B80" s="53" t="s">
        <v>117</v>
      </c>
      <c r="C80" s="70">
        <f>[6]С2!F30</f>
        <v>0.11668498168498169</v>
      </c>
    </row>
    <row r="81" spans="1:3" ht="17.25">
      <c r="A81" s="59" t="s">
        <v>118</v>
      </c>
      <c r="B81" s="71" t="s">
        <v>119</v>
      </c>
      <c r="C81" s="35">
        <f>[6]С2!F31</f>
        <v>0.13880000000000001</v>
      </c>
    </row>
    <row r="82" spans="1:3" s="63" customFormat="1" ht="18" thickBot="1">
      <c r="A82" s="72" t="s">
        <v>120</v>
      </c>
      <c r="B82" s="73" t="s">
        <v>121</v>
      </c>
      <c r="C82" s="74">
        <f>[6]С2!F32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[6]С3!F14</f>
        <v>6993.2576401328561</v>
      </c>
    </row>
    <row r="86" spans="1:3" s="63" customFormat="1" ht="42.75">
      <c r="A86" s="77" t="s">
        <v>126</v>
      </c>
      <c r="B86" s="53" t="s">
        <v>127</v>
      </c>
      <c r="C86" s="78">
        <f>[6]С3!F15</f>
        <v>0.2</v>
      </c>
    </row>
    <row r="87" spans="1:3" s="63" customFormat="1" ht="14.25">
      <c r="A87" s="77" t="s">
        <v>128</v>
      </c>
      <c r="B87" s="79" t="s">
        <v>129</v>
      </c>
      <c r="C87" s="62">
        <f>[6]С3!F18</f>
        <v>15</v>
      </c>
    </row>
    <row r="88" spans="1:3" s="63" customFormat="1" ht="17.25">
      <c r="A88" s="77" t="s">
        <v>130</v>
      </c>
      <c r="B88" s="33" t="s">
        <v>131</v>
      </c>
      <c r="C88" s="34">
        <f>[6]С3!F19</f>
        <v>3487.1555421534131</v>
      </c>
    </row>
    <row r="89" spans="1:3" s="63" customFormat="1" ht="55.5">
      <c r="A89" s="77" t="s">
        <v>132</v>
      </c>
      <c r="B89" s="53" t="s">
        <v>133</v>
      </c>
      <c r="C89" s="80">
        <f>[6]С3!F20</f>
        <v>2.1999999999999999E-2</v>
      </c>
    </row>
    <row r="90" spans="1:3" s="63" customFormat="1" ht="14.25">
      <c r="A90" s="77" t="s">
        <v>134</v>
      </c>
      <c r="B90" s="58" t="s">
        <v>80</v>
      </c>
      <c r="C90" s="62">
        <f>[6]С3!F21</f>
        <v>10</v>
      </c>
    </row>
    <row r="91" spans="1:3" s="63" customFormat="1" ht="17.25">
      <c r="A91" s="77" t="s">
        <v>135</v>
      </c>
      <c r="B91" s="33" t="s">
        <v>136</v>
      </c>
      <c r="C91" s="34">
        <f>[6]С3!F22</f>
        <v>3.0363273400332993</v>
      </c>
    </row>
    <row r="92" spans="1:3" s="63" customFormat="1" ht="55.5">
      <c r="A92" s="77" t="s">
        <v>137</v>
      </c>
      <c r="B92" s="53" t="s">
        <v>138</v>
      </c>
      <c r="C92" s="80">
        <f>[6]С3!F23</f>
        <v>3.0000000000000001E-3</v>
      </c>
    </row>
    <row r="93" spans="1:3" s="63" customFormat="1" ht="27.75" thickBot="1">
      <c r="A93" s="81" t="s">
        <v>139</v>
      </c>
      <c r="B93" s="82" t="s">
        <v>140</v>
      </c>
      <c r="C93" s="83">
        <f>[6]С3!F24</f>
        <v>1012.1091133444331</v>
      </c>
    </row>
    <row r="94" spans="1:3" ht="13.5" thickBot="1">
      <c r="A94" s="47"/>
      <c r="B94" s="75"/>
      <c r="C94" s="15"/>
    </row>
    <row r="95" spans="1:3" ht="30" customHeight="1">
      <c r="A95" s="84" t="s">
        <v>141</v>
      </c>
      <c r="B95" s="118" t="s">
        <v>142</v>
      </c>
      <c r="C95" s="118"/>
    </row>
    <row r="96" spans="1:3" ht="30">
      <c r="A96" s="59" t="s">
        <v>143</v>
      </c>
      <c r="B96" s="33" t="s">
        <v>144</v>
      </c>
      <c r="C96" s="34">
        <f>[6]С4!F16</f>
        <v>1652.5</v>
      </c>
    </row>
    <row r="97" spans="1:3" ht="30">
      <c r="A97" s="59" t="s">
        <v>145</v>
      </c>
      <c r="B97" s="58" t="s">
        <v>146</v>
      </c>
      <c r="C97" s="34">
        <f>[6]С4!F17</f>
        <v>73547</v>
      </c>
    </row>
    <row r="98" spans="1:3" ht="17.25">
      <c r="A98" s="59" t="s">
        <v>147</v>
      </c>
      <c r="B98" s="58" t="s">
        <v>148</v>
      </c>
      <c r="C98" s="40">
        <f>[6]С4!F18</f>
        <v>0.02</v>
      </c>
    </row>
    <row r="99" spans="1:3" ht="30">
      <c r="A99" s="59" t="s">
        <v>149</v>
      </c>
      <c r="B99" s="58" t="s">
        <v>150</v>
      </c>
      <c r="C99" s="34">
        <f>[6]С4!F19</f>
        <v>12104</v>
      </c>
    </row>
    <row r="100" spans="1:3" ht="31.5">
      <c r="A100" s="59" t="s">
        <v>151</v>
      </c>
      <c r="B100" s="58" t="s">
        <v>152</v>
      </c>
      <c r="C100" s="40">
        <f>[6]С4!F20</f>
        <v>1.4999999999999999E-2</v>
      </c>
    </row>
    <row r="101" spans="1:3" ht="30">
      <c r="A101" s="59" t="s">
        <v>153</v>
      </c>
      <c r="B101" s="33" t="s">
        <v>154</v>
      </c>
      <c r="C101" s="34">
        <f>[6]С4!F21</f>
        <v>1933.1949342509995</v>
      </c>
    </row>
    <row r="102" spans="1:3" ht="24" customHeight="1">
      <c r="A102" s="59" t="s">
        <v>155</v>
      </c>
      <c r="B102" s="53" t="s">
        <v>156</v>
      </c>
      <c r="C102" s="85">
        <f>IF([6]С4.2!F8="да",[6]С4.2!D21,[6]С4.2!D15)</f>
        <v>0</v>
      </c>
    </row>
    <row r="103" spans="1:3" ht="68.25">
      <c r="A103" s="59" t="s">
        <v>157</v>
      </c>
      <c r="B103" s="53" t="s">
        <v>158</v>
      </c>
      <c r="C103" s="34">
        <f>[6]С4!F22</f>
        <v>3.6112641666666665</v>
      </c>
    </row>
    <row r="104" spans="1:3" ht="30">
      <c r="A104" s="59" t="s">
        <v>159</v>
      </c>
      <c r="B104" s="58" t="s">
        <v>160</v>
      </c>
      <c r="C104" s="34">
        <f>[6]С4!F23</f>
        <v>180</v>
      </c>
    </row>
    <row r="105" spans="1:3" ht="14.25">
      <c r="A105" s="59" t="s">
        <v>161</v>
      </c>
      <c r="B105" s="53" t="s">
        <v>162</v>
      </c>
      <c r="C105" s="34">
        <f>[6]С4!F24</f>
        <v>8497.1999999999989</v>
      </c>
    </row>
    <row r="106" spans="1:3" ht="14.25">
      <c r="A106" s="59" t="s">
        <v>163</v>
      </c>
      <c r="B106" s="58" t="s">
        <v>164</v>
      </c>
      <c r="C106" s="40">
        <f>[6]С4!F25</f>
        <v>0.35</v>
      </c>
    </row>
    <row r="107" spans="1:3" ht="17.25">
      <c r="A107" s="59" t="s">
        <v>165</v>
      </c>
      <c r="B107" s="33" t="s">
        <v>166</v>
      </c>
      <c r="C107" s="34">
        <f>[6]С4!F26</f>
        <v>62.137410000000003</v>
      </c>
    </row>
    <row r="108" spans="1:3" ht="25.5">
      <c r="A108" s="59" t="s">
        <v>167</v>
      </c>
      <c r="B108" s="53" t="s">
        <v>94</v>
      </c>
      <c r="C108" s="85">
        <f>[6]С4.3!E16</f>
        <v>0</v>
      </c>
    </row>
    <row r="109" spans="1:3" ht="25.5">
      <c r="A109" s="59" t="s">
        <v>168</v>
      </c>
      <c r="B109" s="53" t="s">
        <v>169</v>
      </c>
      <c r="C109" s="34">
        <f>[6]С4.3!E17</f>
        <v>16.190000000000001</v>
      </c>
    </row>
    <row r="110" spans="1:3" ht="38.25">
      <c r="A110" s="59" t="s">
        <v>170</v>
      </c>
      <c r="B110" s="53" t="s">
        <v>106</v>
      </c>
      <c r="C110" s="85">
        <f>[6]С4.3!E18</f>
        <v>0</v>
      </c>
    </row>
    <row r="111" spans="1:3">
      <c r="A111" s="59" t="s">
        <v>171</v>
      </c>
      <c r="B111" s="53" t="s">
        <v>172</v>
      </c>
      <c r="C111" s="34">
        <f>[6]С4.3!E19</f>
        <v>26.27</v>
      </c>
    </row>
    <row r="112" spans="1:3">
      <c r="A112" s="59" t="s">
        <v>173</v>
      </c>
      <c r="B112" s="58" t="s">
        <v>174</v>
      </c>
      <c r="C112" s="34">
        <f>[6]С4.3!E11</f>
        <v>1871</v>
      </c>
    </row>
    <row r="113" spans="1:3">
      <c r="A113" s="59" t="s">
        <v>175</v>
      </c>
      <c r="B113" s="58" t="s">
        <v>176</v>
      </c>
      <c r="C113" s="52">
        <f>[6]С4.3!E12</f>
        <v>1636</v>
      </c>
    </row>
    <row r="114" spans="1:3">
      <c r="A114" s="59" t="s">
        <v>177</v>
      </c>
      <c r="B114" s="58" t="s">
        <v>178</v>
      </c>
      <c r="C114" s="52">
        <f>[6]С4.3!E13</f>
        <v>204</v>
      </c>
    </row>
    <row r="115" spans="1:3" ht="30">
      <c r="A115" s="59" t="s">
        <v>179</v>
      </c>
      <c r="B115" s="33" t="s">
        <v>180</v>
      </c>
      <c r="C115" s="34">
        <f>[6]С4!F27</f>
        <v>1040.8858115370676</v>
      </c>
    </row>
    <row r="116" spans="1:3" ht="25.5">
      <c r="A116" s="59" t="s">
        <v>181</v>
      </c>
      <c r="B116" s="53" t="s">
        <v>182</v>
      </c>
      <c r="C116" s="34">
        <f>[6]С4!F28</f>
        <v>799.45146815442979</v>
      </c>
    </row>
    <row r="117" spans="1:3" ht="42.75">
      <c r="A117" s="59" t="s">
        <v>183</v>
      </c>
      <c r="B117" s="53" t="s">
        <v>184</v>
      </c>
      <c r="C117" s="34">
        <f>[6]С4!F29</f>
        <v>241.43434338263785</v>
      </c>
    </row>
    <row r="118" spans="1:3" ht="30">
      <c r="A118" s="59" t="s">
        <v>185</v>
      </c>
      <c r="B118" s="39" t="s">
        <v>186</v>
      </c>
      <c r="C118" s="34">
        <f>[6]С4!F30</f>
        <v>2176.9140140295349</v>
      </c>
    </row>
    <row r="119" spans="1:3" ht="42.75">
      <c r="A119" s="59" t="s">
        <v>187</v>
      </c>
      <c r="B119" s="86" t="s">
        <v>188</v>
      </c>
      <c r="C119" s="34">
        <f>[6]С4!F33</f>
        <v>1462.2970339490387</v>
      </c>
    </row>
    <row r="120" spans="1:3" ht="30">
      <c r="A120" s="59" t="s">
        <v>189</v>
      </c>
      <c r="B120" s="87" t="s">
        <v>190</v>
      </c>
      <c r="C120" s="34">
        <f>[6]С4!F35</f>
        <v>17.040680999999999</v>
      </c>
    </row>
    <row r="121" spans="1:3" ht="14.25">
      <c r="A121" s="59" t="s">
        <v>191</v>
      </c>
      <c r="B121" s="56" t="s">
        <v>192</v>
      </c>
      <c r="C121" s="34">
        <f>[6]С4!F36</f>
        <v>14319.9</v>
      </c>
    </row>
    <row r="122" spans="1:3" ht="28.5" thickBot="1">
      <c r="A122" s="72" t="s">
        <v>193</v>
      </c>
      <c r="B122" s="88" t="s">
        <v>194</v>
      </c>
      <c r="C122" s="83">
        <f>[6]С4!F37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[6]С5!F17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[6]С2!F37</f>
        <v>20.818139999999996</v>
      </c>
    </row>
    <row r="136" spans="1:4" ht="14.25">
      <c r="A136" s="59" t="s">
        <v>216</v>
      </c>
      <c r="B136" s="101" t="s">
        <v>217</v>
      </c>
      <c r="C136" s="34">
        <f>[6]С2!F38</f>
        <v>7</v>
      </c>
    </row>
    <row r="137" spans="1:4" ht="17.25">
      <c r="A137" s="59" t="s">
        <v>218</v>
      </c>
      <c r="B137" s="101" t="s">
        <v>219</v>
      </c>
      <c r="C137" s="34">
        <f>[6]С2!F40</f>
        <v>0.97</v>
      </c>
    </row>
    <row r="138" spans="1:4" ht="15" thickBot="1">
      <c r="A138" s="72" t="s">
        <v>220</v>
      </c>
      <c r="B138" s="102" t="s">
        <v>221</v>
      </c>
      <c r="C138" s="46">
        <f>[6]С2!F42</f>
        <v>0.35</v>
      </c>
    </row>
    <row r="139" spans="1:4" s="89" customFormat="1" ht="13.5" thickBot="1">
      <c r="A139" s="47"/>
      <c r="B139" s="75"/>
      <c r="C139" s="15"/>
    </row>
    <row r="140" spans="1:4" ht="30">
      <c r="A140" s="84" t="s">
        <v>222</v>
      </c>
      <c r="B140" s="103" t="s">
        <v>223</v>
      </c>
      <c r="C140" s="104">
        <f>[6]С2!F35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[6]С2.5!$E$11</f>
        <v>-2.9000000000000026E-2</v>
      </c>
      <c r="D143" s="89"/>
    </row>
    <row r="144" spans="1:4">
      <c r="A144" s="105"/>
      <c r="B144" s="110">
        <f>B143+1</f>
        <v>2021</v>
      </c>
      <c r="C144" s="111">
        <f>[6]С2.5!$F$11</f>
        <v>0.245</v>
      </c>
      <c r="D144" s="89"/>
    </row>
    <row r="145" spans="1:4">
      <c r="A145" s="105"/>
      <c r="B145" s="110">
        <f t="shared" ref="B145:B208" si="0">B144+1</f>
        <v>2022</v>
      </c>
      <c r="C145" s="111">
        <f>[6]С2.5!$G$11</f>
        <v>0.121</v>
      </c>
      <c r="D145" s="89"/>
    </row>
    <row r="146" spans="1:4" ht="13.5" thickBot="1">
      <c r="A146" s="105"/>
      <c r="B146" s="112">
        <f t="shared" si="0"/>
        <v>2023</v>
      </c>
      <c r="C146" s="113">
        <f>[6]С2.5!$H$11</f>
        <v>0.02</v>
      </c>
      <c r="D146" s="89"/>
    </row>
    <row r="147" spans="1:4" hidden="1">
      <c r="A147" s="105"/>
      <c r="B147" s="114">
        <f t="shared" si="0"/>
        <v>2024</v>
      </c>
      <c r="C147" s="115">
        <f>[6]С2.5!$I$11</f>
        <v>-2.93E-2</v>
      </c>
      <c r="D147" s="89"/>
    </row>
    <row r="148" spans="1:4" hidden="1">
      <c r="A148" s="105"/>
      <c r="B148" s="110">
        <f t="shared" si="0"/>
        <v>2025</v>
      </c>
      <c r="C148" s="111">
        <f>[6]С2.5!$J$11</f>
        <v>0.21215960863291</v>
      </c>
      <c r="D148" s="89"/>
    </row>
    <row r="149" spans="1:4" hidden="1">
      <c r="A149" s="105"/>
      <c r="B149" s="110">
        <f t="shared" si="0"/>
        <v>2026</v>
      </c>
      <c r="C149" s="111">
        <f>[6]С2.5!$K$11</f>
        <v>3.5813361771260002E-2</v>
      </c>
      <c r="D149" s="89"/>
    </row>
    <row r="150" spans="1:4" hidden="1">
      <c r="A150" s="105"/>
      <c r="B150" s="110">
        <f t="shared" si="0"/>
        <v>2027</v>
      </c>
      <c r="C150" s="111">
        <f>[6]С2.5!$L$11</f>
        <v>3.2682303599220003E-2</v>
      </c>
      <c r="D150" s="89"/>
    </row>
    <row r="151" spans="1:4" hidden="1">
      <c r="A151" s="105"/>
      <c r="B151" s="110">
        <f t="shared" si="0"/>
        <v>2028</v>
      </c>
      <c r="C151" s="111">
        <f>[6]С2.5!$M$11</f>
        <v>0</v>
      </c>
      <c r="D151" s="89"/>
    </row>
    <row r="152" spans="1:4" hidden="1">
      <c r="A152" s="105"/>
      <c r="B152" s="110">
        <f t="shared" si="0"/>
        <v>2029</v>
      </c>
      <c r="C152" s="111">
        <f>[6]С2.5!$N$11</f>
        <v>0</v>
      </c>
      <c r="D152" s="89"/>
    </row>
    <row r="153" spans="1:4" hidden="1">
      <c r="A153" s="105"/>
      <c r="B153" s="110">
        <f t="shared" si="0"/>
        <v>2030</v>
      </c>
      <c r="C153" s="111">
        <f>[6]С2.5!$O$11</f>
        <v>0</v>
      </c>
      <c r="D153" s="89"/>
    </row>
    <row r="154" spans="1:4" hidden="1">
      <c r="A154" s="105"/>
      <c r="B154" s="110">
        <f t="shared" si="0"/>
        <v>2031</v>
      </c>
      <c r="C154" s="111">
        <f>[6]С2.5!$P$11</f>
        <v>0</v>
      </c>
      <c r="D154" s="89"/>
    </row>
    <row r="155" spans="1:4" hidden="1">
      <c r="A155" s="89"/>
      <c r="B155" s="110">
        <f t="shared" si="0"/>
        <v>2032</v>
      </c>
      <c r="C155" s="111">
        <f>[6]С2.5!$Q$11</f>
        <v>0</v>
      </c>
      <c r="D155" s="89"/>
    </row>
    <row r="156" spans="1:4" hidden="1">
      <c r="A156" s="89"/>
      <c r="B156" s="110">
        <f t="shared" si="0"/>
        <v>2033</v>
      </c>
      <c r="C156" s="111">
        <f>[6]С2.5!$R$11</f>
        <v>0</v>
      </c>
      <c r="D156" s="89"/>
    </row>
    <row r="157" spans="1:4" hidden="1">
      <c r="B157" s="110">
        <f t="shared" si="0"/>
        <v>2034</v>
      </c>
      <c r="C157" s="111">
        <f>[6]С2.5!$S$11</f>
        <v>0</v>
      </c>
    </row>
    <row r="158" spans="1:4" hidden="1">
      <c r="B158" s="110">
        <f t="shared" si="0"/>
        <v>2035</v>
      </c>
      <c r="C158" s="111">
        <f>[6]С2.5!$T$11</f>
        <v>0</v>
      </c>
    </row>
    <row r="159" spans="1:4" hidden="1">
      <c r="B159" s="110">
        <f t="shared" si="0"/>
        <v>2036</v>
      </c>
      <c r="C159" s="111">
        <f>[6]С2.5!$U$11</f>
        <v>0</v>
      </c>
    </row>
    <row r="160" spans="1:4" hidden="1">
      <c r="B160" s="110">
        <f t="shared" si="0"/>
        <v>2037</v>
      </c>
      <c r="C160" s="111">
        <f>[6]С2.5!$V$11</f>
        <v>0</v>
      </c>
    </row>
    <row r="161" spans="2:3" hidden="1">
      <c r="B161" s="110">
        <f t="shared" si="0"/>
        <v>2038</v>
      </c>
      <c r="C161" s="111">
        <f>[6]С2.5!$W$11</f>
        <v>0</v>
      </c>
    </row>
    <row r="162" spans="2:3" hidden="1">
      <c r="B162" s="110">
        <f t="shared" si="0"/>
        <v>2039</v>
      </c>
      <c r="C162" s="111">
        <f>[6]С2.5!$X$11</f>
        <v>0</v>
      </c>
    </row>
    <row r="163" spans="2:3" hidden="1">
      <c r="B163" s="110">
        <f t="shared" si="0"/>
        <v>2040</v>
      </c>
      <c r="C163" s="111">
        <f>[6]С2.5!$Y$11</f>
        <v>0</v>
      </c>
    </row>
    <row r="164" spans="2:3" hidden="1">
      <c r="B164" s="110">
        <f t="shared" si="0"/>
        <v>2041</v>
      </c>
      <c r="C164" s="111">
        <f>[6]С2.5!$Z$11</f>
        <v>0</v>
      </c>
    </row>
    <row r="165" spans="2:3" hidden="1">
      <c r="B165" s="110">
        <f t="shared" si="0"/>
        <v>2042</v>
      </c>
      <c r="C165" s="111">
        <f>[6]С2.5!$AA$11</f>
        <v>0</v>
      </c>
    </row>
    <row r="166" spans="2:3" hidden="1">
      <c r="B166" s="110">
        <f t="shared" si="0"/>
        <v>2043</v>
      </c>
      <c r="C166" s="111">
        <f>[6]С2.5!$AB$11</f>
        <v>0</v>
      </c>
    </row>
    <row r="167" spans="2:3" hidden="1">
      <c r="B167" s="110">
        <f t="shared" si="0"/>
        <v>2044</v>
      </c>
      <c r="C167" s="111">
        <f>[6]С2.5!$AC$11</f>
        <v>0</v>
      </c>
    </row>
    <row r="168" spans="2:3" hidden="1">
      <c r="B168" s="110">
        <f t="shared" si="0"/>
        <v>2045</v>
      </c>
      <c r="C168" s="111">
        <f>[6]С2.5!$AD$11</f>
        <v>0</v>
      </c>
    </row>
    <row r="169" spans="2:3" hidden="1">
      <c r="B169" s="110">
        <f t="shared" si="0"/>
        <v>2046</v>
      </c>
      <c r="C169" s="111">
        <f>[6]С2.5!$AE$11</f>
        <v>0</v>
      </c>
    </row>
    <row r="170" spans="2:3" hidden="1">
      <c r="B170" s="110">
        <f t="shared" si="0"/>
        <v>2047</v>
      </c>
      <c r="C170" s="111">
        <f>[6]С2.5!$AF$11</f>
        <v>0</v>
      </c>
    </row>
    <row r="171" spans="2:3" hidden="1">
      <c r="B171" s="110">
        <f t="shared" si="0"/>
        <v>2048</v>
      </c>
      <c r="C171" s="111">
        <f>[6]С2.5!$AG$11</f>
        <v>0</v>
      </c>
    </row>
    <row r="172" spans="2:3" hidden="1">
      <c r="B172" s="110">
        <f t="shared" si="0"/>
        <v>2049</v>
      </c>
      <c r="C172" s="111">
        <f>[6]С2.5!$AH$11</f>
        <v>0</v>
      </c>
    </row>
    <row r="173" spans="2:3" hidden="1">
      <c r="B173" s="110">
        <f t="shared" si="0"/>
        <v>2050</v>
      </c>
      <c r="C173" s="111">
        <f>[6]С2.5!$AI$11</f>
        <v>0</v>
      </c>
    </row>
    <row r="174" spans="2:3" hidden="1">
      <c r="B174" s="110">
        <f t="shared" si="0"/>
        <v>2051</v>
      </c>
      <c r="C174" s="111">
        <f>[6]С2.5!$AJ$11</f>
        <v>0</v>
      </c>
    </row>
    <row r="175" spans="2:3" hidden="1">
      <c r="B175" s="110">
        <f t="shared" si="0"/>
        <v>2052</v>
      </c>
      <c r="C175" s="111">
        <f>[6]С2.5!$AK$11</f>
        <v>0</v>
      </c>
    </row>
    <row r="176" spans="2:3" hidden="1">
      <c r="B176" s="110">
        <f t="shared" si="0"/>
        <v>2053</v>
      </c>
      <c r="C176" s="111">
        <f>[6]С2.5!$AL$11</f>
        <v>0</v>
      </c>
    </row>
    <row r="177" spans="2:3" hidden="1">
      <c r="B177" s="110">
        <f t="shared" si="0"/>
        <v>2054</v>
      </c>
      <c r="C177" s="111">
        <f>[6]С2.5!$AM$11</f>
        <v>0</v>
      </c>
    </row>
    <row r="178" spans="2:3" hidden="1">
      <c r="B178" s="110">
        <f t="shared" si="0"/>
        <v>2055</v>
      </c>
      <c r="C178" s="111">
        <f>[6]С2.5!$AN$11</f>
        <v>0</v>
      </c>
    </row>
    <row r="179" spans="2:3" hidden="1">
      <c r="B179" s="110">
        <f t="shared" si="0"/>
        <v>2056</v>
      </c>
      <c r="C179" s="111">
        <f>[6]С2.5!$AO$11</f>
        <v>0</v>
      </c>
    </row>
    <row r="180" spans="2:3" hidden="1">
      <c r="B180" s="110">
        <f t="shared" si="0"/>
        <v>2057</v>
      </c>
      <c r="C180" s="111">
        <f>[6]С2.5!$AP$11</f>
        <v>0</v>
      </c>
    </row>
    <row r="181" spans="2:3" hidden="1">
      <c r="B181" s="110">
        <f t="shared" si="0"/>
        <v>2058</v>
      </c>
      <c r="C181" s="111">
        <f>[6]С2.5!$AQ$11</f>
        <v>0</v>
      </c>
    </row>
    <row r="182" spans="2:3" hidden="1">
      <c r="B182" s="110">
        <f t="shared" si="0"/>
        <v>2059</v>
      </c>
      <c r="C182" s="111">
        <f>[6]С2.5!$AR$11</f>
        <v>0</v>
      </c>
    </row>
    <row r="183" spans="2:3" hidden="1">
      <c r="B183" s="110">
        <f t="shared" si="0"/>
        <v>2060</v>
      </c>
      <c r="C183" s="111">
        <f>[6]С2.5!$AS$11</f>
        <v>0</v>
      </c>
    </row>
    <row r="184" spans="2:3" hidden="1">
      <c r="B184" s="110">
        <f t="shared" si="0"/>
        <v>2061</v>
      </c>
      <c r="C184" s="111">
        <f>[6]С2.5!$AT$11</f>
        <v>0</v>
      </c>
    </row>
    <row r="185" spans="2:3" hidden="1">
      <c r="B185" s="110">
        <f t="shared" si="0"/>
        <v>2062</v>
      </c>
      <c r="C185" s="111">
        <f>[6]С2.5!$AU$11</f>
        <v>0</v>
      </c>
    </row>
    <row r="186" spans="2:3" hidden="1">
      <c r="B186" s="110">
        <f t="shared" si="0"/>
        <v>2063</v>
      </c>
      <c r="C186" s="111">
        <f>[6]С2.5!$AV$11</f>
        <v>0</v>
      </c>
    </row>
    <row r="187" spans="2:3" hidden="1">
      <c r="B187" s="110">
        <f t="shared" si="0"/>
        <v>2064</v>
      </c>
      <c r="C187" s="111">
        <f>[6]С2.5!$AW$11</f>
        <v>0</v>
      </c>
    </row>
    <row r="188" spans="2:3" hidden="1">
      <c r="B188" s="110">
        <f t="shared" si="0"/>
        <v>2065</v>
      </c>
      <c r="C188" s="111">
        <f>[6]С2.5!$AX$11</f>
        <v>0</v>
      </c>
    </row>
    <row r="189" spans="2:3" hidden="1">
      <c r="B189" s="110">
        <f t="shared" si="0"/>
        <v>2066</v>
      </c>
      <c r="C189" s="111">
        <f>[6]С2.5!$AY$11</f>
        <v>0</v>
      </c>
    </row>
    <row r="190" spans="2:3" hidden="1">
      <c r="B190" s="110">
        <f t="shared" si="0"/>
        <v>2067</v>
      </c>
      <c r="C190" s="111">
        <f>[6]С2.5!$AZ$11</f>
        <v>0</v>
      </c>
    </row>
    <row r="191" spans="2:3" hidden="1">
      <c r="B191" s="110">
        <f t="shared" si="0"/>
        <v>2068</v>
      </c>
      <c r="C191" s="111">
        <f>[6]С2.5!$BA$11</f>
        <v>0</v>
      </c>
    </row>
    <row r="192" spans="2:3" hidden="1">
      <c r="B192" s="110">
        <f t="shared" si="0"/>
        <v>2069</v>
      </c>
      <c r="C192" s="111">
        <f>[6]С2.5!$BB$11</f>
        <v>0</v>
      </c>
    </row>
    <row r="193" spans="2:3" hidden="1">
      <c r="B193" s="110">
        <f t="shared" si="0"/>
        <v>2070</v>
      </c>
      <c r="C193" s="111">
        <f>[6]С2.5!$BC$11</f>
        <v>0</v>
      </c>
    </row>
    <row r="194" spans="2:3" hidden="1">
      <c r="B194" s="110">
        <f t="shared" si="0"/>
        <v>2071</v>
      </c>
      <c r="C194" s="111">
        <f>[6]С2.5!$BD$11</f>
        <v>0</v>
      </c>
    </row>
    <row r="195" spans="2:3" hidden="1">
      <c r="B195" s="110">
        <f t="shared" si="0"/>
        <v>2072</v>
      </c>
      <c r="C195" s="111">
        <f>[6]С2.5!$BE$11</f>
        <v>0</v>
      </c>
    </row>
    <row r="196" spans="2:3" hidden="1">
      <c r="B196" s="110">
        <f t="shared" si="0"/>
        <v>2073</v>
      </c>
      <c r="C196" s="111">
        <f>[6]С2.5!$BF$11</f>
        <v>0</v>
      </c>
    </row>
    <row r="197" spans="2:3" hidden="1">
      <c r="B197" s="110">
        <f t="shared" si="0"/>
        <v>2074</v>
      </c>
      <c r="C197" s="111">
        <f>[6]С2.5!$BG$11</f>
        <v>0</v>
      </c>
    </row>
    <row r="198" spans="2:3" hidden="1">
      <c r="B198" s="110">
        <f t="shared" si="0"/>
        <v>2075</v>
      </c>
      <c r="C198" s="111">
        <f>[6]С2.5!$BH$11</f>
        <v>0</v>
      </c>
    </row>
    <row r="199" spans="2:3" hidden="1">
      <c r="B199" s="110">
        <f t="shared" si="0"/>
        <v>2076</v>
      </c>
      <c r="C199" s="111">
        <f>[6]С2.5!$BI$11</f>
        <v>0</v>
      </c>
    </row>
    <row r="200" spans="2:3" hidden="1">
      <c r="B200" s="110">
        <f t="shared" si="0"/>
        <v>2077</v>
      </c>
      <c r="C200" s="111">
        <f>[6]С2.5!$BJ$11</f>
        <v>0</v>
      </c>
    </row>
    <row r="201" spans="2:3" hidden="1">
      <c r="B201" s="110">
        <f t="shared" si="0"/>
        <v>2078</v>
      </c>
      <c r="C201" s="111">
        <f>[6]С2.5!$BK$11</f>
        <v>0</v>
      </c>
    </row>
    <row r="202" spans="2:3" hidden="1">
      <c r="B202" s="110">
        <f t="shared" si="0"/>
        <v>2079</v>
      </c>
      <c r="C202" s="111">
        <f>[6]С2.5!$BL$11</f>
        <v>0</v>
      </c>
    </row>
    <row r="203" spans="2:3" hidden="1">
      <c r="B203" s="110">
        <f t="shared" si="0"/>
        <v>2080</v>
      </c>
      <c r="C203" s="111">
        <f>[6]С2.5!$BM$11</f>
        <v>0</v>
      </c>
    </row>
    <row r="204" spans="2:3" hidden="1">
      <c r="B204" s="110">
        <f t="shared" si="0"/>
        <v>2081</v>
      </c>
      <c r="C204" s="111">
        <f>[6]С2.5!$BN$11</f>
        <v>0</v>
      </c>
    </row>
    <row r="205" spans="2:3" hidden="1">
      <c r="B205" s="110">
        <f t="shared" si="0"/>
        <v>2082</v>
      </c>
      <c r="C205" s="111">
        <f>[6]С2.5!$BO$11</f>
        <v>0</v>
      </c>
    </row>
    <row r="206" spans="2:3" hidden="1">
      <c r="B206" s="110">
        <f t="shared" si="0"/>
        <v>2083</v>
      </c>
      <c r="C206" s="111">
        <f>[6]С2.5!$BP$11</f>
        <v>0</v>
      </c>
    </row>
    <row r="207" spans="2:3" hidden="1">
      <c r="B207" s="110">
        <f t="shared" si="0"/>
        <v>2084</v>
      </c>
      <c r="C207" s="111">
        <f>[6]С2.5!$BQ$11</f>
        <v>0</v>
      </c>
    </row>
    <row r="208" spans="2:3" hidden="1">
      <c r="B208" s="110">
        <f t="shared" si="0"/>
        <v>2085</v>
      </c>
      <c r="C208" s="111">
        <f>[6]С2.5!$BR$11</f>
        <v>0</v>
      </c>
    </row>
    <row r="209" spans="2:3" hidden="1">
      <c r="B209" s="110">
        <f t="shared" ref="B209:B223" si="1">B208+1</f>
        <v>2086</v>
      </c>
      <c r="C209" s="111">
        <f>[6]С2.5!$BS$11</f>
        <v>0</v>
      </c>
    </row>
    <row r="210" spans="2:3" hidden="1">
      <c r="B210" s="110">
        <f t="shared" si="1"/>
        <v>2087</v>
      </c>
      <c r="C210" s="111">
        <f>[6]С2.5!$BT$11</f>
        <v>0</v>
      </c>
    </row>
    <row r="211" spans="2:3" hidden="1">
      <c r="B211" s="110">
        <f t="shared" si="1"/>
        <v>2088</v>
      </c>
      <c r="C211" s="111">
        <f>[6]С2.5!$BU$11</f>
        <v>0</v>
      </c>
    </row>
    <row r="212" spans="2:3" hidden="1">
      <c r="B212" s="110">
        <f t="shared" si="1"/>
        <v>2089</v>
      </c>
      <c r="C212" s="111">
        <f>[6]С2.5!$BV$11</f>
        <v>0</v>
      </c>
    </row>
    <row r="213" spans="2:3" hidden="1">
      <c r="B213" s="110">
        <f t="shared" si="1"/>
        <v>2090</v>
      </c>
      <c r="C213" s="111">
        <f>[6]С2.5!$BW$11</f>
        <v>0</v>
      </c>
    </row>
    <row r="214" spans="2:3" hidden="1">
      <c r="B214" s="110">
        <f t="shared" si="1"/>
        <v>2091</v>
      </c>
      <c r="C214" s="111">
        <f>[6]С2.5!$BX$11</f>
        <v>0</v>
      </c>
    </row>
    <row r="215" spans="2:3" hidden="1">
      <c r="B215" s="110">
        <f t="shared" si="1"/>
        <v>2092</v>
      </c>
      <c r="C215" s="111">
        <f>[6]С2.5!$BY$11</f>
        <v>0</v>
      </c>
    </row>
    <row r="216" spans="2:3" hidden="1">
      <c r="B216" s="110">
        <f t="shared" si="1"/>
        <v>2093</v>
      </c>
      <c r="C216" s="111">
        <f>[6]С2.5!$BZ$11</f>
        <v>0</v>
      </c>
    </row>
    <row r="217" spans="2:3" hidden="1">
      <c r="B217" s="110">
        <f t="shared" si="1"/>
        <v>2094</v>
      </c>
      <c r="C217" s="111">
        <f>[6]С2.5!$CA$11</f>
        <v>0</v>
      </c>
    </row>
    <row r="218" spans="2:3" hidden="1">
      <c r="B218" s="110">
        <f t="shared" si="1"/>
        <v>2095</v>
      </c>
      <c r="C218" s="111">
        <f>[6]С2.5!$CB$11</f>
        <v>0</v>
      </c>
    </row>
    <row r="219" spans="2:3" hidden="1">
      <c r="B219" s="110">
        <f t="shared" si="1"/>
        <v>2096</v>
      </c>
      <c r="C219" s="111">
        <f>[6]С2.5!$CC$11</f>
        <v>0</v>
      </c>
    </row>
    <row r="220" spans="2:3" hidden="1">
      <c r="B220" s="110">
        <f t="shared" si="1"/>
        <v>2097</v>
      </c>
      <c r="C220" s="111">
        <f>[6]С2.5!$CD$11</f>
        <v>0</v>
      </c>
    </row>
    <row r="221" spans="2:3" hidden="1">
      <c r="B221" s="110">
        <f t="shared" si="1"/>
        <v>2098</v>
      </c>
      <c r="C221" s="111">
        <f>[6]С2.5!$CE$11</f>
        <v>0</v>
      </c>
    </row>
    <row r="222" spans="2:3" hidden="1">
      <c r="B222" s="110">
        <f t="shared" si="1"/>
        <v>2099</v>
      </c>
      <c r="C222" s="111">
        <f>[6]С2.5!$CF$11</f>
        <v>0</v>
      </c>
    </row>
    <row r="223" spans="2:3" ht="13.5" hidden="1" thickBot="1">
      <c r="B223" s="112">
        <f t="shared" si="1"/>
        <v>2100</v>
      </c>
      <c r="C223" s="113">
        <f>[6]С2.5!$CG$11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[7]И1!D13</f>
        <v>Субъект Российской Федерации</v>
      </c>
      <c r="C4" s="10" t="str">
        <f>[7]И1!E13</f>
        <v>Новосибирская область</v>
      </c>
    </row>
    <row r="5" spans="1:3" ht="38.25">
      <c r="A5" s="8"/>
      <c r="B5" s="9" t="str">
        <f>[7]И1!D14</f>
        <v>Тип муниципального образования (выберите из списка)</v>
      </c>
      <c r="C5" s="10" t="str">
        <f>[7]И1!E14</f>
        <v>село Довольное, Доволенский муниципальный район</v>
      </c>
    </row>
    <row r="6" spans="1:3">
      <c r="A6" s="8"/>
      <c r="B6" s="9" t="str">
        <f>IF([7]И1!E15="","",[7]И1!D15)</f>
        <v/>
      </c>
      <c r="C6" s="10" t="str">
        <f>IF([7]И1!E15="","",[7]И1!E15)</f>
        <v/>
      </c>
    </row>
    <row r="7" spans="1:3">
      <c r="A7" s="8"/>
      <c r="B7" s="9" t="str">
        <f>[7]И1!D16</f>
        <v>Код ОКТМО</v>
      </c>
      <c r="C7" s="11" t="str">
        <f>[7]И1!E16</f>
        <v>50610407101</v>
      </c>
    </row>
    <row r="8" spans="1:3">
      <c r="A8" s="8"/>
      <c r="B8" s="12" t="str">
        <f>[7]И1!D17</f>
        <v>Система теплоснабжения</v>
      </c>
      <c r="C8" s="13">
        <f>[7]И1!E17</f>
        <v>0</v>
      </c>
    </row>
    <row r="9" spans="1:3">
      <c r="A9" s="8"/>
      <c r="B9" s="9" t="str">
        <f>[7]И1!D8</f>
        <v>Период регулирования (i)-й</v>
      </c>
      <c r="C9" s="14">
        <f>[7]И1!E8</f>
        <v>2023</v>
      </c>
    </row>
    <row r="10" spans="1:3">
      <c r="A10" s="8"/>
      <c r="B10" s="9" t="str">
        <f>[7]И1!D9</f>
        <v>Период регулирования (i-1)-й</v>
      </c>
      <c r="C10" s="14">
        <f>[7]И1!E9</f>
        <v>2022</v>
      </c>
    </row>
    <row r="11" spans="1:3">
      <c r="A11" s="8"/>
      <c r="B11" s="9" t="str">
        <f>[7]И1!D10</f>
        <v>Период регулирования (i-2)-й</v>
      </c>
      <c r="C11" s="14">
        <f>[7]И1!E10</f>
        <v>2021</v>
      </c>
    </row>
    <row r="12" spans="1:3">
      <c r="A12" s="8"/>
      <c r="B12" s="9" t="str">
        <f>[7]И1!D11</f>
        <v>Базовый год (б)</v>
      </c>
      <c r="C12" s="14">
        <f>[7]И1!E11</f>
        <v>2019</v>
      </c>
    </row>
    <row r="13" spans="1:3" ht="38.25">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4139.652847273429</v>
      </c>
    </row>
    <row r="18" spans="1:3" ht="42.75">
      <c r="A18" s="22" t="s">
        <v>8</v>
      </c>
      <c r="B18" s="25" t="s">
        <v>9</v>
      </c>
      <c r="C18" s="26">
        <f>[7]С1!F12</f>
        <v>1030.1960459923912</v>
      </c>
    </row>
    <row r="19" spans="1:3" ht="42.75">
      <c r="A19" s="22" t="s">
        <v>10</v>
      </c>
      <c r="B19" s="25" t="s">
        <v>11</v>
      </c>
      <c r="C19" s="26">
        <f>[7]С2!F12</f>
        <v>2105.0745921739249</v>
      </c>
    </row>
    <row r="20" spans="1:3" ht="30">
      <c r="A20" s="22" t="s">
        <v>12</v>
      </c>
      <c r="B20" s="25" t="s">
        <v>13</v>
      </c>
      <c r="C20" s="26">
        <f>[7]С3!F12</f>
        <v>503.57282204972699</v>
      </c>
    </row>
    <row r="21" spans="1:3" ht="42.75">
      <c r="A21" s="22" t="s">
        <v>14</v>
      </c>
      <c r="B21" s="25" t="s">
        <v>15</v>
      </c>
      <c r="C21" s="26">
        <f>[7]С4!F12</f>
        <v>419.6397233853578</v>
      </c>
    </row>
    <row r="22" spans="1:3" ht="30">
      <c r="A22" s="22" t="s">
        <v>16</v>
      </c>
      <c r="B22" s="25" t="s">
        <v>17</v>
      </c>
      <c r="C22" s="26">
        <f>[7]С5!F12</f>
        <v>81.169663672028022</v>
      </c>
    </row>
    <row r="23" spans="1:3" ht="43.5" thickBot="1">
      <c r="A23" s="27" t="s">
        <v>18</v>
      </c>
      <c r="B23" s="117" t="s">
        <v>19</v>
      </c>
      <c r="C23" s="28" t="str">
        <f>[7]С6!F12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[7]С1.1!E16</f>
        <v>5100</v>
      </c>
    </row>
    <row r="29" spans="1:3" ht="42.75">
      <c r="A29" s="22" t="s">
        <v>10</v>
      </c>
      <c r="B29" s="33" t="s">
        <v>22</v>
      </c>
      <c r="C29" s="34">
        <f>[7]С1.1!E27</f>
        <v>2770.0250000000001</v>
      </c>
    </row>
    <row r="30" spans="1:3" ht="17.25">
      <c r="A30" s="22" t="s">
        <v>12</v>
      </c>
      <c r="B30" s="33" t="s">
        <v>23</v>
      </c>
      <c r="C30" s="35">
        <f>[7]С1.1!E19</f>
        <v>0.59499999999999997</v>
      </c>
    </row>
    <row r="31" spans="1:3" ht="17.25">
      <c r="A31" s="22" t="s">
        <v>14</v>
      </c>
      <c r="B31" s="33" t="s">
        <v>24</v>
      </c>
      <c r="C31" s="35">
        <f>[7]С1.1!E20</f>
        <v>-0.113</v>
      </c>
    </row>
    <row r="32" spans="1:3" ht="30">
      <c r="A32" s="22" t="s">
        <v>16</v>
      </c>
      <c r="B32" s="36" t="s">
        <v>25</v>
      </c>
      <c r="C32" s="37">
        <f>[7]С1!F13</f>
        <v>176.4</v>
      </c>
    </row>
    <row r="33" spans="1:3">
      <c r="A33" s="22" t="s">
        <v>18</v>
      </c>
      <c r="B33" s="36" t="s">
        <v>26</v>
      </c>
      <c r="C33" s="38">
        <f>[7]С1!F16</f>
        <v>7000</v>
      </c>
    </row>
    <row r="34" spans="1:3" ht="14.25">
      <c r="A34" s="22" t="s">
        <v>27</v>
      </c>
      <c r="B34" s="39" t="s">
        <v>28</v>
      </c>
      <c r="C34" s="40">
        <f>[7]С1!F17</f>
        <v>0.72857142857142854</v>
      </c>
    </row>
    <row r="35" spans="1:3" ht="15.75">
      <c r="A35" s="41" t="s">
        <v>29</v>
      </c>
      <c r="B35" s="42" t="s">
        <v>30</v>
      </c>
      <c r="C35" s="40">
        <f>[7]С1!F20</f>
        <v>21.588411179999994</v>
      </c>
    </row>
    <row r="36" spans="1:3" ht="15.75">
      <c r="A36" s="41" t="s">
        <v>31</v>
      </c>
      <c r="B36" s="43" t="s">
        <v>32</v>
      </c>
      <c r="C36" s="40">
        <f>[7]С1!F21</f>
        <v>20.818139999999996</v>
      </c>
    </row>
    <row r="37" spans="1:3" ht="14.25">
      <c r="A37" s="41" t="s">
        <v>33</v>
      </c>
      <c r="B37" s="44" t="s">
        <v>34</v>
      </c>
      <c r="C37" s="40">
        <f>[7]С1!F22</f>
        <v>1.0369999999999999</v>
      </c>
    </row>
    <row r="38" spans="1:3" ht="53.25" thickBot="1">
      <c r="A38" s="27" t="s">
        <v>35</v>
      </c>
      <c r="B38" s="45" t="s">
        <v>36</v>
      </c>
      <c r="C38" s="46">
        <f>[7]С1!F23</f>
        <v>1.0469999999999999</v>
      </c>
    </row>
    <row r="39" spans="1:3" ht="13.5" thickBot="1">
      <c r="A39" s="47"/>
      <c r="B39" s="48"/>
      <c r="C39" s="49"/>
    </row>
    <row r="40" spans="1:3" ht="30" customHeight="1">
      <c r="A40" s="50" t="s">
        <v>37</v>
      </c>
      <c r="B40" s="118" t="s">
        <v>38</v>
      </c>
      <c r="C40" s="118"/>
    </row>
    <row r="41" spans="1:3" ht="25.5">
      <c r="A41" s="22" t="s">
        <v>39</v>
      </c>
      <c r="B41" s="36" t="s">
        <v>40</v>
      </c>
      <c r="C41" s="51" t="str">
        <f>[7]С2.1!E12</f>
        <v>V</v>
      </c>
    </row>
    <row r="42" spans="1:3" ht="25.5">
      <c r="A42" s="22" t="s">
        <v>41</v>
      </c>
      <c r="B42" s="33" t="s">
        <v>42</v>
      </c>
      <c r="C42" s="51" t="str">
        <f>[7]С2.1!E13</f>
        <v>6 и менее баллов</v>
      </c>
    </row>
    <row r="43" spans="1:3" ht="25.5">
      <c r="A43" s="22" t="s">
        <v>43</v>
      </c>
      <c r="B43" s="33" t="s">
        <v>44</v>
      </c>
      <c r="C43" s="51" t="str">
        <f>[7]С2.1!E14</f>
        <v>от 200 до 500</v>
      </c>
    </row>
    <row r="44" spans="1:3" ht="25.5">
      <c r="A44" s="22" t="s">
        <v>45</v>
      </c>
      <c r="B44" s="33" t="s">
        <v>46</v>
      </c>
      <c r="C44" s="52" t="str">
        <f>[7]С2.1!E15</f>
        <v>нет</v>
      </c>
    </row>
    <row r="45" spans="1:3" ht="30">
      <c r="A45" s="22" t="s">
        <v>47</v>
      </c>
      <c r="B45" s="33" t="s">
        <v>48</v>
      </c>
      <c r="C45" s="34">
        <f>[7]С2!F18</f>
        <v>32402.627334033532</v>
      </c>
    </row>
    <row r="46" spans="1:3" ht="30">
      <c r="A46" s="22" t="s">
        <v>49</v>
      </c>
      <c r="B46" s="53" t="s">
        <v>50</v>
      </c>
      <c r="C46" s="34">
        <f>IF([7]С2!F19&gt;0,[7]С2!F19,[7]С2!F20)</f>
        <v>23441.524932855718</v>
      </c>
    </row>
    <row r="47" spans="1:3" ht="25.5">
      <c r="A47" s="22" t="s">
        <v>51</v>
      </c>
      <c r="B47" s="54" t="s">
        <v>52</v>
      </c>
      <c r="C47" s="34">
        <f>[7]С2.1!E19</f>
        <v>-38</v>
      </c>
    </row>
    <row r="48" spans="1:3" ht="25.5">
      <c r="A48" s="22" t="s">
        <v>53</v>
      </c>
      <c r="B48" s="54" t="s">
        <v>54</v>
      </c>
      <c r="C48" s="34" t="str">
        <f>[7]С2.1!E22</f>
        <v>нет</v>
      </c>
    </row>
    <row r="49" spans="1:3" ht="38.25">
      <c r="A49" s="22" t="s">
        <v>55</v>
      </c>
      <c r="B49" s="55" t="s">
        <v>56</v>
      </c>
      <c r="C49" s="34">
        <f>[7]С2.2!E10</f>
        <v>1287</v>
      </c>
    </row>
    <row r="50" spans="1:3" ht="25.5">
      <c r="A50" s="22" t="s">
        <v>57</v>
      </c>
      <c r="B50" s="56" t="s">
        <v>58</v>
      </c>
      <c r="C50" s="34">
        <f>[7]С2.2!E12</f>
        <v>5.97</v>
      </c>
    </row>
    <row r="51" spans="1:3" ht="52.5">
      <c r="A51" s="22" t="s">
        <v>59</v>
      </c>
      <c r="B51" s="57" t="s">
        <v>60</v>
      </c>
      <c r="C51" s="34">
        <f>[7]С2.2!E13</f>
        <v>1</v>
      </c>
    </row>
    <row r="52" spans="1:3" ht="27.75">
      <c r="A52" s="22" t="s">
        <v>61</v>
      </c>
      <c r="B52" s="56" t="s">
        <v>62</v>
      </c>
      <c r="C52" s="34">
        <f>[7]С2.2!E14</f>
        <v>12104</v>
      </c>
    </row>
    <row r="53" spans="1:3" ht="25.5">
      <c r="A53" s="22" t="s">
        <v>63</v>
      </c>
      <c r="B53" s="57" t="s">
        <v>64</v>
      </c>
      <c r="C53" s="35">
        <f>[7]С2.2!E15</f>
        <v>4.8000000000000001E-2</v>
      </c>
    </row>
    <row r="54" spans="1:3">
      <c r="A54" s="22" t="s">
        <v>65</v>
      </c>
      <c r="B54" s="57" t="s">
        <v>66</v>
      </c>
      <c r="C54" s="34">
        <f>[7]С2.2!E16</f>
        <v>1</v>
      </c>
    </row>
    <row r="55" spans="1:3" ht="15.75">
      <c r="A55" s="22" t="s">
        <v>67</v>
      </c>
      <c r="B55" s="58" t="s">
        <v>68</v>
      </c>
      <c r="C55" s="34">
        <f>[7]С2!F21</f>
        <v>1</v>
      </c>
    </row>
    <row r="56" spans="1:3" ht="30">
      <c r="A56" s="59" t="s">
        <v>69</v>
      </c>
      <c r="B56" s="33" t="s">
        <v>70</v>
      </c>
      <c r="C56" s="34">
        <f>[7]С2!F13</f>
        <v>169640.22915965237</v>
      </c>
    </row>
    <row r="57" spans="1:3" ht="30">
      <c r="A57" s="59" t="s">
        <v>71</v>
      </c>
      <c r="B57" s="58" t="s">
        <v>72</v>
      </c>
      <c r="C57" s="34">
        <f>[7]С2!F14</f>
        <v>113455</v>
      </c>
    </row>
    <row r="58" spans="1:3" ht="15.75">
      <c r="A58" s="59" t="s">
        <v>73</v>
      </c>
      <c r="B58" s="60" t="s">
        <v>74</v>
      </c>
      <c r="C58" s="40">
        <f>[7]С2!F15</f>
        <v>1.071</v>
      </c>
    </row>
    <row r="59" spans="1:3" ht="15.75">
      <c r="A59" s="59" t="s">
        <v>75</v>
      </c>
      <c r="B59" s="60" t="s">
        <v>76</v>
      </c>
      <c r="C59" s="40">
        <f>[7]С2!F16</f>
        <v>1</v>
      </c>
    </row>
    <row r="60" spans="1:3" ht="17.25">
      <c r="A60" s="59" t="s">
        <v>77</v>
      </c>
      <c r="B60" s="58" t="s">
        <v>78</v>
      </c>
      <c r="C60" s="34">
        <f>[7]С2!F17</f>
        <v>1.01</v>
      </c>
    </row>
    <row r="61" spans="1:3" s="63" customFormat="1" ht="14.25">
      <c r="A61" s="59" t="s">
        <v>79</v>
      </c>
      <c r="B61" s="61" t="s">
        <v>80</v>
      </c>
      <c r="C61" s="62">
        <f>[7]С2!F33</f>
        <v>10</v>
      </c>
    </row>
    <row r="62" spans="1:3" ht="30">
      <c r="A62" s="59" t="s">
        <v>81</v>
      </c>
      <c r="B62" s="64" t="s">
        <v>82</v>
      </c>
      <c r="C62" s="34">
        <f>[7]С2!F26</f>
        <v>1012.1091133444331</v>
      </c>
    </row>
    <row r="63" spans="1:3" ht="17.25">
      <c r="A63" s="59" t="s">
        <v>83</v>
      </c>
      <c r="B63" s="53" t="s">
        <v>84</v>
      </c>
      <c r="C63" s="34">
        <f>[7]С2!F27</f>
        <v>0.17433463600000002</v>
      </c>
    </row>
    <row r="64" spans="1:3" ht="17.25">
      <c r="A64" s="59" t="s">
        <v>85</v>
      </c>
      <c r="B64" s="58" t="s">
        <v>86</v>
      </c>
      <c r="C64" s="62">
        <f>[7]С2!F28</f>
        <v>4200</v>
      </c>
    </row>
    <row r="65" spans="1:3" ht="42.75">
      <c r="A65" s="59" t="s">
        <v>87</v>
      </c>
      <c r="B65" s="33" t="s">
        <v>88</v>
      </c>
      <c r="C65" s="34">
        <f>[7]С2!F22</f>
        <v>35717.748653137714</v>
      </c>
    </row>
    <row r="66" spans="1:3" ht="30">
      <c r="A66" s="59" t="s">
        <v>89</v>
      </c>
      <c r="B66" s="60" t="s">
        <v>90</v>
      </c>
      <c r="C66" s="34">
        <f>[7]С2!F23</f>
        <v>1990</v>
      </c>
    </row>
    <row r="67" spans="1:3" ht="30">
      <c r="A67" s="59" t="s">
        <v>91</v>
      </c>
      <c r="B67" s="53" t="s">
        <v>92</v>
      </c>
      <c r="C67" s="34">
        <f>[7]С2.1!E27</f>
        <v>14307.876789999998</v>
      </c>
    </row>
    <row r="68" spans="1:3" ht="38.25">
      <c r="A68" s="59" t="s">
        <v>93</v>
      </c>
      <c r="B68" s="65" t="s">
        <v>94</v>
      </c>
      <c r="C68" s="52">
        <f>[7]С2.3!E21</f>
        <v>0</v>
      </c>
    </row>
    <row r="69" spans="1:3" ht="25.5">
      <c r="A69" s="59" t="s">
        <v>95</v>
      </c>
      <c r="B69" s="66" t="s">
        <v>96</v>
      </c>
      <c r="C69" s="67">
        <f>[7]С2.3!E11</f>
        <v>9.89</v>
      </c>
    </row>
    <row r="70" spans="1:3" ht="25.5">
      <c r="A70" s="59" t="s">
        <v>97</v>
      </c>
      <c r="B70" s="66" t="s">
        <v>98</v>
      </c>
      <c r="C70" s="62">
        <f>[7]С2.3!E13</f>
        <v>300</v>
      </c>
    </row>
    <row r="71" spans="1:3" ht="25.5">
      <c r="A71" s="59" t="s">
        <v>99</v>
      </c>
      <c r="B71" s="65" t="s">
        <v>100</v>
      </c>
      <c r="C71" s="68">
        <f>IF([7]С2.3!E22&gt;0,[7]С2.3!E22,[7]С2.3!E14)</f>
        <v>61211</v>
      </c>
    </row>
    <row r="72" spans="1:3" ht="38.25">
      <c r="A72" s="59" t="s">
        <v>101</v>
      </c>
      <c r="B72" s="65" t="s">
        <v>102</v>
      </c>
      <c r="C72" s="68">
        <f>IF([7]С2.3!E23&gt;0,[7]С2.3!E23,[7]С2.3!E15)</f>
        <v>45675</v>
      </c>
    </row>
    <row r="73" spans="1:3" ht="30">
      <c r="A73" s="59" t="s">
        <v>103</v>
      </c>
      <c r="B73" s="53" t="s">
        <v>104</v>
      </c>
      <c r="C73" s="34">
        <f>[7]С2.1!E28</f>
        <v>9541.9567200000001</v>
      </c>
    </row>
    <row r="74" spans="1:3" ht="38.25">
      <c r="A74" s="59" t="s">
        <v>105</v>
      </c>
      <c r="B74" s="65" t="s">
        <v>106</v>
      </c>
      <c r="C74" s="52">
        <f>[7]С2.3!E25</f>
        <v>0</v>
      </c>
    </row>
    <row r="75" spans="1:3" ht="25.5">
      <c r="A75" s="59" t="s">
        <v>107</v>
      </c>
      <c r="B75" s="66" t="s">
        <v>108</v>
      </c>
      <c r="C75" s="67">
        <f>[7]С2.3!E12</f>
        <v>0.56000000000000005</v>
      </c>
    </row>
    <row r="76" spans="1:3" ht="25.5">
      <c r="A76" s="59" t="s">
        <v>109</v>
      </c>
      <c r="B76" s="66" t="s">
        <v>98</v>
      </c>
      <c r="C76" s="62">
        <f>[7]С2.3!E13</f>
        <v>300</v>
      </c>
    </row>
    <row r="77" spans="1:3" ht="25.5">
      <c r="A77" s="59" t="s">
        <v>110</v>
      </c>
      <c r="B77" s="69" t="s">
        <v>111</v>
      </c>
      <c r="C77" s="68">
        <f>IF([7]С2.3!E26&gt;0,[7]С2.3!E26,[7]С2.3!E16)</f>
        <v>65637</v>
      </c>
    </row>
    <row r="78" spans="1:3" ht="38.25">
      <c r="A78" s="59" t="s">
        <v>112</v>
      </c>
      <c r="B78" s="69" t="s">
        <v>113</v>
      </c>
      <c r="C78" s="68">
        <f>IF([7]С2.3!E27&gt;0,[7]С2.3!E27,[7]С2.3!E17)</f>
        <v>31684</v>
      </c>
    </row>
    <row r="79" spans="1:3" ht="17.25">
      <c r="A79" s="59" t="s">
        <v>114</v>
      </c>
      <c r="B79" s="33" t="s">
        <v>115</v>
      </c>
      <c r="C79" s="35">
        <f>[7]С2!F29</f>
        <v>0.128978033685065</v>
      </c>
    </row>
    <row r="80" spans="1:3" ht="30">
      <c r="A80" s="59" t="s">
        <v>116</v>
      </c>
      <c r="B80" s="53" t="s">
        <v>117</v>
      </c>
      <c r="C80" s="70">
        <f>[7]С2!F30</f>
        <v>0.11668498168498169</v>
      </c>
    </row>
    <row r="81" spans="1:3" ht="17.25">
      <c r="A81" s="59" t="s">
        <v>118</v>
      </c>
      <c r="B81" s="71" t="s">
        <v>119</v>
      </c>
      <c r="C81" s="35">
        <f>[7]С2!F31</f>
        <v>0.13880000000000001</v>
      </c>
    </row>
    <row r="82" spans="1:3" s="63" customFormat="1" ht="18" thickBot="1">
      <c r="A82" s="72" t="s">
        <v>120</v>
      </c>
      <c r="B82" s="73" t="s">
        <v>121</v>
      </c>
      <c r="C82" s="74">
        <f>[7]С2!F32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[7]С3!F14</f>
        <v>6993.2576401328561</v>
      </c>
    </row>
    <row r="86" spans="1:3" s="63" customFormat="1" ht="42.75">
      <c r="A86" s="77" t="s">
        <v>126</v>
      </c>
      <c r="B86" s="53" t="s">
        <v>127</v>
      </c>
      <c r="C86" s="78">
        <f>[7]С3!F15</f>
        <v>0.2</v>
      </c>
    </row>
    <row r="87" spans="1:3" s="63" customFormat="1" ht="14.25">
      <c r="A87" s="77" t="s">
        <v>128</v>
      </c>
      <c r="B87" s="79" t="s">
        <v>129</v>
      </c>
      <c r="C87" s="62">
        <f>[7]С3!F18</f>
        <v>15</v>
      </c>
    </row>
    <row r="88" spans="1:3" s="63" customFormat="1" ht="17.25">
      <c r="A88" s="77" t="s">
        <v>130</v>
      </c>
      <c r="B88" s="33" t="s">
        <v>131</v>
      </c>
      <c r="C88" s="34">
        <f>[7]С3!F19</f>
        <v>3487.1555421534131</v>
      </c>
    </row>
    <row r="89" spans="1:3" s="63" customFormat="1" ht="55.5">
      <c r="A89" s="77" t="s">
        <v>132</v>
      </c>
      <c r="B89" s="53" t="s">
        <v>133</v>
      </c>
      <c r="C89" s="80">
        <f>[7]С3!F20</f>
        <v>2.1999999999999999E-2</v>
      </c>
    </row>
    <row r="90" spans="1:3" s="63" customFormat="1" ht="14.25">
      <c r="A90" s="77" t="s">
        <v>134</v>
      </c>
      <c r="B90" s="58" t="s">
        <v>80</v>
      </c>
      <c r="C90" s="62">
        <f>[7]С3!F21</f>
        <v>10</v>
      </c>
    </row>
    <row r="91" spans="1:3" s="63" customFormat="1" ht="17.25">
      <c r="A91" s="77" t="s">
        <v>135</v>
      </c>
      <c r="B91" s="33" t="s">
        <v>136</v>
      </c>
      <c r="C91" s="34">
        <f>[7]С3!F22</f>
        <v>3.0363273400332993</v>
      </c>
    </row>
    <row r="92" spans="1:3" s="63" customFormat="1" ht="55.5">
      <c r="A92" s="77" t="s">
        <v>137</v>
      </c>
      <c r="B92" s="53" t="s">
        <v>138</v>
      </c>
      <c r="C92" s="80">
        <f>[7]С3!F23</f>
        <v>3.0000000000000001E-3</v>
      </c>
    </row>
    <row r="93" spans="1:3" s="63" customFormat="1" ht="27.75" thickBot="1">
      <c r="A93" s="81" t="s">
        <v>139</v>
      </c>
      <c r="B93" s="82" t="s">
        <v>140</v>
      </c>
      <c r="C93" s="83">
        <f>[7]С3!F24</f>
        <v>1012.1091133444331</v>
      </c>
    </row>
    <row r="94" spans="1:3" ht="13.5" thickBot="1">
      <c r="A94" s="47"/>
      <c r="B94" s="75"/>
      <c r="C94" s="15"/>
    </row>
    <row r="95" spans="1:3" ht="30" customHeight="1">
      <c r="A95" s="84" t="s">
        <v>141</v>
      </c>
      <c r="B95" s="118" t="s">
        <v>142</v>
      </c>
      <c r="C95" s="118"/>
    </row>
    <row r="96" spans="1:3" ht="30">
      <c r="A96" s="59" t="s">
        <v>143</v>
      </c>
      <c r="B96" s="33" t="s">
        <v>144</v>
      </c>
      <c r="C96" s="34">
        <f>[7]С4!F16</f>
        <v>1652.5</v>
      </c>
    </row>
    <row r="97" spans="1:3" ht="30">
      <c r="A97" s="59" t="s">
        <v>145</v>
      </c>
      <c r="B97" s="58" t="s">
        <v>146</v>
      </c>
      <c r="C97" s="34">
        <f>[7]С4!F17</f>
        <v>73547</v>
      </c>
    </row>
    <row r="98" spans="1:3" ht="17.25">
      <c r="A98" s="59" t="s">
        <v>147</v>
      </c>
      <c r="B98" s="58" t="s">
        <v>148</v>
      </c>
      <c r="C98" s="40">
        <f>[7]С4!F18</f>
        <v>0.02</v>
      </c>
    </row>
    <row r="99" spans="1:3" ht="30">
      <c r="A99" s="59" t="s">
        <v>149</v>
      </c>
      <c r="B99" s="58" t="s">
        <v>150</v>
      </c>
      <c r="C99" s="34">
        <f>[7]С4!F19</f>
        <v>12104</v>
      </c>
    </row>
    <row r="100" spans="1:3" ht="31.5">
      <c r="A100" s="59" t="s">
        <v>151</v>
      </c>
      <c r="B100" s="58" t="s">
        <v>152</v>
      </c>
      <c r="C100" s="40">
        <f>[7]С4!F20</f>
        <v>1.4999999999999999E-2</v>
      </c>
    </row>
    <row r="101" spans="1:3" ht="30">
      <c r="A101" s="59" t="s">
        <v>153</v>
      </c>
      <c r="B101" s="33" t="s">
        <v>154</v>
      </c>
      <c r="C101" s="34">
        <f>[7]С4!F21</f>
        <v>1933.1949342509995</v>
      </c>
    </row>
    <row r="102" spans="1:3" ht="24" customHeight="1">
      <c r="A102" s="59" t="s">
        <v>155</v>
      </c>
      <c r="B102" s="53" t="s">
        <v>156</v>
      </c>
      <c r="C102" s="85">
        <f>IF([7]С4.2!F8="да",[7]С4.2!D21,[7]С4.2!D15)</f>
        <v>0</v>
      </c>
    </row>
    <row r="103" spans="1:3" ht="68.25">
      <c r="A103" s="59" t="s">
        <v>157</v>
      </c>
      <c r="B103" s="53" t="s">
        <v>158</v>
      </c>
      <c r="C103" s="34">
        <f>[7]С4!F22</f>
        <v>3.6112641666666665</v>
      </c>
    </row>
    <row r="104" spans="1:3" ht="30">
      <c r="A104" s="59" t="s">
        <v>159</v>
      </c>
      <c r="B104" s="58" t="s">
        <v>160</v>
      </c>
      <c r="C104" s="34">
        <f>[7]С4!F23</f>
        <v>180</v>
      </c>
    </row>
    <row r="105" spans="1:3" ht="14.25">
      <c r="A105" s="59" t="s">
        <v>161</v>
      </c>
      <c r="B105" s="53" t="s">
        <v>162</v>
      </c>
      <c r="C105" s="34">
        <f>[7]С4!F24</f>
        <v>8497.1999999999989</v>
      </c>
    </row>
    <row r="106" spans="1:3" ht="14.25">
      <c r="A106" s="59" t="s">
        <v>163</v>
      </c>
      <c r="B106" s="58" t="s">
        <v>164</v>
      </c>
      <c r="C106" s="40">
        <f>[7]С4!F25</f>
        <v>0.35</v>
      </c>
    </row>
    <row r="107" spans="1:3" ht="17.25">
      <c r="A107" s="59" t="s">
        <v>165</v>
      </c>
      <c r="B107" s="33" t="s">
        <v>166</v>
      </c>
      <c r="C107" s="34">
        <f>[7]С4!F26</f>
        <v>77.357790000000008</v>
      </c>
    </row>
    <row r="108" spans="1:3" ht="25.5">
      <c r="A108" s="59" t="s">
        <v>167</v>
      </c>
      <c r="B108" s="53" t="s">
        <v>94</v>
      </c>
      <c r="C108" s="85">
        <f>[7]С4.3!E16</f>
        <v>0</v>
      </c>
    </row>
    <row r="109" spans="1:3" ht="25.5">
      <c r="A109" s="59" t="s">
        <v>168</v>
      </c>
      <c r="B109" s="53" t="s">
        <v>169</v>
      </c>
      <c r="C109" s="34">
        <f>[7]С4.3!E17</f>
        <v>20.53</v>
      </c>
    </row>
    <row r="110" spans="1:3" ht="38.25">
      <c r="A110" s="59" t="s">
        <v>170</v>
      </c>
      <c r="B110" s="53" t="s">
        <v>106</v>
      </c>
      <c r="C110" s="85">
        <f>[7]С4.3!E18</f>
        <v>0</v>
      </c>
    </row>
    <row r="111" spans="1:3">
      <c r="A111" s="59" t="s">
        <v>171</v>
      </c>
      <c r="B111" s="53" t="s">
        <v>172</v>
      </c>
      <c r="C111" s="34">
        <f>[7]С4.3!E19</f>
        <v>26.27</v>
      </c>
    </row>
    <row r="112" spans="1:3">
      <c r="A112" s="59" t="s">
        <v>173</v>
      </c>
      <c r="B112" s="58" t="s">
        <v>174</v>
      </c>
      <c r="C112" s="34">
        <f>[7]С4.3!E11</f>
        <v>1871</v>
      </c>
    </row>
    <row r="113" spans="1:3">
      <c r="A113" s="59" t="s">
        <v>175</v>
      </c>
      <c r="B113" s="58" t="s">
        <v>176</v>
      </c>
      <c r="C113" s="52">
        <f>[7]С4.3!E12</f>
        <v>1636</v>
      </c>
    </row>
    <row r="114" spans="1:3">
      <c r="A114" s="59" t="s">
        <v>177</v>
      </c>
      <c r="B114" s="58" t="s">
        <v>178</v>
      </c>
      <c r="C114" s="52">
        <f>[7]С4.3!E13</f>
        <v>204</v>
      </c>
    </row>
    <row r="115" spans="1:3" ht="30">
      <c r="A115" s="59" t="s">
        <v>179</v>
      </c>
      <c r="B115" s="33" t="s">
        <v>180</v>
      </c>
      <c r="C115" s="34">
        <f>[7]С4!F27</f>
        <v>1040.8858115370676</v>
      </c>
    </row>
    <row r="116" spans="1:3" ht="25.5">
      <c r="A116" s="59" t="s">
        <v>181</v>
      </c>
      <c r="B116" s="53" t="s">
        <v>182</v>
      </c>
      <c r="C116" s="34">
        <f>[7]С4!F28</f>
        <v>799.45146815442979</v>
      </c>
    </row>
    <row r="117" spans="1:3" ht="42.75">
      <c r="A117" s="59" t="s">
        <v>183</v>
      </c>
      <c r="B117" s="53" t="s">
        <v>184</v>
      </c>
      <c r="C117" s="34">
        <f>[7]С4!F29</f>
        <v>241.43434338263785</v>
      </c>
    </row>
    <row r="118" spans="1:3" ht="30">
      <c r="A118" s="59" t="s">
        <v>185</v>
      </c>
      <c r="B118" s="39" t="s">
        <v>186</v>
      </c>
      <c r="C118" s="34">
        <f>[7]С4!F30</f>
        <v>2233.983184310443</v>
      </c>
    </row>
    <row r="119" spans="1:3" ht="42.75">
      <c r="A119" s="59" t="s">
        <v>187</v>
      </c>
      <c r="B119" s="86" t="s">
        <v>188</v>
      </c>
      <c r="C119" s="34">
        <f>[7]С4!F33</f>
        <v>1518.3142669041224</v>
      </c>
    </row>
    <row r="120" spans="1:3" ht="30">
      <c r="A120" s="59" t="s">
        <v>189</v>
      </c>
      <c r="B120" s="87" t="s">
        <v>190</v>
      </c>
      <c r="C120" s="34">
        <f>[7]С4!F35</f>
        <v>17.040680999999999</v>
      </c>
    </row>
    <row r="121" spans="1:3" ht="14.25">
      <c r="A121" s="59" t="s">
        <v>191</v>
      </c>
      <c r="B121" s="56" t="s">
        <v>192</v>
      </c>
      <c r="C121" s="34">
        <f>[7]С4!F36</f>
        <v>14319.9</v>
      </c>
    </row>
    <row r="122" spans="1:3" ht="28.5" thickBot="1">
      <c r="A122" s="72" t="s">
        <v>193</v>
      </c>
      <c r="B122" s="88" t="s">
        <v>194</v>
      </c>
      <c r="C122" s="83">
        <f>[7]С4!F37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[7]С5!F17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[7]С2!F37</f>
        <v>20.818139999999996</v>
      </c>
    </row>
    <row r="136" spans="1:4" ht="14.25">
      <c r="A136" s="59" t="s">
        <v>216</v>
      </c>
      <c r="B136" s="101" t="s">
        <v>217</v>
      </c>
      <c r="C136" s="34">
        <f>[7]С2!F38</f>
        <v>7</v>
      </c>
    </row>
    <row r="137" spans="1:4" ht="17.25">
      <c r="A137" s="59" t="s">
        <v>218</v>
      </c>
      <c r="B137" s="101" t="s">
        <v>219</v>
      </c>
      <c r="C137" s="34">
        <f>[7]С2!F40</f>
        <v>0.97</v>
      </c>
    </row>
    <row r="138" spans="1:4" ht="15" thickBot="1">
      <c r="A138" s="72" t="s">
        <v>220</v>
      </c>
      <c r="B138" s="102" t="s">
        <v>221</v>
      </c>
      <c r="C138" s="46">
        <f>[7]С2!F42</f>
        <v>0.35</v>
      </c>
    </row>
    <row r="139" spans="1:4" s="89" customFormat="1" ht="13.5" thickBot="1">
      <c r="A139" s="47"/>
      <c r="B139" s="75"/>
      <c r="C139" s="15"/>
    </row>
    <row r="140" spans="1:4" ht="30">
      <c r="A140" s="84" t="s">
        <v>222</v>
      </c>
      <c r="B140" s="103" t="s">
        <v>223</v>
      </c>
      <c r="C140" s="104">
        <f>[7]С2!F35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[7]С2.5!$E$11</f>
        <v>-2.9000000000000026E-2</v>
      </c>
      <c r="D143" s="89"/>
    </row>
    <row r="144" spans="1:4">
      <c r="A144" s="105"/>
      <c r="B144" s="110">
        <f>B143+1</f>
        <v>2021</v>
      </c>
      <c r="C144" s="111">
        <f>[7]С2.5!$F$11</f>
        <v>0.245</v>
      </c>
      <c r="D144" s="89"/>
    </row>
    <row r="145" spans="1:4">
      <c r="A145" s="105"/>
      <c r="B145" s="110">
        <f t="shared" ref="B145:B208" si="0">B144+1</f>
        <v>2022</v>
      </c>
      <c r="C145" s="111">
        <f>[7]С2.5!$G$11</f>
        <v>0.121</v>
      </c>
      <c r="D145" s="89"/>
    </row>
    <row r="146" spans="1:4" ht="13.5" thickBot="1">
      <c r="A146" s="105"/>
      <c r="B146" s="112">
        <f t="shared" si="0"/>
        <v>2023</v>
      </c>
      <c r="C146" s="113">
        <f>[7]С2.5!$H$11</f>
        <v>0.02</v>
      </c>
      <c r="D146" s="89"/>
    </row>
    <row r="147" spans="1:4" hidden="1">
      <c r="A147" s="105"/>
      <c r="B147" s="114">
        <f t="shared" si="0"/>
        <v>2024</v>
      </c>
      <c r="C147" s="115">
        <f>[7]С2.5!$I$11</f>
        <v>-2.93E-2</v>
      </c>
      <c r="D147" s="89"/>
    </row>
    <row r="148" spans="1:4" hidden="1">
      <c r="A148" s="105"/>
      <c r="B148" s="110">
        <f t="shared" si="0"/>
        <v>2025</v>
      </c>
      <c r="C148" s="111">
        <f>[7]С2.5!$J$11</f>
        <v>0.21215960863291</v>
      </c>
      <c r="D148" s="89"/>
    </row>
    <row r="149" spans="1:4" hidden="1">
      <c r="A149" s="105"/>
      <c r="B149" s="110">
        <f t="shared" si="0"/>
        <v>2026</v>
      </c>
      <c r="C149" s="111">
        <f>[7]С2.5!$K$11</f>
        <v>3.5813361771260002E-2</v>
      </c>
      <c r="D149" s="89"/>
    </row>
    <row r="150" spans="1:4" hidden="1">
      <c r="A150" s="105"/>
      <c r="B150" s="110">
        <f t="shared" si="0"/>
        <v>2027</v>
      </c>
      <c r="C150" s="111">
        <f>[7]С2.5!$L$11</f>
        <v>3.2682303599220003E-2</v>
      </c>
      <c r="D150" s="89"/>
    </row>
    <row r="151" spans="1:4" hidden="1">
      <c r="A151" s="105"/>
      <c r="B151" s="110">
        <f t="shared" si="0"/>
        <v>2028</v>
      </c>
      <c r="C151" s="111">
        <f>[7]С2.5!$M$11</f>
        <v>0</v>
      </c>
      <c r="D151" s="89"/>
    </row>
    <row r="152" spans="1:4" hidden="1">
      <c r="A152" s="105"/>
      <c r="B152" s="110">
        <f t="shared" si="0"/>
        <v>2029</v>
      </c>
      <c r="C152" s="111">
        <f>[7]С2.5!$N$11</f>
        <v>0</v>
      </c>
      <c r="D152" s="89"/>
    </row>
    <row r="153" spans="1:4" hidden="1">
      <c r="A153" s="105"/>
      <c r="B153" s="110">
        <f t="shared" si="0"/>
        <v>2030</v>
      </c>
      <c r="C153" s="111">
        <f>[7]С2.5!$O$11</f>
        <v>0</v>
      </c>
      <c r="D153" s="89"/>
    </row>
    <row r="154" spans="1:4" hidden="1">
      <c r="A154" s="105"/>
      <c r="B154" s="110">
        <f t="shared" si="0"/>
        <v>2031</v>
      </c>
      <c r="C154" s="111">
        <f>[7]С2.5!$P$11</f>
        <v>0</v>
      </c>
      <c r="D154" s="89"/>
    </row>
    <row r="155" spans="1:4" hidden="1">
      <c r="A155" s="89"/>
      <c r="B155" s="110">
        <f t="shared" si="0"/>
        <v>2032</v>
      </c>
      <c r="C155" s="111">
        <f>[7]С2.5!$Q$11</f>
        <v>0</v>
      </c>
      <c r="D155" s="89"/>
    </row>
    <row r="156" spans="1:4" hidden="1">
      <c r="A156" s="89"/>
      <c r="B156" s="110">
        <f t="shared" si="0"/>
        <v>2033</v>
      </c>
      <c r="C156" s="111">
        <f>[7]С2.5!$R$11</f>
        <v>0</v>
      </c>
      <c r="D156" s="89"/>
    </row>
    <row r="157" spans="1:4" hidden="1">
      <c r="B157" s="110">
        <f t="shared" si="0"/>
        <v>2034</v>
      </c>
      <c r="C157" s="111">
        <f>[7]С2.5!$S$11</f>
        <v>0</v>
      </c>
    </row>
    <row r="158" spans="1:4" hidden="1">
      <c r="B158" s="110">
        <f t="shared" si="0"/>
        <v>2035</v>
      </c>
      <c r="C158" s="111">
        <f>[7]С2.5!$T$11</f>
        <v>0</v>
      </c>
    </row>
    <row r="159" spans="1:4" hidden="1">
      <c r="B159" s="110">
        <f t="shared" si="0"/>
        <v>2036</v>
      </c>
      <c r="C159" s="111">
        <f>[7]С2.5!$U$11</f>
        <v>0</v>
      </c>
    </row>
    <row r="160" spans="1:4" hidden="1">
      <c r="B160" s="110">
        <f t="shared" si="0"/>
        <v>2037</v>
      </c>
      <c r="C160" s="111">
        <f>[7]С2.5!$V$11</f>
        <v>0</v>
      </c>
    </row>
    <row r="161" spans="2:3" hidden="1">
      <c r="B161" s="110">
        <f t="shared" si="0"/>
        <v>2038</v>
      </c>
      <c r="C161" s="111">
        <f>[7]С2.5!$W$11</f>
        <v>0</v>
      </c>
    </row>
    <row r="162" spans="2:3" hidden="1">
      <c r="B162" s="110">
        <f t="shared" si="0"/>
        <v>2039</v>
      </c>
      <c r="C162" s="111">
        <f>[7]С2.5!$X$11</f>
        <v>0</v>
      </c>
    </row>
    <row r="163" spans="2:3" hidden="1">
      <c r="B163" s="110">
        <f t="shared" si="0"/>
        <v>2040</v>
      </c>
      <c r="C163" s="111">
        <f>[7]С2.5!$Y$11</f>
        <v>0</v>
      </c>
    </row>
    <row r="164" spans="2:3" hidden="1">
      <c r="B164" s="110">
        <f t="shared" si="0"/>
        <v>2041</v>
      </c>
      <c r="C164" s="111">
        <f>[7]С2.5!$Z$11</f>
        <v>0</v>
      </c>
    </row>
    <row r="165" spans="2:3" hidden="1">
      <c r="B165" s="110">
        <f t="shared" si="0"/>
        <v>2042</v>
      </c>
      <c r="C165" s="111">
        <f>[7]С2.5!$AA$11</f>
        <v>0</v>
      </c>
    </row>
    <row r="166" spans="2:3" hidden="1">
      <c r="B166" s="110">
        <f t="shared" si="0"/>
        <v>2043</v>
      </c>
      <c r="C166" s="111">
        <f>[7]С2.5!$AB$11</f>
        <v>0</v>
      </c>
    </row>
    <row r="167" spans="2:3" hidden="1">
      <c r="B167" s="110">
        <f t="shared" si="0"/>
        <v>2044</v>
      </c>
      <c r="C167" s="111">
        <f>[7]С2.5!$AC$11</f>
        <v>0</v>
      </c>
    </row>
    <row r="168" spans="2:3" hidden="1">
      <c r="B168" s="110">
        <f t="shared" si="0"/>
        <v>2045</v>
      </c>
      <c r="C168" s="111">
        <f>[7]С2.5!$AD$11</f>
        <v>0</v>
      </c>
    </row>
    <row r="169" spans="2:3" hidden="1">
      <c r="B169" s="110">
        <f t="shared" si="0"/>
        <v>2046</v>
      </c>
      <c r="C169" s="111">
        <f>[7]С2.5!$AE$11</f>
        <v>0</v>
      </c>
    </row>
    <row r="170" spans="2:3" hidden="1">
      <c r="B170" s="110">
        <f t="shared" si="0"/>
        <v>2047</v>
      </c>
      <c r="C170" s="111">
        <f>[7]С2.5!$AF$11</f>
        <v>0</v>
      </c>
    </row>
    <row r="171" spans="2:3" hidden="1">
      <c r="B171" s="110">
        <f t="shared" si="0"/>
        <v>2048</v>
      </c>
      <c r="C171" s="111">
        <f>[7]С2.5!$AG$11</f>
        <v>0</v>
      </c>
    </row>
    <row r="172" spans="2:3" hidden="1">
      <c r="B172" s="110">
        <f t="shared" si="0"/>
        <v>2049</v>
      </c>
      <c r="C172" s="111">
        <f>[7]С2.5!$AH$11</f>
        <v>0</v>
      </c>
    </row>
    <row r="173" spans="2:3" hidden="1">
      <c r="B173" s="110">
        <f t="shared" si="0"/>
        <v>2050</v>
      </c>
      <c r="C173" s="111">
        <f>[7]С2.5!$AI$11</f>
        <v>0</v>
      </c>
    </row>
    <row r="174" spans="2:3" hidden="1">
      <c r="B174" s="110">
        <f t="shared" si="0"/>
        <v>2051</v>
      </c>
      <c r="C174" s="111">
        <f>[7]С2.5!$AJ$11</f>
        <v>0</v>
      </c>
    </row>
    <row r="175" spans="2:3" hidden="1">
      <c r="B175" s="110">
        <f t="shared" si="0"/>
        <v>2052</v>
      </c>
      <c r="C175" s="111">
        <f>[7]С2.5!$AK$11</f>
        <v>0</v>
      </c>
    </row>
    <row r="176" spans="2:3" hidden="1">
      <c r="B176" s="110">
        <f t="shared" si="0"/>
        <v>2053</v>
      </c>
      <c r="C176" s="111">
        <f>[7]С2.5!$AL$11</f>
        <v>0</v>
      </c>
    </row>
    <row r="177" spans="2:3" hidden="1">
      <c r="B177" s="110">
        <f t="shared" si="0"/>
        <v>2054</v>
      </c>
      <c r="C177" s="111">
        <f>[7]С2.5!$AM$11</f>
        <v>0</v>
      </c>
    </row>
    <row r="178" spans="2:3" hidden="1">
      <c r="B178" s="110">
        <f t="shared" si="0"/>
        <v>2055</v>
      </c>
      <c r="C178" s="111">
        <f>[7]С2.5!$AN$11</f>
        <v>0</v>
      </c>
    </row>
    <row r="179" spans="2:3" hidden="1">
      <c r="B179" s="110">
        <f t="shared" si="0"/>
        <v>2056</v>
      </c>
      <c r="C179" s="111">
        <f>[7]С2.5!$AO$11</f>
        <v>0</v>
      </c>
    </row>
    <row r="180" spans="2:3" hidden="1">
      <c r="B180" s="110">
        <f t="shared" si="0"/>
        <v>2057</v>
      </c>
      <c r="C180" s="111">
        <f>[7]С2.5!$AP$11</f>
        <v>0</v>
      </c>
    </row>
    <row r="181" spans="2:3" hidden="1">
      <c r="B181" s="110">
        <f t="shared" si="0"/>
        <v>2058</v>
      </c>
      <c r="C181" s="111">
        <f>[7]С2.5!$AQ$11</f>
        <v>0</v>
      </c>
    </row>
    <row r="182" spans="2:3" hidden="1">
      <c r="B182" s="110">
        <f t="shared" si="0"/>
        <v>2059</v>
      </c>
      <c r="C182" s="111">
        <f>[7]С2.5!$AR$11</f>
        <v>0</v>
      </c>
    </row>
    <row r="183" spans="2:3" hidden="1">
      <c r="B183" s="110">
        <f t="shared" si="0"/>
        <v>2060</v>
      </c>
      <c r="C183" s="111">
        <f>[7]С2.5!$AS$11</f>
        <v>0</v>
      </c>
    </row>
    <row r="184" spans="2:3" hidden="1">
      <c r="B184" s="110">
        <f t="shared" si="0"/>
        <v>2061</v>
      </c>
      <c r="C184" s="111">
        <f>[7]С2.5!$AT$11</f>
        <v>0</v>
      </c>
    </row>
    <row r="185" spans="2:3" hidden="1">
      <c r="B185" s="110">
        <f t="shared" si="0"/>
        <v>2062</v>
      </c>
      <c r="C185" s="111">
        <f>[7]С2.5!$AU$11</f>
        <v>0</v>
      </c>
    </row>
    <row r="186" spans="2:3" hidden="1">
      <c r="B186" s="110">
        <f t="shared" si="0"/>
        <v>2063</v>
      </c>
      <c r="C186" s="111">
        <f>[7]С2.5!$AV$11</f>
        <v>0</v>
      </c>
    </row>
    <row r="187" spans="2:3" hidden="1">
      <c r="B187" s="110">
        <f t="shared" si="0"/>
        <v>2064</v>
      </c>
      <c r="C187" s="111">
        <f>[7]С2.5!$AW$11</f>
        <v>0</v>
      </c>
    </row>
    <row r="188" spans="2:3" hidden="1">
      <c r="B188" s="110">
        <f t="shared" si="0"/>
        <v>2065</v>
      </c>
      <c r="C188" s="111">
        <f>[7]С2.5!$AX$11</f>
        <v>0</v>
      </c>
    </row>
    <row r="189" spans="2:3" hidden="1">
      <c r="B189" s="110">
        <f t="shared" si="0"/>
        <v>2066</v>
      </c>
      <c r="C189" s="111">
        <f>[7]С2.5!$AY$11</f>
        <v>0</v>
      </c>
    </row>
    <row r="190" spans="2:3" hidden="1">
      <c r="B190" s="110">
        <f t="shared" si="0"/>
        <v>2067</v>
      </c>
      <c r="C190" s="111">
        <f>[7]С2.5!$AZ$11</f>
        <v>0</v>
      </c>
    </row>
    <row r="191" spans="2:3" hidden="1">
      <c r="B191" s="110">
        <f t="shared" si="0"/>
        <v>2068</v>
      </c>
      <c r="C191" s="111">
        <f>[7]С2.5!$BA$11</f>
        <v>0</v>
      </c>
    </row>
    <row r="192" spans="2:3" hidden="1">
      <c r="B192" s="110">
        <f t="shared" si="0"/>
        <v>2069</v>
      </c>
      <c r="C192" s="111">
        <f>[7]С2.5!$BB$11</f>
        <v>0</v>
      </c>
    </row>
    <row r="193" spans="2:3" hidden="1">
      <c r="B193" s="110">
        <f t="shared" si="0"/>
        <v>2070</v>
      </c>
      <c r="C193" s="111">
        <f>[7]С2.5!$BC$11</f>
        <v>0</v>
      </c>
    </row>
    <row r="194" spans="2:3" hidden="1">
      <c r="B194" s="110">
        <f t="shared" si="0"/>
        <v>2071</v>
      </c>
      <c r="C194" s="111">
        <f>[7]С2.5!$BD$11</f>
        <v>0</v>
      </c>
    </row>
    <row r="195" spans="2:3" hidden="1">
      <c r="B195" s="110">
        <f t="shared" si="0"/>
        <v>2072</v>
      </c>
      <c r="C195" s="111">
        <f>[7]С2.5!$BE$11</f>
        <v>0</v>
      </c>
    </row>
    <row r="196" spans="2:3" hidden="1">
      <c r="B196" s="110">
        <f t="shared" si="0"/>
        <v>2073</v>
      </c>
      <c r="C196" s="111">
        <f>[7]С2.5!$BF$11</f>
        <v>0</v>
      </c>
    </row>
    <row r="197" spans="2:3" hidden="1">
      <c r="B197" s="110">
        <f t="shared" si="0"/>
        <v>2074</v>
      </c>
      <c r="C197" s="111">
        <f>[7]С2.5!$BG$11</f>
        <v>0</v>
      </c>
    </row>
    <row r="198" spans="2:3" hidden="1">
      <c r="B198" s="110">
        <f t="shared" si="0"/>
        <v>2075</v>
      </c>
      <c r="C198" s="111">
        <f>[7]С2.5!$BH$11</f>
        <v>0</v>
      </c>
    </row>
    <row r="199" spans="2:3" hidden="1">
      <c r="B199" s="110">
        <f t="shared" si="0"/>
        <v>2076</v>
      </c>
      <c r="C199" s="111">
        <f>[7]С2.5!$BI$11</f>
        <v>0</v>
      </c>
    </row>
    <row r="200" spans="2:3" hidden="1">
      <c r="B200" s="110">
        <f t="shared" si="0"/>
        <v>2077</v>
      </c>
      <c r="C200" s="111">
        <f>[7]С2.5!$BJ$11</f>
        <v>0</v>
      </c>
    </row>
    <row r="201" spans="2:3" hidden="1">
      <c r="B201" s="110">
        <f t="shared" si="0"/>
        <v>2078</v>
      </c>
      <c r="C201" s="111">
        <f>[7]С2.5!$BK$11</f>
        <v>0</v>
      </c>
    </row>
    <row r="202" spans="2:3" hidden="1">
      <c r="B202" s="110">
        <f t="shared" si="0"/>
        <v>2079</v>
      </c>
      <c r="C202" s="111">
        <f>[7]С2.5!$BL$11</f>
        <v>0</v>
      </c>
    </row>
    <row r="203" spans="2:3" hidden="1">
      <c r="B203" s="110">
        <f t="shared" si="0"/>
        <v>2080</v>
      </c>
      <c r="C203" s="111">
        <f>[7]С2.5!$BM$11</f>
        <v>0</v>
      </c>
    </row>
    <row r="204" spans="2:3" hidden="1">
      <c r="B204" s="110">
        <f t="shared" si="0"/>
        <v>2081</v>
      </c>
      <c r="C204" s="111">
        <f>[7]С2.5!$BN$11</f>
        <v>0</v>
      </c>
    </row>
    <row r="205" spans="2:3" hidden="1">
      <c r="B205" s="110">
        <f t="shared" si="0"/>
        <v>2082</v>
      </c>
      <c r="C205" s="111">
        <f>[7]С2.5!$BO$11</f>
        <v>0</v>
      </c>
    </row>
    <row r="206" spans="2:3" hidden="1">
      <c r="B206" s="110">
        <f t="shared" si="0"/>
        <v>2083</v>
      </c>
      <c r="C206" s="111">
        <f>[7]С2.5!$BP$11</f>
        <v>0</v>
      </c>
    </row>
    <row r="207" spans="2:3" hidden="1">
      <c r="B207" s="110">
        <f t="shared" si="0"/>
        <v>2084</v>
      </c>
      <c r="C207" s="111">
        <f>[7]С2.5!$BQ$11</f>
        <v>0</v>
      </c>
    </row>
    <row r="208" spans="2:3" hidden="1">
      <c r="B208" s="110">
        <f t="shared" si="0"/>
        <v>2085</v>
      </c>
      <c r="C208" s="111">
        <f>[7]С2.5!$BR$11</f>
        <v>0</v>
      </c>
    </row>
    <row r="209" spans="2:3" hidden="1">
      <c r="B209" s="110">
        <f t="shared" ref="B209:B223" si="1">B208+1</f>
        <v>2086</v>
      </c>
      <c r="C209" s="111">
        <f>[7]С2.5!$BS$11</f>
        <v>0</v>
      </c>
    </row>
    <row r="210" spans="2:3" hidden="1">
      <c r="B210" s="110">
        <f t="shared" si="1"/>
        <v>2087</v>
      </c>
      <c r="C210" s="111">
        <f>[7]С2.5!$BT$11</f>
        <v>0</v>
      </c>
    </row>
    <row r="211" spans="2:3" hidden="1">
      <c r="B211" s="110">
        <f t="shared" si="1"/>
        <v>2088</v>
      </c>
      <c r="C211" s="111">
        <f>[7]С2.5!$BU$11</f>
        <v>0</v>
      </c>
    </row>
    <row r="212" spans="2:3" hidden="1">
      <c r="B212" s="110">
        <f t="shared" si="1"/>
        <v>2089</v>
      </c>
      <c r="C212" s="111">
        <f>[7]С2.5!$BV$11</f>
        <v>0</v>
      </c>
    </row>
    <row r="213" spans="2:3" hidden="1">
      <c r="B213" s="110">
        <f t="shared" si="1"/>
        <v>2090</v>
      </c>
      <c r="C213" s="111">
        <f>[7]С2.5!$BW$11</f>
        <v>0</v>
      </c>
    </row>
    <row r="214" spans="2:3" hidden="1">
      <c r="B214" s="110">
        <f t="shared" si="1"/>
        <v>2091</v>
      </c>
      <c r="C214" s="111">
        <f>[7]С2.5!$BX$11</f>
        <v>0</v>
      </c>
    </row>
    <row r="215" spans="2:3" hidden="1">
      <c r="B215" s="110">
        <f t="shared" si="1"/>
        <v>2092</v>
      </c>
      <c r="C215" s="111">
        <f>[7]С2.5!$BY$11</f>
        <v>0</v>
      </c>
    </row>
    <row r="216" spans="2:3" hidden="1">
      <c r="B216" s="110">
        <f t="shared" si="1"/>
        <v>2093</v>
      </c>
      <c r="C216" s="111">
        <f>[7]С2.5!$BZ$11</f>
        <v>0</v>
      </c>
    </row>
    <row r="217" spans="2:3" hidden="1">
      <c r="B217" s="110">
        <f t="shared" si="1"/>
        <v>2094</v>
      </c>
      <c r="C217" s="111">
        <f>[7]С2.5!$CA$11</f>
        <v>0</v>
      </c>
    </row>
    <row r="218" spans="2:3" hidden="1">
      <c r="B218" s="110">
        <f t="shared" si="1"/>
        <v>2095</v>
      </c>
      <c r="C218" s="111">
        <f>[7]С2.5!$CB$11</f>
        <v>0</v>
      </c>
    </row>
    <row r="219" spans="2:3" hidden="1">
      <c r="B219" s="110">
        <f t="shared" si="1"/>
        <v>2096</v>
      </c>
      <c r="C219" s="111">
        <f>[7]С2.5!$CC$11</f>
        <v>0</v>
      </c>
    </row>
    <row r="220" spans="2:3" hidden="1">
      <c r="B220" s="110">
        <f t="shared" si="1"/>
        <v>2097</v>
      </c>
      <c r="C220" s="111">
        <f>[7]С2.5!$CD$11</f>
        <v>0</v>
      </c>
    </row>
    <row r="221" spans="2:3" hidden="1">
      <c r="B221" s="110">
        <f t="shared" si="1"/>
        <v>2098</v>
      </c>
      <c r="C221" s="111">
        <f>[7]С2.5!$CE$11</f>
        <v>0</v>
      </c>
    </row>
    <row r="222" spans="2:3" hidden="1">
      <c r="B222" s="110">
        <f t="shared" si="1"/>
        <v>2099</v>
      </c>
      <c r="C222" s="111">
        <f>[7]С2.5!$CF$11</f>
        <v>0</v>
      </c>
    </row>
    <row r="223" spans="2:3" ht="13.5" hidden="1" thickBot="1">
      <c r="B223" s="112">
        <f t="shared" si="1"/>
        <v>2100</v>
      </c>
      <c r="C223" s="113">
        <f>[7]С2.5!$CG$11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[8]И1!D13</f>
        <v>Субъект Российской Федерации</v>
      </c>
      <c r="C4" s="10" t="str">
        <f>[8]И1!E13</f>
        <v>Новосибирская область</v>
      </c>
    </row>
    <row r="5" spans="1:3" ht="38.25">
      <c r="A5" s="8"/>
      <c r="B5" s="9" t="str">
        <f>[8]И1!D14</f>
        <v>Тип муниципального образования (выберите из списка)</v>
      </c>
      <c r="C5" s="10" t="str">
        <f>[8]И1!E14</f>
        <v>село Ильинка, Доволенский муниципальный район</v>
      </c>
    </row>
    <row r="6" spans="1:3">
      <c r="A6" s="8"/>
      <c r="B6" s="9" t="str">
        <f>IF([8]И1!E15="","",[8]И1!D15)</f>
        <v/>
      </c>
      <c r="C6" s="10" t="str">
        <f>IF([8]И1!E15="","",[8]И1!E15)</f>
        <v/>
      </c>
    </row>
    <row r="7" spans="1:3">
      <c r="A7" s="8"/>
      <c r="B7" s="9" t="str">
        <f>[8]И1!D16</f>
        <v>Код ОКТМО</v>
      </c>
      <c r="C7" s="11" t="str">
        <f>[8]И1!E16</f>
        <v>50610410101</v>
      </c>
    </row>
    <row r="8" spans="1:3">
      <c r="A8" s="8"/>
      <c r="B8" s="12" t="str">
        <f>[8]И1!D17</f>
        <v>Система теплоснабжения</v>
      </c>
      <c r="C8" s="13">
        <f>[8]И1!E17</f>
        <v>0</v>
      </c>
    </row>
    <row r="9" spans="1:3">
      <c r="A9" s="8"/>
      <c r="B9" s="9" t="str">
        <f>[8]И1!D8</f>
        <v>Период регулирования (i)-й</v>
      </c>
      <c r="C9" s="14">
        <f>[8]И1!E8</f>
        <v>2023</v>
      </c>
    </row>
    <row r="10" spans="1:3">
      <c r="A10" s="8"/>
      <c r="B10" s="9" t="str">
        <f>[8]И1!D9</f>
        <v>Период регулирования (i-1)-й</v>
      </c>
      <c r="C10" s="14">
        <f>[8]И1!E9</f>
        <v>2022</v>
      </c>
    </row>
    <row r="11" spans="1:3">
      <c r="A11" s="8"/>
      <c r="B11" s="9" t="str">
        <f>[8]И1!D10</f>
        <v>Период регулирования (i-2)-й</v>
      </c>
      <c r="C11" s="14">
        <f>[8]И1!E10</f>
        <v>2021</v>
      </c>
    </row>
    <row r="12" spans="1:3">
      <c r="A12" s="8"/>
      <c r="B12" s="9" t="str">
        <f>[8]И1!D11</f>
        <v>Базовый год (б)</v>
      </c>
      <c r="C12" s="14">
        <f>[8]И1!E11</f>
        <v>2019</v>
      </c>
    </row>
    <row r="13" spans="1:3" ht="38.25">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4104.6054124735674</v>
      </c>
    </row>
    <row r="18" spans="1:3" ht="42.75">
      <c r="A18" s="22" t="s">
        <v>8</v>
      </c>
      <c r="B18" s="25" t="s">
        <v>9</v>
      </c>
      <c r="C18" s="26">
        <f>[8]С1!F12</f>
        <v>998.91543573255217</v>
      </c>
    </row>
    <row r="19" spans="1:3" ht="42.75">
      <c r="A19" s="22" t="s">
        <v>10</v>
      </c>
      <c r="B19" s="25" t="s">
        <v>11</v>
      </c>
      <c r="C19" s="26">
        <f>[8]С2!F12</f>
        <v>2105.0745921739249</v>
      </c>
    </row>
    <row r="20" spans="1:3" ht="30">
      <c r="A20" s="22" t="s">
        <v>12</v>
      </c>
      <c r="B20" s="25" t="s">
        <v>13</v>
      </c>
      <c r="C20" s="26">
        <f>[8]С3!F12</f>
        <v>503.57282204972699</v>
      </c>
    </row>
    <row r="21" spans="1:3" ht="42.75">
      <c r="A21" s="22" t="s">
        <v>14</v>
      </c>
      <c r="B21" s="25" t="s">
        <v>15</v>
      </c>
      <c r="C21" s="26">
        <f>[8]С4!F12</f>
        <v>416.56010344925403</v>
      </c>
    </row>
    <row r="22" spans="1:3" ht="30">
      <c r="A22" s="22" t="s">
        <v>16</v>
      </c>
      <c r="B22" s="25" t="s">
        <v>17</v>
      </c>
      <c r="C22" s="26">
        <f>[8]С5!F12</f>
        <v>80.482459068109165</v>
      </c>
    </row>
    <row r="23" spans="1:3" ht="43.5" thickBot="1">
      <c r="A23" s="27" t="s">
        <v>18</v>
      </c>
      <c r="B23" s="117" t="s">
        <v>19</v>
      </c>
      <c r="C23" s="28" t="str">
        <f>[8]С6!F12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[8]С1.1!E16</f>
        <v>5100</v>
      </c>
    </row>
    <row r="29" spans="1:3" ht="42.75">
      <c r="A29" s="22" t="s">
        <v>10</v>
      </c>
      <c r="B29" s="33" t="s">
        <v>22</v>
      </c>
      <c r="C29" s="34">
        <f>[8]С1.1!E27</f>
        <v>2685.9166666666665</v>
      </c>
    </row>
    <row r="30" spans="1:3" ht="17.25">
      <c r="A30" s="22" t="s">
        <v>12</v>
      </c>
      <c r="B30" s="33" t="s">
        <v>23</v>
      </c>
      <c r="C30" s="35">
        <f>[8]С1.1!E19</f>
        <v>0.59499999999999997</v>
      </c>
    </row>
    <row r="31" spans="1:3" ht="17.25">
      <c r="A31" s="22" t="s">
        <v>14</v>
      </c>
      <c r="B31" s="33" t="s">
        <v>24</v>
      </c>
      <c r="C31" s="35">
        <f>[8]С1.1!E20</f>
        <v>-0.113</v>
      </c>
    </row>
    <row r="32" spans="1:3" ht="30">
      <c r="A32" s="22" t="s">
        <v>16</v>
      </c>
      <c r="B32" s="36" t="s">
        <v>25</v>
      </c>
      <c r="C32" s="37">
        <f>[8]С1!F13</f>
        <v>176.4</v>
      </c>
    </row>
    <row r="33" spans="1:3">
      <c r="A33" s="22" t="s">
        <v>18</v>
      </c>
      <c r="B33" s="36" t="s">
        <v>26</v>
      </c>
      <c r="C33" s="38">
        <f>[8]С1!F16</f>
        <v>7000</v>
      </c>
    </row>
    <row r="34" spans="1:3" ht="14.25">
      <c r="A34" s="22" t="s">
        <v>27</v>
      </c>
      <c r="B34" s="39" t="s">
        <v>28</v>
      </c>
      <c r="C34" s="40">
        <f>[8]С1!F17</f>
        <v>0.72857142857142854</v>
      </c>
    </row>
    <row r="35" spans="1:3" ht="15.75">
      <c r="A35" s="41" t="s">
        <v>29</v>
      </c>
      <c r="B35" s="42" t="s">
        <v>30</v>
      </c>
      <c r="C35" s="40">
        <f>[8]С1!F20</f>
        <v>21.588411179999994</v>
      </c>
    </row>
    <row r="36" spans="1:3" ht="15.75">
      <c r="A36" s="41" t="s">
        <v>31</v>
      </c>
      <c r="B36" s="43" t="s">
        <v>32</v>
      </c>
      <c r="C36" s="40">
        <f>[8]С1!F21</f>
        <v>20.818139999999996</v>
      </c>
    </row>
    <row r="37" spans="1:3" ht="14.25">
      <c r="A37" s="41" t="s">
        <v>33</v>
      </c>
      <c r="B37" s="44" t="s">
        <v>34</v>
      </c>
      <c r="C37" s="40">
        <f>[8]С1!F22</f>
        <v>1.0369999999999999</v>
      </c>
    </row>
    <row r="38" spans="1:3" ht="53.25" thickBot="1">
      <c r="A38" s="27" t="s">
        <v>35</v>
      </c>
      <c r="B38" s="45" t="s">
        <v>36</v>
      </c>
      <c r="C38" s="46">
        <f>[8]С1!F23</f>
        <v>1.0469999999999999</v>
      </c>
    </row>
    <row r="39" spans="1:3" ht="13.5" thickBot="1">
      <c r="A39" s="47"/>
      <c r="B39" s="48"/>
      <c r="C39" s="49"/>
    </row>
    <row r="40" spans="1:3" ht="30" customHeight="1">
      <c r="A40" s="50" t="s">
        <v>37</v>
      </c>
      <c r="B40" s="118" t="s">
        <v>38</v>
      </c>
      <c r="C40" s="118"/>
    </row>
    <row r="41" spans="1:3" ht="25.5">
      <c r="A41" s="22" t="s">
        <v>39</v>
      </c>
      <c r="B41" s="36" t="s">
        <v>40</v>
      </c>
      <c r="C41" s="51" t="str">
        <f>[8]С2.1!E12</f>
        <v>V</v>
      </c>
    </row>
    <row r="42" spans="1:3" ht="25.5">
      <c r="A42" s="22" t="s">
        <v>41</v>
      </c>
      <c r="B42" s="33" t="s">
        <v>42</v>
      </c>
      <c r="C42" s="51" t="str">
        <f>[8]С2.1!E13</f>
        <v>6 и менее баллов</v>
      </c>
    </row>
    <row r="43" spans="1:3" ht="25.5">
      <c r="A43" s="22" t="s">
        <v>43</v>
      </c>
      <c r="B43" s="33" t="s">
        <v>44</v>
      </c>
      <c r="C43" s="51" t="str">
        <f>[8]С2.1!E14</f>
        <v>от 200 до 500</v>
      </c>
    </row>
    <row r="44" spans="1:3" ht="25.5">
      <c r="A44" s="22" t="s">
        <v>45</v>
      </c>
      <c r="B44" s="33" t="s">
        <v>46</v>
      </c>
      <c r="C44" s="52" t="str">
        <f>[8]С2.1!E15</f>
        <v>нет</v>
      </c>
    </row>
    <row r="45" spans="1:3" ht="30">
      <c r="A45" s="22" t="s">
        <v>47</v>
      </c>
      <c r="B45" s="33" t="s">
        <v>48</v>
      </c>
      <c r="C45" s="34">
        <f>[8]С2!F18</f>
        <v>32402.627334033532</v>
      </c>
    </row>
    <row r="46" spans="1:3" ht="30">
      <c r="A46" s="22" t="s">
        <v>49</v>
      </c>
      <c r="B46" s="53" t="s">
        <v>50</v>
      </c>
      <c r="C46" s="34">
        <f>IF([8]С2!F19&gt;0,[8]С2!F19,[8]С2!F20)</f>
        <v>23441.524932855718</v>
      </c>
    </row>
    <row r="47" spans="1:3" ht="25.5">
      <c r="A47" s="22" t="s">
        <v>51</v>
      </c>
      <c r="B47" s="54" t="s">
        <v>52</v>
      </c>
      <c r="C47" s="34">
        <f>[8]С2.1!E19</f>
        <v>-38</v>
      </c>
    </row>
    <row r="48" spans="1:3" ht="25.5">
      <c r="A48" s="22" t="s">
        <v>53</v>
      </c>
      <c r="B48" s="54" t="s">
        <v>54</v>
      </c>
      <c r="C48" s="34" t="str">
        <f>[8]С2.1!E22</f>
        <v>нет</v>
      </c>
    </row>
    <row r="49" spans="1:3" ht="38.25">
      <c r="A49" s="22" t="s">
        <v>55</v>
      </c>
      <c r="B49" s="55" t="s">
        <v>56</v>
      </c>
      <c r="C49" s="34">
        <f>[8]С2.2!E10</f>
        <v>1287</v>
      </c>
    </row>
    <row r="50" spans="1:3" ht="25.5">
      <c r="A50" s="22" t="s">
        <v>57</v>
      </c>
      <c r="B50" s="56" t="s">
        <v>58</v>
      </c>
      <c r="C50" s="34">
        <f>[8]С2.2!E12</f>
        <v>5.97</v>
      </c>
    </row>
    <row r="51" spans="1:3" ht="52.5">
      <c r="A51" s="22" t="s">
        <v>59</v>
      </c>
      <c r="B51" s="57" t="s">
        <v>60</v>
      </c>
      <c r="C51" s="34">
        <f>[8]С2.2!E13</f>
        <v>1</v>
      </c>
    </row>
    <row r="52" spans="1:3" ht="27.75">
      <c r="A52" s="22" t="s">
        <v>61</v>
      </c>
      <c r="B52" s="56" t="s">
        <v>62</v>
      </c>
      <c r="C52" s="34">
        <f>[8]С2.2!E14</f>
        <v>12104</v>
      </c>
    </row>
    <row r="53" spans="1:3" ht="25.5">
      <c r="A53" s="22" t="s">
        <v>63</v>
      </c>
      <c r="B53" s="57" t="s">
        <v>64</v>
      </c>
      <c r="C53" s="35">
        <f>[8]С2.2!E15</f>
        <v>4.8000000000000001E-2</v>
      </c>
    </row>
    <row r="54" spans="1:3">
      <c r="A54" s="22" t="s">
        <v>65</v>
      </c>
      <c r="B54" s="57" t="s">
        <v>66</v>
      </c>
      <c r="C54" s="34">
        <f>[8]С2.2!E16</f>
        <v>1</v>
      </c>
    </row>
    <row r="55" spans="1:3" ht="15.75">
      <c r="A55" s="22" t="s">
        <v>67</v>
      </c>
      <c r="B55" s="58" t="s">
        <v>68</v>
      </c>
      <c r="C55" s="34">
        <f>[8]С2!F21</f>
        <v>1</v>
      </c>
    </row>
    <row r="56" spans="1:3" ht="30">
      <c r="A56" s="59" t="s">
        <v>69</v>
      </c>
      <c r="B56" s="33" t="s">
        <v>70</v>
      </c>
      <c r="C56" s="34">
        <f>[8]С2!F13</f>
        <v>169640.22915965237</v>
      </c>
    </row>
    <row r="57" spans="1:3" ht="30">
      <c r="A57" s="59" t="s">
        <v>71</v>
      </c>
      <c r="B57" s="58" t="s">
        <v>72</v>
      </c>
      <c r="C57" s="34">
        <f>[8]С2!F14</f>
        <v>113455</v>
      </c>
    </row>
    <row r="58" spans="1:3" ht="15.75">
      <c r="A58" s="59" t="s">
        <v>73</v>
      </c>
      <c r="B58" s="60" t="s">
        <v>74</v>
      </c>
      <c r="C58" s="40">
        <f>[8]С2!F15</f>
        <v>1.071</v>
      </c>
    </row>
    <row r="59" spans="1:3" ht="15.75">
      <c r="A59" s="59" t="s">
        <v>75</v>
      </c>
      <c r="B59" s="60" t="s">
        <v>76</v>
      </c>
      <c r="C59" s="40">
        <f>[8]С2!F16</f>
        <v>1</v>
      </c>
    </row>
    <row r="60" spans="1:3" ht="17.25">
      <c r="A60" s="59" t="s">
        <v>77</v>
      </c>
      <c r="B60" s="58" t="s">
        <v>78</v>
      </c>
      <c r="C60" s="34">
        <f>[8]С2!F17</f>
        <v>1.01</v>
      </c>
    </row>
    <row r="61" spans="1:3" s="63" customFormat="1" ht="14.25">
      <c r="A61" s="59" t="s">
        <v>79</v>
      </c>
      <c r="B61" s="61" t="s">
        <v>80</v>
      </c>
      <c r="C61" s="62">
        <f>[8]С2!F33</f>
        <v>10</v>
      </c>
    </row>
    <row r="62" spans="1:3" ht="30">
      <c r="A62" s="59" t="s">
        <v>81</v>
      </c>
      <c r="B62" s="64" t="s">
        <v>82</v>
      </c>
      <c r="C62" s="34">
        <f>[8]С2!F26</f>
        <v>1012.1091133444331</v>
      </c>
    </row>
    <row r="63" spans="1:3" ht="17.25">
      <c r="A63" s="59" t="s">
        <v>83</v>
      </c>
      <c r="B63" s="53" t="s">
        <v>84</v>
      </c>
      <c r="C63" s="34">
        <f>[8]С2!F27</f>
        <v>0.17433463600000002</v>
      </c>
    </row>
    <row r="64" spans="1:3" ht="17.25">
      <c r="A64" s="59" t="s">
        <v>85</v>
      </c>
      <c r="B64" s="58" t="s">
        <v>86</v>
      </c>
      <c r="C64" s="62">
        <f>[8]С2!F28</f>
        <v>4200</v>
      </c>
    </row>
    <row r="65" spans="1:3" ht="42.75">
      <c r="A65" s="59" t="s">
        <v>87</v>
      </c>
      <c r="B65" s="33" t="s">
        <v>88</v>
      </c>
      <c r="C65" s="34">
        <f>[8]С2!F22</f>
        <v>35717.748653137714</v>
      </c>
    </row>
    <row r="66" spans="1:3" ht="30">
      <c r="A66" s="59" t="s">
        <v>89</v>
      </c>
      <c r="B66" s="60" t="s">
        <v>90</v>
      </c>
      <c r="C66" s="34">
        <f>[8]С2!F23</f>
        <v>1990</v>
      </c>
    </row>
    <row r="67" spans="1:3" ht="30">
      <c r="A67" s="59" t="s">
        <v>91</v>
      </c>
      <c r="B67" s="53" t="s">
        <v>92</v>
      </c>
      <c r="C67" s="34">
        <f>[8]С2.1!E27</f>
        <v>14307.876789999998</v>
      </c>
    </row>
    <row r="68" spans="1:3" ht="38.25">
      <c r="A68" s="59" t="s">
        <v>93</v>
      </c>
      <c r="B68" s="65" t="s">
        <v>94</v>
      </c>
      <c r="C68" s="52">
        <f>[8]С2.3!E21</f>
        <v>0</v>
      </c>
    </row>
    <row r="69" spans="1:3" ht="25.5">
      <c r="A69" s="59" t="s">
        <v>95</v>
      </c>
      <c r="B69" s="66" t="s">
        <v>96</v>
      </c>
      <c r="C69" s="67">
        <f>[8]С2.3!E11</f>
        <v>9.89</v>
      </c>
    </row>
    <row r="70" spans="1:3" ht="25.5">
      <c r="A70" s="59" t="s">
        <v>97</v>
      </c>
      <c r="B70" s="66" t="s">
        <v>98</v>
      </c>
      <c r="C70" s="62">
        <f>[8]С2.3!E13</f>
        <v>300</v>
      </c>
    </row>
    <row r="71" spans="1:3" ht="25.5">
      <c r="A71" s="59" t="s">
        <v>99</v>
      </c>
      <c r="B71" s="65" t="s">
        <v>100</v>
      </c>
      <c r="C71" s="68">
        <f>IF([8]С2.3!E22&gt;0,[8]С2.3!E22,[8]С2.3!E14)</f>
        <v>61211</v>
      </c>
    </row>
    <row r="72" spans="1:3" ht="38.25">
      <c r="A72" s="59" t="s">
        <v>101</v>
      </c>
      <c r="B72" s="65" t="s">
        <v>102</v>
      </c>
      <c r="C72" s="68">
        <f>IF([8]С2.3!E23&gt;0,[8]С2.3!E23,[8]С2.3!E15)</f>
        <v>45675</v>
      </c>
    </row>
    <row r="73" spans="1:3" ht="30">
      <c r="A73" s="59" t="s">
        <v>103</v>
      </c>
      <c r="B73" s="53" t="s">
        <v>104</v>
      </c>
      <c r="C73" s="34">
        <f>[8]С2.1!E28</f>
        <v>9541.9567200000001</v>
      </c>
    </row>
    <row r="74" spans="1:3" ht="38.25">
      <c r="A74" s="59" t="s">
        <v>105</v>
      </c>
      <c r="B74" s="65" t="s">
        <v>106</v>
      </c>
      <c r="C74" s="52">
        <f>[8]С2.3!E25</f>
        <v>0</v>
      </c>
    </row>
    <row r="75" spans="1:3" ht="25.5">
      <c r="A75" s="59" t="s">
        <v>107</v>
      </c>
      <c r="B75" s="66" t="s">
        <v>108</v>
      </c>
      <c r="C75" s="67">
        <f>[8]С2.3!E12</f>
        <v>0.56000000000000005</v>
      </c>
    </row>
    <row r="76" spans="1:3" ht="25.5">
      <c r="A76" s="59" t="s">
        <v>109</v>
      </c>
      <c r="B76" s="66" t="s">
        <v>98</v>
      </c>
      <c r="C76" s="62">
        <f>[8]С2.3!E13</f>
        <v>300</v>
      </c>
    </row>
    <row r="77" spans="1:3" ht="25.5">
      <c r="A77" s="59" t="s">
        <v>110</v>
      </c>
      <c r="B77" s="69" t="s">
        <v>111</v>
      </c>
      <c r="C77" s="68">
        <f>IF([8]С2.3!E26&gt;0,[8]С2.3!E26,[8]С2.3!E16)</f>
        <v>65637</v>
      </c>
    </row>
    <row r="78" spans="1:3" ht="38.25">
      <c r="A78" s="59" t="s">
        <v>112</v>
      </c>
      <c r="B78" s="69" t="s">
        <v>113</v>
      </c>
      <c r="C78" s="68">
        <f>IF([8]С2.3!E27&gt;0,[8]С2.3!E27,[8]С2.3!E17)</f>
        <v>31684</v>
      </c>
    </row>
    <row r="79" spans="1:3" ht="17.25">
      <c r="A79" s="59" t="s">
        <v>114</v>
      </c>
      <c r="B79" s="33" t="s">
        <v>115</v>
      </c>
      <c r="C79" s="35">
        <f>[8]С2!F29</f>
        <v>0.128978033685065</v>
      </c>
    </row>
    <row r="80" spans="1:3" ht="30">
      <c r="A80" s="59" t="s">
        <v>116</v>
      </c>
      <c r="B80" s="53" t="s">
        <v>117</v>
      </c>
      <c r="C80" s="70">
        <f>[8]С2!F30</f>
        <v>0.11668498168498169</v>
      </c>
    </row>
    <row r="81" spans="1:3" ht="17.25">
      <c r="A81" s="59" t="s">
        <v>118</v>
      </c>
      <c r="B81" s="71" t="s">
        <v>119</v>
      </c>
      <c r="C81" s="35">
        <f>[8]С2!F31</f>
        <v>0.13880000000000001</v>
      </c>
    </row>
    <row r="82" spans="1:3" s="63" customFormat="1" ht="18" thickBot="1">
      <c r="A82" s="72" t="s">
        <v>120</v>
      </c>
      <c r="B82" s="73" t="s">
        <v>121</v>
      </c>
      <c r="C82" s="74">
        <f>[8]С2!F32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[8]С3!F14</f>
        <v>6993.2576401328561</v>
      </c>
    </row>
    <row r="86" spans="1:3" s="63" customFormat="1" ht="42.75">
      <c r="A86" s="77" t="s">
        <v>126</v>
      </c>
      <c r="B86" s="53" t="s">
        <v>127</v>
      </c>
      <c r="C86" s="78">
        <f>[8]С3!F15</f>
        <v>0.2</v>
      </c>
    </row>
    <row r="87" spans="1:3" s="63" customFormat="1" ht="14.25">
      <c r="A87" s="77" t="s">
        <v>128</v>
      </c>
      <c r="B87" s="79" t="s">
        <v>129</v>
      </c>
      <c r="C87" s="62">
        <f>[8]С3!F18</f>
        <v>15</v>
      </c>
    </row>
    <row r="88" spans="1:3" s="63" customFormat="1" ht="17.25">
      <c r="A88" s="77" t="s">
        <v>130</v>
      </c>
      <c r="B88" s="33" t="s">
        <v>131</v>
      </c>
      <c r="C88" s="34">
        <f>[8]С3!F19</f>
        <v>3487.1555421534131</v>
      </c>
    </row>
    <row r="89" spans="1:3" s="63" customFormat="1" ht="55.5">
      <c r="A89" s="77" t="s">
        <v>132</v>
      </c>
      <c r="B89" s="53" t="s">
        <v>133</v>
      </c>
      <c r="C89" s="80">
        <f>[8]С3!F20</f>
        <v>2.1999999999999999E-2</v>
      </c>
    </row>
    <row r="90" spans="1:3" s="63" customFormat="1" ht="14.25">
      <c r="A90" s="77" t="s">
        <v>134</v>
      </c>
      <c r="B90" s="58" t="s">
        <v>80</v>
      </c>
      <c r="C90" s="62">
        <f>[8]С3!F21</f>
        <v>10</v>
      </c>
    </row>
    <row r="91" spans="1:3" s="63" customFormat="1" ht="17.25">
      <c r="A91" s="77" t="s">
        <v>135</v>
      </c>
      <c r="B91" s="33" t="s">
        <v>136</v>
      </c>
      <c r="C91" s="34">
        <f>[8]С3!F22</f>
        <v>3.0363273400332993</v>
      </c>
    </row>
    <row r="92" spans="1:3" s="63" customFormat="1" ht="55.5">
      <c r="A92" s="77" t="s">
        <v>137</v>
      </c>
      <c r="B92" s="53" t="s">
        <v>138</v>
      </c>
      <c r="C92" s="80">
        <f>[8]С3!F23</f>
        <v>3.0000000000000001E-3</v>
      </c>
    </row>
    <row r="93" spans="1:3" s="63" customFormat="1" ht="27.75" thickBot="1">
      <c r="A93" s="81" t="s">
        <v>139</v>
      </c>
      <c r="B93" s="82" t="s">
        <v>140</v>
      </c>
      <c r="C93" s="83">
        <f>[8]С3!F24</f>
        <v>1012.1091133444331</v>
      </c>
    </row>
    <row r="94" spans="1:3" ht="13.5" thickBot="1">
      <c r="A94" s="47"/>
      <c r="B94" s="75"/>
      <c r="C94" s="15"/>
    </row>
    <row r="95" spans="1:3" ht="30" customHeight="1">
      <c r="A95" s="84" t="s">
        <v>141</v>
      </c>
      <c r="B95" s="118" t="s">
        <v>142</v>
      </c>
      <c r="C95" s="118"/>
    </row>
    <row r="96" spans="1:3" ht="30">
      <c r="A96" s="59" t="s">
        <v>143</v>
      </c>
      <c r="B96" s="33" t="s">
        <v>144</v>
      </c>
      <c r="C96" s="34">
        <f>[8]С4!F16</f>
        <v>1652.5</v>
      </c>
    </row>
    <row r="97" spans="1:3" ht="30">
      <c r="A97" s="59" t="s">
        <v>145</v>
      </c>
      <c r="B97" s="58" t="s">
        <v>146</v>
      </c>
      <c r="C97" s="34">
        <f>[8]С4!F17</f>
        <v>73547</v>
      </c>
    </row>
    <row r="98" spans="1:3" ht="17.25">
      <c r="A98" s="59" t="s">
        <v>147</v>
      </c>
      <c r="B98" s="58" t="s">
        <v>148</v>
      </c>
      <c r="C98" s="40">
        <f>[8]С4!F18</f>
        <v>0.02</v>
      </c>
    </row>
    <row r="99" spans="1:3" ht="30">
      <c r="A99" s="59" t="s">
        <v>149</v>
      </c>
      <c r="B99" s="58" t="s">
        <v>150</v>
      </c>
      <c r="C99" s="34">
        <f>[8]С4!F19</f>
        <v>12104</v>
      </c>
    </row>
    <row r="100" spans="1:3" ht="31.5">
      <c r="A100" s="59" t="s">
        <v>151</v>
      </c>
      <c r="B100" s="58" t="s">
        <v>152</v>
      </c>
      <c r="C100" s="40">
        <f>[8]С4!F20</f>
        <v>1.4999999999999999E-2</v>
      </c>
    </row>
    <row r="101" spans="1:3" ht="30">
      <c r="A101" s="59" t="s">
        <v>153</v>
      </c>
      <c r="B101" s="33" t="s">
        <v>154</v>
      </c>
      <c r="C101" s="34">
        <f>[8]С4!F21</f>
        <v>1933.1949342509995</v>
      </c>
    </row>
    <row r="102" spans="1:3" ht="24" customHeight="1">
      <c r="A102" s="59" t="s">
        <v>155</v>
      </c>
      <c r="B102" s="53" t="s">
        <v>156</v>
      </c>
      <c r="C102" s="85">
        <f>IF([8]С4.2!F8="да",[8]С4.2!D21,[8]С4.2!D15)</f>
        <v>0</v>
      </c>
    </row>
    <row r="103" spans="1:3" ht="68.25">
      <c r="A103" s="59" t="s">
        <v>157</v>
      </c>
      <c r="B103" s="53" t="s">
        <v>158</v>
      </c>
      <c r="C103" s="34">
        <f>[8]С4!F22</f>
        <v>3.6112641666666665</v>
      </c>
    </row>
    <row r="104" spans="1:3" ht="30">
      <c r="A104" s="59" t="s">
        <v>159</v>
      </c>
      <c r="B104" s="58" t="s">
        <v>160</v>
      </c>
      <c r="C104" s="34">
        <f>[8]С4!F23</f>
        <v>180</v>
      </c>
    </row>
    <row r="105" spans="1:3" ht="14.25">
      <c r="A105" s="59" t="s">
        <v>161</v>
      </c>
      <c r="B105" s="53" t="s">
        <v>162</v>
      </c>
      <c r="C105" s="34">
        <f>[8]С4!F24</f>
        <v>8497.1999999999989</v>
      </c>
    </row>
    <row r="106" spans="1:3" ht="14.25">
      <c r="A106" s="59" t="s">
        <v>163</v>
      </c>
      <c r="B106" s="58" t="s">
        <v>164</v>
      </c>
      <c r="C106" s="40">
        <f>[8]С4!F25</f>
        <v>0.35</v>
      </c>
    </row>
    <row r="107" spans="1:3" ht="17.25">
      <c r="A107" s="59" t="s">
        <v>165</v>
      </c>
      <c r="B107" s="33" t="s">
        <v>166</v>
      </c>
      <c r="C107" s="34">
        <f>[8]С4!F26</f>
        <v>64.592310000000012</v>
      </c>
    </row>
    <row r="108" spans="1:3" ht="25.5">
      <c r="A108" s="59" t="s">
        <v>167</v>
      </c>
      <c r="B108" s="53" t="s">
        <v>94</v>
      </c>
      <c r="C108" s="85">
        <f>[8]С4.3!E16</f>
        <v>0</v>
      </c>
    </row>
    <row r="109" spans="1:3" ht="25.5">
      <c r="A109" s="59" t="s">
        <v>168</v>
      </c>
      <c r="B109" s="53" t="s">
        <v>169</v>
      </c>
      <c r="C109" s="34">
        <f>[8]С4.3!E17</f>
        <v>16.89</v>
      </c>
    </row>
    <row r="110" spans="1:3" ht="38.25">
      <c r="A110" s="59" t="s">
        <v>170</v>
      </c>
      <c r="B110" s="53" t="s">
        <v>106</v>
      </c>
      <c r="C110" s="85">
        <f>[8]С4.3!E18</f>
        <v>0</v>
      </c>
    </row>
    <row r="111" spans="1:3">
      <c r="A111" s="59" t="s">
        <v>171</v>
      </c>
      <c r="B111" s="53" t="s">
        <v>172</v>
      </c>
      <c r="C111" s="34">
        <f>[8]С4.3!E19</f>
        <v>26.27</v>
      </c>
    </row>
    <row r="112" spans="1:3">
      <c r="A112" s="59" t="s">
        <v>173</v>
      </c>
      <c r="B112" s="58" t="s">
        <v>174</v>
      </c>
      <c r="C112" s="34">
        <f>[8]С4.3!E11</f>
        <v>1871</v>
      </c>
    </row>
    <row r="113" spans="1:3">
      <c r="A113" s="59" t="s">
        <v>175</v>
      </c>
      <c r="B113" s="58" t="s">
        <v>176</v>
      </c>
      <c r="C113" s="52">
        <f>[8]С4.3!E12</f>
        <v>1636</v>
      </c>
    </row>
    <row r="114" spans="1:3">
      <c r="A114" s="59" t="s">
        <v>177</v>
      </c>
      <c r="B114" s="58" t="s">
        <v>178</v>
      </c>
      <c r="C114" s="52">
        <f>[8]С4.3!E13</f>
        <v>204</v>
      </c>
    </row>
    <row r="115" spans="1:3" ht="30">
      <c r="A115" s="59" t="s">
        <v>179</v>
      </c>
      <c r="B115" s="33" t="s">
        <v>180</v>
      </c>
      <c r="C115" s="34">
        <f>[8]С4!F27</f>
        <v>1040.8858115370676</v>
      </c>
    </row>
    <row r="116" spans="1:3" ht="25.5">
      <c r="A116" s="59" t="s">
        <v>181</v>
      </c>
      <c r="B116" s="53" t="s">
        <v>182</v>
      </c>
      <c r="C116" s="34">
        <f>[8]С4!F28</f>
        <v>799.45146815442979</v>
      </c>
    </row>
    <row r="117" spans="1:3" ht="42.75">
      <c r="A117" s="59" t="s">
        <v>183</v>
      </c>
      <c r="B117" s="53" t="s">
        <v>184</v>
      </c>
      <c r="C117" s="34">
        <f>[8]С4!F29</f>
        <v>241.43434338263785</v>
      </c>
    </row>
    <row r="118" spans="1:3" ht="30">
      <c r="A118" s="59" t="s">
        <v>185</v>
      </c>
      <c r="B118" s="39" t="s">
        <v>186</v>
      </c>
      <c r="C118" s="34">
        <f>[8]С4!F30</f>
        <v>2187.5166256380016</v>
      </c>
    </row>
    <row r="119" spans="1:3" ht="42.75">
      <c r="A119" s="59" t="s">
        <v>187</v>
      </c>
      <c r="B119" s="86" t="s">
        <v>188</v>
      </c>
      <c r="C119" s="34">
        <f>[8]С4!F33</f>
        <v>1472.7299782468888</v>
      </c>
    </row>
    <row r="120" spans="1:3" ht="30">
      <c r="A120" s="59" t="s">
        <v>189</v>
      </c>
      <c r="B120" s="87" t="s">
        <v>190</v>
      </c>
      <c r="C120" s="34">
        <f>[8]С4!F35</f>
        <v>17.040680999999999</v>
      </c>
    </row>
    <row r="121" spans="1:3" ht="14.25">
      <c r="A121" s="59" t="s">
        <v>191</v>
      </c>
      <c r="B121" s="56" t="s">
        <v>192</v>
      </c>
      <c r="C121" s="34">
        <f>[8]С4!F36</f>
        <v>14319.9</v>
      </c>
    </row>
    <row r="122" spans="1:3" ht="28.5" thickBot="1">
      <c r="A122" s="72" t="s">
        <v>193</v>
      </c>
      <c r="B122" s="88" t="s">
        <v>194</v>
      </c>
      <c r="C122" s="83">
        <f>[8]С4!F37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[8]С5!F17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[8]С2!F37</f>
        <v>20.818139999999996</v>
      </c>
    </row>
    <row r="136" spans="1:4" ht="14.25">
      <c r="A136" s="59" t="s">
        <v>216</v>
      </c>
      <c r="B136" s="101" t="s">
        <v>217</v>
      </c>
      <c r="C136" s="34">
        <f>[8]С2!F38</f>
        <v>7</v>
      </c>
    </row>
    <row r="137" spans="1:4" ht="17.25">
      <c r="A137" s="59" t="s">
        <v>218</v>
      </c>
      <c r="B137" s="101" t="s">
        <v>219</v>
      </c>
      <c r="C137" s="34">
        <f>[8]С2!F40</f>
        <v>0.97</v>
      </c>
    </row>
    <row r="138" spans="1:4" ht="15" thickBot="1">
      <c r="A138" s="72" t="s">
        <v>220</v>
      </c>
      <c r="B138" s="102" t="s">
        <v>221</v>
      </c>
      <c r="C138" s="46">
        <f>[8]С2!F42</f>
        <v>0.35</v>
      </c>
    </row>
    <row r="139" spans="1:4" s="89" customFormat="1" ht="13.5" thickBot="1">
      <c r="A139" s="47"/>
      <c r="B139" s="75"/>
      <c r="C139" s="15"/>
    </row>
    <row r="140" spans="1:4" ht="30">
      <c r="A140" s="84" t="s">
        <v>222</v>
      </c>
      <c r="B140" s="103" t="s">
        <v>223</v>
      </c>
      <c r="C140" s="104">
        <f>[8]С2!F35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[8]С2.5!$E$11</f>
        <v>-2.9000000000000026E-2</v>
      </c>
      <c r="D143" s="89"/>
    </row>
    <row r="144" spans="1:4">
      <c r="A144" s="105"/>
      <c r="B144" s="110">
        <f>B143+1</f>
        <v>2021</v>
      </c>
      <c r="C144" s="111">
        <f>[8]С2.5!$F$11</f>
        <v>0.245</v>
      </c>
      <c r="D144" s="89"/>
    </row>
    <row r="145" spans="1:4">
      <c r="A145" s="105"/>
      <c r="B145" s="110">
        <f t="shared" ref="B145:B208" si="0">B144+1</f>
        <v>2022</v>
      </c>
      <c r="C145" s="111">
        <f>[8]С2.5!$G$11</f>
        <v>0.121</v>
      </c>
      <c r="D145" s="89"/>
    </row>
    <row r="146" spans="1:4" ht="13.5" thickBot="1">
      <c r="A146" s="105"/>
      <c r="B146" s="112">
        <f t="shared" si="0"/>
        <v>2023</v>
      </c>
      <c r="C146" s="113">
        <f>[8]С2.5!$H$11</f>
        <v>0.02</v>
      </c>
      <c r="D146" s="89"/>
    </row>
    <row r="147" spans="1:4" hidden="1">
      <c r="A147" s="105"/>
      <c r="B147" s="114">
        <f t="shared" si="0"/>
        <v>2024</v>
      </c>
      <c r="C147" s="115">
        <f>[8]С2.5!$I$11</f>
        <v>-2.93E-2</v>
      </c>
      <c r="D147" s="89"/>
    </row>
    <row r="148" spans="1:4" hidden="1">
      <c r="A148" s="105"/>
      <c r="B148" s="110">
        <f t="shared" si="0"/>
        <v>2025</v>
      </c>
      <c r="C148" s="111">
        <f>[8]С2.5!$J$11</f>
        <v>0.21215960863291</v>
      </c>
      <c r="D148" s="89"/>
    </row>
    <row r="149" spans="1:4" hidden="1">
      <c r="A149" s="105"/>
      <c r="B149" s="110">
        <f t="shared" si="0"/>
        <v>2026</v>
      </c>
      <c r="C149" s="111">
        <f>[8]С2.5!$K$11</f>
        <v>3.5813361771260002E-2</v>
      </c>
      <c r="D149" s="89"/>
    </row>
    <row r="150" spans="1:4" hidden="1">
      <c r="A150" s="105"/>
      <c r="B150" s="110">
        <f t="shared" si="0"/>
        <v>2027</v>
      </c>
      <c r="C150" s="111">
        <f>[8]С2.5!$L$11</f>
        <v>3.2682303599220003E-2</v>
      </c>
      <c r="D150" s="89"/>
    </row>
    <row r="151" spans="1:4" hidden="1">
      <c r="A151" s="105"/>
      <c r="B151" s="110">
        <f t="shared" si="0"/>
        <v>2028</v>
      </c>
      <c r="C151" s="111">
        <f>[8]С2.5!$M$11</f>
        <v>0</v>
      </c>
      <c r="D151" s="89"/>
    </row>
    <row r="152" spans="1:4" hidden="1">
      <c r="A152" s="105"/>
      <c r="B152" s="110">
        <f t="shared" si="0"/>
        <v>2029</v>
      </c>
      <c r="C152" s="111">
        <f>[8]С2.5!$N$11</f>
        <v>0</v>
      </c>
      <c r="D152" s="89"/>
    </row>
    <row r="153" spans="1:4" hidden="1">
      <c r="A153" s="105"/>
      <c r="B153" s="110">
        <f t="shared" si="0"/>
        <v>2030</v>
      </c>
      <c r="C153" s="111">
        <f>[8]С2.5!$O$11</f>
        <v>0</v>
      </c>
      <c r="D153" s="89"/>
    </row>
    <row r="154" spans="1:4" hidden="1">
      <c r="A154" s="105"/>
      <c r="B154" s="110">
        <f t="shared" si="0"/>
        <v>2031</v>
      </c>
      <c r="C154" s="111">
        <f>[8]С2.5!$P$11</f>
        <v>0</v>
      </c>
      <c r="D154" s="89"/>
    </row>
    <row r="155" spans="1:4" hidden="1">
      <c r="A155" s="89"/>
      <c r="B155" s="110">
        <f t="shared" si="0"/>
        <v>2032</v>
      </c>
      <c r="C155" s="111">
        <f>[8]С2.5!$Q$11</f>
        <v>0</v>
      </c>
      <c r="D155" s="89"/>
    </row>
    <row r="156" spans="1:4" hidden="1">
      <c r="A156" s="89"/>
      <c r="B156" s="110">
        <f t="shared" si="0"/>
        <v>2033</v>
      </c>
      <c r="C156" s="111">
        <f>[8]С2.5!$R$11</f>
        <v>0</v>
      </c>
      <c r="D156" s="89"/>
    </row>
    <row r="157" spans="1:4" hidden="1">
      <c r="B157" s="110">
        <f t="shared" si="0"/>
        <v>2034</v>
      </c>
      <c r="C157" s="111">
        <f>[8]С2.5!$S$11</f>
        <v>0</v>
      </c>
    </row>
    <row r="158" spans="1:4" hidden="1">
      <c r="B158" s="110">
        <f t="shared" si="0"/>
        <v>2035</v>
      </c>
      <c r="C158" s="111">
        <f>[8]С2.5!$T$11</f>
        <v>0</v>
      </c>
    </row>
    <row r="159" spans="1:4" hidden="1">
      <c r="B159" s="110">
        <f t="shared" si="0"/>
        <v>2036</v>
      </c>
      <c r="C159" s="111">
        <f>[8]С2.5!$U$11</f>
        <v>0</v>
      </c>
    </row>
    <row r="160" spans="1:4" hidden="1">
      <c r="B160" s="110">
        <f t="shared" si="0"/>
        <v>2037</v>
      </c>
      <c r="C160" s="111">
        <f>[8]С2.5!$V$11</f>
        <v>0</v>
      </c>
    </row>
    <row r="161" spans="2:3" hidden="1">
      <c r="B161" s="110">
        <f t="shared" si="0"/>
        <v>2038</v>
      </c>
      <c r="C161" s="111">
        <f>[8]С2.5!$W$11</f>
        <v>0</v>
      </c>
    </row>
    <row r="162" spans="2:3" hidden="1">
      <c r="B162" s="110">
        <f t="shared" si="0"/>
        <v>2039</v>
      </c>
      <c r="C162" s="111">
        <f>[8]С2.5!$X$11</f>
        <v>0</v>
      </c>
    </row>
    <row r="163" spans="2:3" hidden="1">
      <c r="B163" s="110">
        <f t="shared" si="0"/>
        <v>2040</v>
      </c>
      <c r="C163" s="111">
        <f>[8]С2.5!$Y$11</f>
        <v>0</v>
      </c>
    </row>
    <row r="164" spans="2:3" hidden="1">
      <c r="B164" s="110">
        <f t="shared" si="0"/>
        <v>2041</v>
      </c>
      <c r="C164" s="111">
        <f>[8]С2.5!$Z$11</f>
        <v>0</v>
      </c>
    </row>
    <row r="165" spans="2:3" hidden="1">
      <c r="B165" s="110">
        <f t="shared" si="0"/>
        <v>2042</v>
      </c>
      <c r="C165" s="111">
        <f>[8]С2.5!$AA$11</f>
        <v>0</v>
      </c>
    </row>
    <row r="166" spans="2:3" hidden="1">
      <c r="B166" s="110">
        <f t="shared" si="0"/>
        <v>2043</v>
      </c>
      <c r="C166" s="111">
        <f>[8]С2.5!$AB$11</f>
        <v>0</v>
      </c>
    </row>
    <row r="167" spans="2:3" hidden="1">
      <c r="B167" s="110">
        <f t="shared" si="0"/>
        <v>2044</v>
      </c>
      <c r="C167" s="111">
        <f>[8]С2.5!$AC$11</f>
        <v>0</v>
      </c>
    </row>
    <row r="168" spans="2:3" hidden="1">
      <c r="B168" s="110">
        <f t="shared" si="0"/>
        <v>2045</v>
      </c>
      <c r="C168" s="111">
        <f>[8]С2.5!$AD$11</f>
        <v>0</v>
      </c>
    </row>
    <row r="169" spans="2:3" hidden="1">
      <c r="B169" s="110">
        <f t="shared" si="0"/>
        <v>2046</v>
      </c>
      <c r="C169" s="111">
        <f>[8]С2.5!$AE$11</f>
        <v>0</v>
      </c>
    </row>
    <row r="170" spans="2:3" hidden="1">
      <c r="B170" s="110">
        <f t="shared" si="0"/>
        <v>2047</v>
      </c>
      <c r="C170" s="111">
        <f>[8]С2.5!$AF$11</f>
        <v>0</v>
      </c>
    </row>
    <row r="171" spans="2:3" hidden="1">
      <c r="B171" s="110">
        <f t="shared" si="0"/>
        <v>2048</v>
      </c>
      <c r="C171" s="111">
        <f>[8]С2.5!$AG$11</f>
        <v>0</v>
      </c>
    </row>
    <row r="172" spans="2:3" hidden="1">
      <c r="B172" s="110">
        <f t="shared" si="0"/>
        <v>2049</v>
      </c>
      <c r="C172" s="111">
        <f>[8]С2.5!$AH$11</f>
        <v>0</v>
      </c>
    </row>
    <row r="173" spans="2:3" hidden="1">
      <c r="B173" s="110">
        <f t="shared" si="0"/>
        <v>2050</v>
      </c>
      <c r="C173" s="111">
        <f>[8]С2.5!$AI$11</f>
        <v>0</v>
      </c>
    </row>
    <row r="174" spans="2:3" hidden="1">
      <c r="B174" s="110">
        <f t="shared" si="0"/>
        <v>2051</v>
      </c>
      <c r="C174" s="111">
        <f>[8]С2.5!$AJ$11</f>
        <v>0</v>
      </c>
    </row>
    <row r="175" spans="2:3" hidden="1">
      <c r="B175" s="110">
        <f t="shared" si="0"/>
        <v>2052</v>
      </c>
      <c r="C175" s="111">
        <f>[8]С2.5!$AK$11</f>
        <v>0</v>
      </c>
    </row>
    <row r="176" spans="2:3" hidden="1">
      <c r="B176" s="110">
        <f t="shared" si="0"/>
        <v>2053</v>
      </c>
      <c r="C176" s="111">
        <f>[8]С2.5!$AL$11</f>
        <v>0</v>
      </c>
    </row>
    <row r="177" spans="2:3" hidden="1">
      <c r="B177" s="110">
        <f t="shared" si="0"/>
        <v>2054</v>
      </c>
      <c r="C177" s="111">
        <f>[8]С2.5!$AM$11</f>
        <v>0</v>
      </c>
    </row>
    <row r="178" spans="2:3" hidden="1">
      <c r="B178" s="110">
        <f t="shared" si="0"/>
        <v>2055</v>
      </c>
      <c r="C178" s="111">
        <f>[8]С2.5!$AN$11</f>
        <v>0</v>
      </c>
    </row>
    <row r="179" spans="2:3" hidden="1">
      <c r="B179" s="110">
        <f t="shared" si="0"/>
        <v>2056</v>
      </c>
      <c r="C179" s="111">
        <f>[8]С2.5!$AO$11</f>
        <v>0</v>
      </c>
    </row>
    <row r="180" spans="2:3" hidden="1">
      <c r="B180" s="110">
        <f t="shared" si="0"/>
        <v>2057</v>
      </c>
      <c r="C180" s="111">
        <f>[8]С2.5!$AP$11</f>
        <v>0</v>
      </c>
    </row>
    <row r="181" spans="2:3" hidden="1">
      <c r="B181" s="110">
        <f t="shared" si="0"/>
        <v>2058</v>
      </c>
      <c r="C181" s="111">
        <f>[8]С2.5!$AQ$11</f>
        <v>0</v>
      </c>
    </row>
    <row r="182" spans="2:3" hidden="1">
      <c r="B182" s="110">
        <f t="shared" si="0"/>
        <v>2059</v>
      </c>
      <c r="C182" s="111">
        <f>[8]С2.5!$AR$11</f>
        <v>0</v>
      </c>
    </row>
    <row r="183" spans="2:3" hidden="1">
      <c r="B183" s="110">
        <f t="shared" si="0"/>
        <v>2060</v>
      </c>
      <c r="C183" s="111">
        <f>[8]С2.5!$AS$11</f>
        <v>0</v>
      </c>
    </row>
    <row r="184" spans="2:3" hidden="1">
      <c r="B184" s="110">
        <f t="shared" si="0"/>
        <v>2061</v>
      </c>
      <c r="C184" s="111">
        <f>[8]С2.5!$AT$11</f>
        <v>0</v>
      </c>
    </row>
    <row r="185" spans="2:3" hidden="1">
      <c r="B185" s="110">
        <f t="shared" si="0"/>
        <v>2062</v>
      </c>
      <c r="C185" s="111">
        <f>[8]С2.5!$AU$11</f>
        <v>0</v>
      </c>
    </row>
    <row r="186" spans="2:3" hidden="1">
      <c r="B186" s="110">
        <f t="shared" si="0"/>
        <v>2063</v>
      </c>
      <c r="C186" s="111">
        <f>[8]С2.5!$AV$11</f>
        <v>0</v>
      </c>
    </row>
    <row r="187" spans="2:3" hidden="1">
      <c r="B187" s="110">
        <f t="shared" si="0"/>
        <v>2064</v>
      </c>
      <c r="C187" s="111">
        <f>[8]С2.5!$AW$11</f>
        <v>0</v>
      </c>
    </row>
    <row r="188" spans="2:3" hidden="1">
      <c r="B188" s="110">
        <f t="shared" si="0"/>
        <v>2065</v>
      </c>
      <c r="C188" s="111">
        <f>[8]С2.5!$AX$11</f>
        <v>0</v>
      </c>
    </row>
    <row r="189" spans="2:3" hidden="1">
      <c r="B189" s="110">
        <f t="shared" si="0"/>
        <v>2066</v>
      </c>
      <c r="C189" s="111">
        <f>[8]С2.5!$AY$11</f>
        <v>0</v>
      </c>
    </row>
    <row r="190" spans="2:3" hidden="1">
      <c r="B190" s="110">
        <f t="shared" si="0"/>
        <v>2067</v>
      </c>
      <c r="C190" s="111">
        <f>[8]С2.5!$AZ$11</f>
        <v>0</v>
      </c>
    </row>
    <row r="191" spans="2:3" hidden="1">
      <c r="B191" s="110">
        <f t="shared" si="0"/>
        <v>2068</v>
      </c>
      <c r="C191" s="111">
        <f>[8]С2.5!$BA$11</f>
        <v>0</v>
      </c>
    </row>
    <row r="192" spans="2:3" hidden="1">
      <c r="B192" s="110">
        <f t="shared" si="0"/>
        <v>2069</v>
      </c>
      <c r="C192" s="111">
        <f>[8]С2.5!$BB$11</f>
        <v>0</v>
      </c>
    </row>
    <row r="193" spans="2:3" hidden="1">
      <c r="B193" s="110">
        <f t="shared" si="0"/>
        <v>2070</v>
      </c>
      <c r="C193" s="111">
        <f>[8]С2.5!$BC$11</f>
        <v>0</v>
      </c>
    </row>
    <row r="194" spans="2:3" hidden="1">
      <c r="B194" s="110">
        <f t="shared" si="0"/>
        <v>2071</v>
      </c>
      <c r="C194" s="111">
        <f>[8]С2.5!$BD$11</f>
        <v>0</v>
      </c>
    </row>
    <row r="195" spans="2:3" hidden="1">
      <c r="B195" s="110">
        <f t="shared" si="0"/>
        <v>2072</v>
      </c>
      <c r="C195" s="111">
        <f>[8]С2.5!$BE$11</f>
        <v>0</v>
      </c>
    </row>
    <row r="196" spans="2:3" hidden="1">
      <c r="B196" s="110">
        <f t="shared" si="0"/>
        <v>2073</v>
      </c>
      <c r="C196" s="111">
        <f>[8]С2.5!$BF$11</f>
        <v>0</v>
      </c>
    </row>
    <row r="197" spans="2:3" hidden="1">
      <c r="B197" s="110">
        <f t="shared" si="0"/>
        <v>2074</v>
      </c>
      <c r="C197" s="111">
        <f>[8]С2.5!$BG$11</f>
        <v>0</v>
      </c>
    </row>
    <row r="198" spans="2:3" hidden="1">
      <c r="B198" s="110">
        <f t="shared" si="0"/>
        <v>2075</v>
      </c>
      <c r="C198" s="111">
        <f>[8]С2.5!$BH$11</f>
        <v>0</v>
      </c>
    </row>
    <row r="199" spans="2:3" hidden="1">
      <c r="B199" s="110">
        <f t="shared" si="0"/>
        <v>2076</v>
      </c>
      <c r="C199" s="111">
        <f>[8]С2.5!$BI$11</f>
        <v>0</v>
      </c>
    </row>
    <row r="200" spans="2:3" hidden="1">
      <c r="B200" s="110">
        <f t="shared" si="0"/>
        <v>2077</v>
      </c>
      <c r="C200" s="111">
        <f>[8]С2.5!$BJ$11</f>
        <v>0</v>
      </c>
    </row>
    <row r="201" spans="2:3" hidden="1">
      <c r="B201" s="110">
        <f t="shared" si="0"/>
        <v>2078</v>
      </c>
      <c r="C201" s="111">
        <f>[8]С2.5!$BK$11</f>
        <v>0</v>
      </c>
    </row>
    <row r="202" spans="2:3" hidden="1">
      <c r="B202" s="110">
        <f t="shared" si="0"/>
        <v>2079</v>
      </c>
      <c r="C202" s="111">
        <f>[8]С2.5!$BL$11</f>
        <v>0</v>
      </c>
    </row>
    <row r="203" spans="2:3" hidden="1">
      <c r="B203" s="110">
        <f t="shared" si="0"/>
        <v>2080</v>
      </c>
      <c r="C203" s="111">
        <f>[8]С2.5!$BM$11</f>
        <v>0</v>
      </c>
    </row>
    <row r="204" spans="2:3" hidden="1">
      <c r="B204" s="110">
        <f t="shared" si="0"/>
        <v>2081</v>
      </c>
      <c r="C204" s="111">
        <f>[8]С2.5!$BN$11</f>
        <v>0</v>
      </c>
    </row>
    <row r="205" spans="2:3" hidden="1">
      <c r="B205" s="110">
        <f t="shared" si="0"/>
        <v>2082</v>
      </c>
      <c r="C205" s="111">
        <f>[8]С2.5!$BO$11</f>
        <v>0</v>
      </c>
    </row>
    <row r="206" spans="2:3" hidden="1">
      <c r="B206" s="110">
        <f t="shared" si="0"/>
        <v>2083</v>
      </c>
      <c r="C206" s="111">
        <f>[8]С2.5!$BP$11</f>
        <v>0</v>
      </c>
    </row>
    <row r="207" spans="2:3" hidden="1">
      <c r="B207" s="110">
        <f t="shared" si="0"/>
        <v>2084</v>
      </c>
      <c r="C207" s="111">
        <f>[8]С2.5!$BQ$11</f>
        <v>0</v>
      </c>
    </row>
    <row r="208" spans="2:3" hidden="1">
      <c r="B208" s="110">
        <f t="shared" si="0"/>
        <v>2085</v>
      </c>
      <c r="C208" s="111">
        <f>[8]С2.5!$BR$11</f>
        <v>0</v>
      </c>
    </row>
    <row r="209" spans="2:3" hidden="1">
      <c r="B209" s="110">
        <f t="shared" ref="B209:B223" si="1">B208+1</f>
        <v>2086</v>
      </c>
      <c r="C209" s="111">
        <f>[8]С2.5!$BS$11</f>
        <v>0</v>
      </c>
    </row>
    <row r="210" spans="2:3" hidden="1">
      <c r="B210" s="110">
        <f t="shared" si="1"/>
        <v>2087</v>
      </c>
      <c r="C210" s="111">
        <f>[8]С2.5!$BT$11</f>
        <v>0</v>
      </c>
    </row>
    <row r="211" spans="2:3" hidden="1">
      <c r="B211" s="110">
        <f t="shared" si="1"/>
        <v>2088</v>
      </c>
      <c r="C211" s="111">
        <f>[8]С2.5!$BU$11</f>
        <v>0</v>
      </c>
    </row>
    <row r="212" spans="2:3" hidden="1">
      <c r="B212" s="110">
        <f t="shared" si="1"/>
        <v>2089</v>
      </c>
      <c r="C212" s="111">
        <f>[8]С2.5!$BV$11</f>
        <v>0</v>
      </c>
    </row>
    <row r="213" spans="2:3" hidden="1">
      <c r="B213" s="110">
        <f t="shared" si="1"/>
        <v>2090</v>
      </c>
      <c r="C213" s="111">
        <f>[8]С2.5!$BW$11</f>
        <v>0</v>
      </c>
    </row>
    <row r="214" spans="2:3" hidden="1">
      <c r="B214" s="110">
        <f t="shared" si="1"/>
        <v>2091</v>
      </c>
      <c r="C214" s="111">
        <f>[8]С2.5!$BX$11</f>
        <v>0</v>
      </c>
    </row>
    <row r="215" spans="2:3" hidden="1">
      <c r="B215" s="110">
        <f t="shared" si="1"/>
        <v>2092</v>
      </c>
      <c r="C215" s="111">
        <f>[8]С2.5!$BY$11</f>
        <v>0</v>
      </c>
    </row>
    <row r="216" spans="2:3" hidden="1">
      <c r="B216" s="110">
        <f t="shared" si="1"/>
        <v>2093</v>
      </c>
      <c r="C216" s="111">
        <f>[8]С2.5!$BZ$11</f>
        <v>0</v>
      </c>
    </row>
    <row r="217" spans="2:3" hidden="1">
      <c r="B217" s="110">
        <f t="shared" si="1"/>
        <v>2094</v>
      </c>
      <c r="C217" s="111">
        <f>[8]С2.5!$CA$11</f>
        <v>0</v>
      </c>
    </row>
    <row r="218" spans="2:3" hidden="1">
      <c r="B218" s="110">
        <f t="shared" si="1"/>
        <v>2095</v>
      </c>
      <c r="C218" s="111">
        <f>[8]С2.5!$CB$11</f>
        <v>0</v>
      </c>
    </row>
    <row r="219" spans="2:3" hidden="1">
      <c r="B219" s="110">
        <f t="shared" si="1"/>
        <v>2096</v>
      </c>
      <c r="C219" s="111">
        <f>[8]С2.5!$CC$11</f>
        <v>0</v>
      </c>
    </row>
    <row r="220" spans="2:3" hidden="1">
      <c r="B220" s="110">
        <f t="shared" si="1"/>
        <v>2097</v>
      </c>
      <c r="C220" s="111">
        <f>[8]С2.5!$CD$11</f>
        <v>0</v>
      </c>
    </row>
    <row r="221" spans="2:3" hidden="1">
      <c r="B221" s="110">
        <f t="shared" si="1"/>
        <v>2098</v>
      </c>
      <c r="C221" s="111">
        <f>[8]С2.5!$CE$11</f>
        <v>0</v>
      </c>
    </row>
    <row r="222" spans="2:3" hidden="1">
      <c r="B222" s="110">
        <f t="shared" si="1"/>
        <v>2099</v>
      </c>
      <c r="C222" s="111">
        <f>[8]С2.5!$CF$11</f>
        <v>0</v>
      </c>
    </row>
    <row r="223" spans="2:3" ht="13.5" hidden="1" thickBot="1">
      <c r="B223" s="112">
        <f t="shared" si="1"/>
        <v>2100</v>
      </c>
      <c r="C223" s="113">
        <f>[8]С2.5!$CG$11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print="0" autoFill="0" autoPict="0" macro="[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[9]И1!D13</f>
        <v>Субъект Российской Федерации</v>
      </c>
      <c r="C4" s="10" t="str">
        <f>[9]И1!E13</f>
        <v>Новосибирская область</v>
      </c>
    </row>
    <row r="5" spans="1:3" ht="38.25">
      <c r="A5" s="8"/>
      <c r="B5" s="9" t="str">
        <f>[9]И1!D14</f>
        <v>Тип муниципального образования (выберите из списка)</v>
      </c>
      <c r="C5" s="10" t="str">
        <f>[9]И1!E14</f>
        <v>село Индерь, Доволенский муниципальный район</v>
      </c>
    </row>
    <row r="6" spans="1:3">
      <c r="A6" s="8"/>
      <c r="B6" s="9" t="str">
        <f>IF([9]И1!E15="","",[9]И1!D15)</f>
        <v/>
      </c>
      <c r="C6" s="10" t="str">
        <f>IF([9]И1!E15="","",[9]И1!E15)</f>
        <v/>
      </c>
    </row>
    <row r="7" spans="1:3">
      <c r="A7" s="8"/>
      <c r="B7" s="9" t="str">
        <f>[9]И1!D16</f>
        <v>Код ОКТМО</v>
      </c>
      <c r="C7" s="11" t="str">
        <f>[9]И1!E16</f>
        <v>50610413101</v>
      </c>
    </row>
    <row r="8" spans="1:3">
      <c r="A8" s="8"/>
      <c r="B8" s="12" t="str">
        <f>[9]И1!D17</f>
        <v>Система теплоснабжения</v>
      </c>
      <c r="C8" s="13">
        <f>[9]И1!E17</f>
        <v>0</v>
      </c>
    </row>
    <row r="9" spans="1:3">
      <c r="A9" s="8"/>
      <c r="B9" s="9" t="str">
        <f>[9]И1!D8</f>
        <v>Период регулирования (i)-й</v>
      </c>
      <c r="C9" s="14">
        <f>[9]И1!E8</f>
        <v>2023</v>
      </c>
    </row>
    <row r="10" spans="1:3">
      <c r="A10" s="8"/>
      <c r="B10" s="9" t="str">
        <f>[9]И1!D9</f>
        <v>Период регулирования (i-1)-й</v>
      </c>
      <c r="C10" s="14">
        <f>[9]И1!E9</f>
        <v>2022</v>
      </c>
    </row>
    <row r="11" spans="1:3">
      <c r="A11" s="8"/>
      <c r="B11" s="9" t="str">
        <f>[9]И1!D10</f>
        <v>Период регулирования (i-2)-й</v>
      </c>
      <c r="C11" s="14">
        <f>[9]И1!E10</f>
        <v>2021</v>
      </c>
    </row>
    <row r="12" spans="1:3">
      <c r="A12" s="8"/>
      <c r="B12" s="9" t="str">
        <f>[9]И1!D11</f>
        <v>Базовый год (б)</v>
      </c>
      <c r="C12" s="14">
        <f>[9]И1!E11</f>
        <v>2019</v>
      </c>
    </row>
    <row r="13" spans="1:3" ht="38.25">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4132.5367341403125</v>
      </c>
    </row>
    <row r="18" spans="1:3" ht="42.75">
      <c r="A18" s="22" t="s">
        <v>8</v>
      </c>
      <c r="B18" s="25" t="s">
        <v>9</v>
      </c>
      <c r="C18" s="26">
        <f>[9]С1!F12</f>
        <v>1024.5213410101494</v>
      </c>
    </row>
    <row r="19" spans="1:3" ht="42.75">
      <c r="A19" s="22" t="s">
        <v>10</v>
      </c>
      <c r="B19" s="25" t="s">
        <v>11</v>
      </c>
      <c r="C19" s="26">
        <f>[9]С2!F12</f>
        <v>2105.0745921739249</v>
      </c>
    </row>
    <row r="20" spans="1:3" ht="30">
      <c r="A20" s="22" t="s">
        <v>12</v>
      </c>
      <c r="B20" s="25" t="s">
        <v>13</v>
      </c>
      <c r="C20" s="26">
        <f>[9]С3!F12</f>
        <v>503.57282204972699</v>
      </c>
    </row>
    <row r="21" spans="1:3" ht="42.75">
      <c r="A21" s="22" t="s">
        <v>14</v>
      </c>
      <c r="B21" s="25" t="s">
        <v>15</v>
      </c>
      <c r="C21" s="26">
        <f>[9]С4!F12</f>
        <v>418.33784686454447</v>
      </c>
    </row>
    <row r="22" spans="1:3" ht="30">
      <c r="A22" s="22" t="s">
        <v>16</v>
      </c>
      <c r="B22" s="25" t="s">
        <v>17</v>
      </c>
      <c r="C22" s="26">
        <f>[9]С5!F12</f>
        <v>81.030132041966922</v>
      </c>
    </row>
    <row r="23" spans="1:3" ht="43.5" thickBot="1">
      <c r="A23" s="27" t="s">
        <v>18</v>
      </c>
      <c r="B23" s="117" t="s">
        <v>19</v>
      </c>
      <c r="C23" s="28" t="str">
        <f>[9]С6!F12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[9]С1.1!E16</f>
        <v>5100</v>
      </c>
    </row>
    <row r="29" spans="1:3" ht="42.75">
      <c r="A29" s="22" t="s">
        <v>10</v>
      </c>
      <c r="B29" s="33" t="s">
        <v>22</v>
      </c>
      <c r="C29" s="34">
        <f>[9]С1.1!E27</f>
        <v>2754.7666666666664</v>
      </c>
    </row>
    <row r="30" spans="1:3" ht="17.25">
      <c r="A30" s="22" t="s">
        <v>12</v>
      </c>
      <c r="B30" s="33" t="s">
        <v>23</v>
      </c>
      <c r="C30" s="35">
        <f>[9]С1.1!E19</f>
        <v>0.59499999999999997</v>
      </c>
    </row>
    <row r="31" spans="1:3" ht="17.25">
      <c r="A31" s="22" t="s">
        <v>14</v>
      </c>
      <c r="B31" s="33" t="s">
        <v>24</v>
      </c>
      <c r="C31" s="35">
        <f>[9]С1.1!E20</f>
        <v>-0.113</v>
      </c>
    </row>
    <row r="32" spans="1:3" ht="30">
      <c r="A32" s="22" t="s">
        <v>16</v>
      </c>
      <c r="B32" s="36" t="s">
        <v>25</v>
      </c>
      <c r="C32" s="37">
        <f>[9]С1!F13</f>
        <v>176.4</v>
      </c>
    </row>
    <row r="33" spans="1:3">
      <c r="A33" s="22" t="s">
        <v>18</v>
      </c>
      <c r="B33" s="36" t="s">
        <v>26</v>
      </c>
      <c r="C33" s="38">
        <f>[9]С1!F16</f>
        <v>7000</v>
      </c>
    </row>
    <row r="34" spans="1:3" ht="14.25">
      <c r="A34" s="22" t="s">
        <v>27</v>
      </c>
      <c r="B34" s="39" t="s">
        <v>28</v>
      </c>
      <c r="C34" s="40">
        <f>[9]С1!F17</f>
        <v>0.72857142857142854</v>
      </c>
    </row>
    <row r="35" spans="1:3" ht="15.75">
      <c r="A35" s="41" t="s">
        <v>29</v>
      </c>
      <c r="B35" s="42" t="s">
        <v>30</v>
      </c>
      <c r="C35" s="40">
        <f>[9]С1!F20</f>
        <v>21.588411179999994</v>
      </c>
    </row>
    <row r="36" spans="1:3" ht="15.75">
      <c r="A36" s="41" t="s">
        <v>31</v>
      </c>
      <c r="B36" s="43" t="s">
        <v>32</v>
      </c>
      <c r="C36" s="40">
        <f>[9]С1!F21</f>
        <v>20.818139999999996</v>
      </c>
    </row>
    <row r="37" spans="1:3" ht="14.25">
      <c r="A37" s="41" t="s">
        <v>33</v>
      </c>
      <c r="B37" s="44" t="s">
        <v>34</v>
      </c>
      <c r="C37" s="40">
        <f>[9]С1!F22</f>
        <v>1.0369999999999999</v>
      </c>
    </row>
    <row r="38" spans="1:3" ht="53.25" thickBot="1">
      <c r="A38" s="27" t="s">
        <v>35</v>
      </c>
      <c r="B38" s="45" t="s">
        <v>36</v>
      </c>
      <c r="C38" s="46">
        <f>[9]С1!F23</f>
        <v>1.0469999999999999</v>
      </c>
    </row>
    <row r="39" spans="1:3" ht="13.5" thickBot="1">
      <c r="A39" s="47"/>
      <c r="B39" s="48"/>
      <c r="C39" s="49"/>
    </row>
    <row r="40" spans="1:3" ht="30" customHeight="1">
      <c r="A40" s="50" t="s">
        <v>37</v>
      </c>
      <c r="B40" s="118" t="s">
        <v>38</v>
      </c>
      <c r="C40" s="118"/>
    </row>
    <row r="41" spans="1:3" ht="25.5">
      <c r="A41" s="22" t="s">
        <v>39</v>
      </c>
      <c r="B41" s="36" t="s">
        <v>40</v>
      </c>
      <c r="C41" s="51" t="str">
        <f>[9]С2.1!E12</f>
        <v>V</v>
      </c>
    </row>
    <row r="42" spans="1:3" ht="25.5">
      <c r="A42" s="22" t="s">
        <v>41</v>
      </c>
      <c r="B42" s="33" t="s">
        <v>42</v>
      </c>
      <c r="C42" s="51" t="str">
        <f>[9]С2.1!E13</f>
        <v>6 и менее баллов</v>
      </c>
    </row>
    <row r="43" spans="1:3" ht="25.5">
      <c r="A43" s="22" t="s">
        <v>43</v>
      </c>
      <c r="B43" s="33" t="s">
        <v>44</v>
      </c>
      <c r="C43" s="51" t="str">
        <f>[9]С2.1!E14</f>
        <v>от 200 до 500</v>
      </c>
    </row>
    <row r="44" spans="1:3" ht="25.5">
      <c r="A44" s="22" t="s">
        <v>45</v>
      </c>
      <c r="B44" s="33" t="s">
        <v>46</v>
      </c>
      <c r="C44" s="52" t="str">
        <f>[9]С2.1!E15</f>
        <v>нет</v>
      </c>
    </row>
    <row r="45" spans="1:3" ht="30">
      <c r="A45" s="22" t="s">
        <v>47</v>
      </c>
      <c r="B45" s="33" t="s">
        <v>48</v>
      </c>
      <c r="C45" s="34">
        <f>[9]С2!F18</f>
        <v>32402.627334033532</v>
      </c>
    </row>
    <row r="46" spans="1:3" ht="30">
      <c r="A46" s="22" t="s">
        <v>49</v>
      </c>
      <c r="B46" s="53" t="s">
        <v>50</v>
      </c>
      <c r="C46" s="34">
        <f>IF([9]С2!F19&gt;0,[9]С2!F19,[9]С2!F20)</f>
        <v>23441.524932855718</v>
      </c>
    </row>
    <row r="47" spans="1:3" ht="25.5">
      <c r="A47" s="22" t="s">
        <v>51</v>
      </c>
      <c r="B47" s="54" t="s">
        <v>52</v>
      </c>
      <c r="C47" s="34">
        <f>[9]С2.1!E19</f>
        <v>-38</v>
      </c>
    </row>
    <row r="48" spans="1:3" ht="25.5">
      <c r="A48" s="22" t="s">
        <v>53</v>
      </c>
      <c r="B48" s="54" t="s">
        <v>54</v>
      </c>
      <c r="C48" s="34" t="str">
        <f>[9]С2.1!E22</f>
        <v>нет</v>
      </c>
    </row>
    <row r="49" spans="1:3" ht="38.25">
      <c r="A49" s="22" t="s">
        <v>55</v>
      </c>
      <c r="B49" s="55" t="s">
        <v>56</v>
      </c>
      <c r="C49" s="34">
        <f>[9]С2.2!E10</f>
        <v>1287</v>
      </c>
    </row>
    <row r="50" spans="1:3" ht="25.5">
      <c r="A50" s="22" t="s">
        <v>57</v>
      </c>
      <c r="B50" s="56" t="s">
        <v>58</v>
      </c>
      <c r="C50" s="34">
        <f>[9]С2.2!E12</f>
        <v>5.97</v>
      </c>
    </row>
    <row r="51" spans="1:3" ht="52.5">
      <c r="A51" s="22" t="s">
        <v>59</v>
      </c>
      <c r="B51" s="57" t="s">
        <v>60</v>
      </c>
      <c r="C51" s="34">
        <f>[9]С2.2!E13</f>
        <v>1</v>
      </c>
    </row>
    <row r="52" spans="1:3" ht="27.75">
      <c r="A52" s="22" t="s">
        <v>61</v>
      </c>
      <c r="B52" s="56" t="s">
        <v>62</v>
      </c>
      <c r="C52" s="34">
        <f>[9]С2.2!E14</f>
        <v>12104</v>
      </c>
    </row>
    <row r="53" spans="1:3" ht="25.5">
      <c r="A53" s="22" t="s">
        <v>63</v>
      </c>
      <c r="B53" s="57" t="s">
        <v>64</v>
      </c>
      <c r="C53" s="35">
        <f>[9]С2.2!E15</f>
        <v>4.8000000000000001E-2</v>
      </c>
    </row>
    <row r="54" spans="1:3">
      <c r="A54" s="22" t="s">
        <v>65</v>
      </c>
      <c r="B54" s="57" t="s">
        <v>66</v>
      </c>
      <c r="C54" s="34">
        <f>[9]С2.2!E16</f>
        <v>1</v>
      </c>
    </row>
    <row r="55" spans="1:3" ht="15.75">
      <c r="A55" s="22" t="s">
        <v>67</v>
      </c>
      <c r="B55" s="58" t="s">
        <v>68</v>
      </c>
      <c r="C55" s="34">
        <f>[9]С2!F21</f>
        <v>1</v>
      </c>
    </row>
    <row r="56" spans="1:3" ht="30">
      <c r="A56" s="59" t="s">
        <v>69</v>
      </c>
      <c r="B56" s="33" t="s">
        <v>70</v>
      </c>
      <c r="C56" s="34">
        <f>[9]С2!F13</f>
        <v>169640.22915965237</v>
      </c>
    </row>
    <row r="57" spans="1:3" ht="30">
      <c r="A57" s="59" t="s">
        <v>71</v>
      </c>
      <c r="B57" s="58" t="s">
        <v>72</v>
      </c>
      <c r="C57" s="34">
        <f>[9]С2!F14</f>
        <v>113455</v>
      </c>
    </row>
    <row r="58" spans="1:3" ht="15.75">
      <c r="A58" s="59" t="s">
        <v>73</v>
      </c>
      <c r="B58" s="60" t="s">
        <v>74</v>
      </c>
      <c r="C58" s="40">
        <f>[9]С2!F15</f>
        <v>1.071</v>
      </c>
    </row>
    <row r="59" spans="1:3" ht="15.75">
      <c r="A59" s="59" t="s">
        <v>75</v>
      </c>
      <c r="B59" s="60" t="s">
        <v>76</v>
      </c>
      <c r="C59" s="40">
        <f>[9]С2!F16</f>
        <v>1</v>
      </c>
    </row>
    <row r="60" spans="1:3" ht="17.25">
      <c r="A60" s="59" t="s">
        <v>77</v>
      </c>
      <c r="B60" s="58" t="s">
        <v>78</v>
      </c>
      <c r="C60" s="34">
        <f>[9]С2!F17</f>
        <v>1.01</v>
      </c>
    </row>
    <row r="61" spans="1:3" s="63" customFormat="1" ht="14.25">
      <c r="A61" s="59" t="s">
        <v>79</v>
      </c>
      <c r="B61" s="61" t="s">
        <v>80</v>
      </c>
      <c r="C61" s="62">
        <f>[9]С2!F33</f>
        <v>10</v>
      </c>
    </row>
    <row r="62" spans="1:3" ht="30">
      <c r="A62" s="59" t="s">
        <v>81</v>
      </c>
      <c r="B62" s="64" t="s">
        <v>82</v>
      </c>
      <c r="C62" s="34">
        <f>[9]С2!F26</f>
        <v>1012.1091133444331</v>
      </c>
    </row>
    <row r="63" spans="1:3" ht="17.25">
      <c r="A63" s="59" t="s">
        <v>83</v>
      </c>
      <c r="B63" s="53" t="s">
        <v>84</v>
      </c>
      <c r="C63" s="34">
        <f>[9]С2!F27</f>
        <v>0.17433463600000002</v>
      </c>
    </row>
    <row r="64" spans="1:3" ht="17.25">
      <c r="A64" s="59" t="s">
        <v>85</v>
      </c>
      <c r="B64" s="58" t="s">
        <v>86</v>
      </c>
      <c r="C64" s="62">
        <f>[9]С2!F28</f>
        <v>4200</v>
      </c>
    </row>
    <row r="65" spans="1:3" ht="42.75">
      <c r="A65" s="59" t="s">
        <v>87</v>
      </c>
      <c r="B65" s="33" t="s">
        <v>88</v>
      </c>
      <c r="C65" s="34">
        <f>[9]С2!F22</f>
        <v>35717.748653137714</v>
      </c>
    </row>
    <row r="66" spans="1:3" ht="30">
      <c r="A66" s="59" t="s">
        <v>89</v>
      </c>
      <c r="B66" s="60" t="s">
        <v>90</v>
      </c>
      <c r="C66" s="34">
        <f>[9]С2!F23</f>
        <v>1990</v>
      </c>
    </row>
    <row r="67" spans="1:3" ht="30">
      <c r="A67" s="59" t="s">
        <v>91</v>
      </c>
      <c r="B67" s="53" t="s">
        <v>92</v>
      </c>
      <c r="C67" s="34">
        <f>[9]С2.1!E27</f>
        <v>14307.876789999998</v>
      </c>
    </row>
    <row r="68" spans="1:3" ht="38.25">
      <c r="A68" s="59" t="s">
        <v>93</v>
      </c>
      <c r="B68" s="65" t="s">
        <v>94</v>
      </c>
      <c r="C68" s="52">
        <f>[9]С2.3!E21</f>
        <v>0</v>
      </c>
    </row>
    <row r="69" spans="1:3" ht="25.5">
      <c r="A69" s="59" t="s">
        <v>95</v>
      </c>
      <c r="B69" s="66" t="s">
        <v>96</v>
      </c>
      <c r="C69" s="67">
        <f>[9]С2.3!E11</f>
        <v>9.89</v>
      </c>
    </row>
    <row r="70" spans="1:3" ht="25.5">
      <c r="A70" s="59" t="s">
        <v>97</v>
      </c>
      <c r="B70" s="66" t="s">
        <v>98</v>
      </c>
      <c r="C70" s="62">
        <f>[9]С2.3!E13</f>
        <v>300</v>
      </c>
    </row>
    <row r="71" spans="1:3" ht="25.5">
      <c r="A71" s="59" t="s">
        <v>99</v>
      </c>
      <c r="B71" s="65" t="s">
        <v>100</v>
      </c>
      <c r="C71" s="68">
        <f>IF([9]С2.3!E22&gt;0,[9]С2.3!E22,[9]С2.3!E14)</f>
        <v>61211</v>
      </c>
    </row>
    <row r="72" spans="1:3" ht="38.25">
      <c r="A72" s="59" t="s">
        <v>101</v>
      </c>
      <c r="B72" s="65" t="s">
        <v>102</v>
      </c>
      <c r="C72" s="68">
        <f>IF([9]С2.3!E23&gt;0,[9]С2.3!E23,[9]С2.3!E15)</f>
        <v>45675</v>
      </c>
    </row>
    <row r="73" spans="1:3" ht="30">
      <c r="A73" s="59" t="s">
        <v>103</v>
      </c>
      <c r="B73" s="53" t="s">
        <v>104</v>
      </c>
      <c r="C73" s="34">
        <f>[9]С2.1!E28</f>
        <v>9541.9567200000001</v>
      </c>
    </row>
    <row r="74" spans="1:3" ht="38.25">
      <c r="A74" s="59" t="s">
        <v>105</v>
      </c>
      <c r="B74" s="65" t="s">
        <v>106</v>
      </c>
      <c r="C74" s="52">
        <f>[9]С2.3!E25</f>
        <v>0</v>
      </c>
    </row>
    <row r="75" spans="1:3" ht="25.5">
      <c r="A75" s="59" t="s">
        <v>107</v>
      </c>
      <c r="B75" s="66" t="s">
        <v>108</v>
      </c>
      <c r="C75" s="67">
        <f>[9]С2.3!E12</f>
        <v>0.56000000000000005</v>
      </c>
    </row>
    <row r="76" spans="1:3" ht="25.5">
      <c r="A76" s="59" t="s">
        <v>109</v>
      </c>
      <c r="B76" s="66" t="s">
        <v>98</v>
      </c>
      <c r="C76" s="62">
        <f>[9]С2.3!E13</f>
        <v>300</v>
      </c>
    </row>
    <row r="77" spans="1:3" ht="25.5">
      <c r="A77" s="59" t="s">
        <v>110</v>
      </c>
      <c r="B77" s="69" t="s">
        <v>111</v>
      </c>
      <c r="C77" s="68">
        <f>IF([9]С2.3!E26&gt;0,[9]С2.3!E26,[9]С2.3!E16)</f>
        <v>65637</v>
      </c>
    </row>
    <row r="78" spans="1:3" ht="38.25">
      <c r="A78" s="59" t="s">
        <v>112</v>
      </c>
      <c r="B78" s="69" t="s">
        <v>113</v>
      </c>
      <c r="C78" s="68">
        <f>IF([9]С2.3!E27&gt;0,[9]С2.3!E27,[9]С2.3!E17)</f>
        <v>31684</v>
      </c>
    </row>
    <row r="79" spans="1:3" ht="17.25">
      <c r="A79" s="59" t="s">
        <v>114</v>
      </c>
      <c r="B79" s="33" t="s">
        <v>115</v>
      </c>
      <c r="C79" s="35">
        <f>[9]С2!F29</f>
        <v>0.128978033685065</v>
      </c>
    </row>
    <row r="80" spans="1:3" ht="30">
      <c r="A80" s="59" t="s">
        <v>116</v>
      </c>
      <c r="B80" s="53" t="s">
        <v>117</v>
      </c>
      <c r="C80" s="70">
        <f>[9]С2!F30</f>
        <v>0.11668498168498169</v>
      </c>
    </row>
    <row r="81" spans="1:3" ht="17.25">
      <c r="A81" s="59" t="s">
        <v>118</v>
      </c>
      <c r="B81" s="71" t="s">
        <v>119</v>
      </c>
      <c r="C81" s="35">
        <f>[9]С2!F31</f>
        <v>0.13880000000000001</v>
      </c>
    </row>
    <row r="82" spans="1:3" s="63" customFormat="1" ht="18" thickBot="1">
      <c r="A82" s="72" t="s">
        <v>120</v>
      </c>
      <c r="B82" s="73" t="s">
        <v>121</v>
      </c>
      <c r="C82" s="74">
        <f>[9]С2!F32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[9]С3!F14</f>
        <v>6993.2576401328561</v>
      </c>
    </row>
    <row r="86" spans="1:3" s="63" customFormat="1" ht="42.75">
      <c r="A86" s="77" t="s">
        <v>126</v>
      </c>
      <c r="B86" s="53" t="s">
        <v>127</v>
      </c>
      <c r="C86" s="78">
        <f>[9]С3!F15</f>
        <v>0.2</v>
      </c>
    </row>
    <row r="87" spans="1:3" s="63" customFormat="1" ht="14.25">
      <c r="A87" s="77" t="s">
        <v>128</v>
      </c>
      <c r="B87" s="79" t="s">
        <v>129</v>
      </c>
      <c r="C87" s="62">
        <f>[9]С3!F18</f>
        <v>15</v>
      </c>
    </row>
    <row r="88" spans="1:3" s="63" customFormat="1" ht="17.25">
      <c r="A88" s="77" t="s">
        <v>130</v>
      </c>
      <c r="B88" s="33" t="s">
        <v>131</v>
      </c>
      <c r="C88" s="34">
        <f>[9]С3!F19</f>
        <v>3487.1555421534131</v>
      </c>
    </row>
    <row r="89" spans="1:3" s="63" customFormat="1" ht="55.5">
      <c r="A89" s="77" t="s">
        <v>132</v>
      </c>
      <c r="B89" s="53" t="s">
        <v>133</v>
      </c>
      <c r="C89" s="80">
        <f>[9]С3!F20</f>
        <v>2.1999999999999999E-2</v>
      </c>
    </row>
    <row r="90" spans="1:3" s="63" customFormat="1" ht="14.25">
      <c r="A90" s="77" t="s">
        <v>134</v>
      </c>
      <c r="B90" s="58" t="s">
        <v>80</v>
      </c>
      <c r="C90" s="62">
        <f>[9]С3!F21</f>
        <v>10</v>
      </c>
    </row>
    <row r="91" spans="1:3" s="63" customFormat="1" ht="17.25">
      <c r="A91" s="77" t="s">
        <v>135</v>
      </c>
      <c r="B91" s="33" t="s">
        <v>136</v>
      </c>
      <c r="C91" s="34">
        <f>[9]С3!F22</f>
        <v>3.0363273400332993</v>
      </c>
    </row>
    <row r="92" spans="1:3" s="63" customFormat="1" ht="55.5">
      <c r="A92" s="77" t="s">
        <v>137</v>
      </c>
      <c r="B92" s="53" t="s">
        <v>138</v>
      </c>
      <c r="C92" s="80">
        <f>[9]С3!F23</f>
        <v>3.0000000000000001E-3</v>
      </c>
    </row>
    <row r="93" spans="1:3" s="63" customFormat="1" ht="27.75" thickBot="1">
      <c r="A93" s="81" t="s">
        <v>139</v>
      </c>
      <c r="B93" s="82" t="s">
        <v>140</v>
      </c>
      <c r="C93" s="83">
        <f>[9]С3!F24</f>
        <v>1012.1091133444331</v>
      </c>
    </row>
    <row r="94" spans="1:3" ht="13.5" thickBot="1">
      <c r="A94" s="47"/>
      <c r="B94" s="75"/>
      <c r="C94" s="15"/>
    </row>
    <row r="95" spans="1:3" ht="30" customHeight="1">
      <c r="A95" s="84" t="s">
        <v>141</v>
      </c>
      <c r="B95" s="118" t="s">
        <v>142</v>
      </c>
      <c r="C95" s="118"/>
    </row>
    <row r="96" spans="1:3" ht="30">
      <c r="A96" s="59" t="s">
        <v>143</v>
      </c>
      <c r="B96" s="33" t="s">
        <v>144</v>
      </c>
      <c r="C96" s="34">
        <f>[9]С4!F16</f>
        <v>1652.5</v>
      </c>
    </row>
    <row r="97" spans="1:3" ht="30">
      <c r="A97" s="59" t="s">
        <v>145</v>
      </c>
      <c r="B97" s="58" t="s">
        <v>146</v>
      </c>
      <c r="C97" s="34">
        <f>[9]С4!F17</f>
        <v>73547</v>
      </c>
    </row>
    <row r="98" spans="1:3" ht="17.25">
      <c r="A98" s="59" t="s">
        <v>147</v>
      </c>
      <c r="B98" s="58" t="s">
        <v>148</v>
      </c>
      <c r="C98" s="40">
        <f>[9]С4!F18</f>
        <v>0.02</v>
      </c>
    </row>
    <row r="99" spans="1:3" ht="30">
      <c r="A99" s="59" t="s">
        <v>149</v>
      </c>
      <c r="B99" s="58" t="s">
        <v>150</v>
      </c>
      <c r="C99" s="34">
        <f>[9]С4!F19</f>
        <v>12104</v>
      </c>
    </row>
    <row r="100" spans="1:3" ht="31.5">
      <c r="A100" s="59" t="s">
        <v>151</v>
      </c>
      <c r="B100" s="58" t="s">
        <v>152</v>
      </c>
      <c r="C100" s="40">
        <f>[9]С4!F20</f>
        <v>1.4999999999999999E-2</v>
      </c>
    </row>
    <row r="101" spans="1:3" ht="30">
      <c r="A101" s="59" t="s">
        <v>153</v>
      </c>
      <c r="B101" s="33" t="s">
        <v>154</v>
      </c>
      <c r="C101" s="34">
        <f>[9]С4!F21</f>
        <v>1933.1949342509995</v>
      </c>
    </row>
    <row r="102" spans="1:3" ht="24" customHeight="1">
      <c r="A102" s="59" t="s">
        <v>155</v>
      </c>
      <c r="B102" s="53" t="s">
        <v>156</v>
      </c>
      <c r="C102" s="85">
        <f>IF([9]С4.2!F8="да",[9]С4.2!D21,[9]С4.2!D15)</f>
        <v>0</v>
      </c>
    </row>
    <row r="103" spans="1:3" ht="68.25">
      <c r="A103" s="59" t="s">
        <v>157</v>
      </c>
      <c r="B103" s="53" t="s">
        <v>158</v>
      </c>
      <c r="C103" s="34">
        <f>[9]С4!F22</f>
        <v>3.6112641666666665</v>
      </c>
    </row>
    <row r="104" spans="1:3" ht="30">
      <c r="A104" s="59" t="s">
        <v>159</v>
      </c>
      <c r="B104" s="58" t="s">
        <v>160</v>
      </c>
      <c r="C104" s="34">
        <f>[9]С4!F23</f>
        <v>180</v>
      </c>
    </row>
    <row r="105" spans="1:3" ht="14.25">
      <c r="A105" s="59" t="s">
        <v>161</v>
      </c>
      <c r="B105" s="53" t="s">
        <v>162</v>
      </c>
      <c r="C105" s="34">
        <f>[9]С4!F24</f>
        <v>8497.1999999999989</v>
      </c>
    </row>
    <row r="106" spans="1:3" ht="14.25">
      <c r="A106" s="59" t="s">
        <v>163</v>
      </c>
      <c r="B106" s="58" t="s">
        <v>164</v>
      </c>
      <c r="C106" s="40">
        <f>[9]С4!F25</f>
        <v>0.35</v>
      </c>
    </row>
    <row r="107" spans="1:3" ht="17.25">
      <c r="A107" s="59" t="s">
        <v>165</v>
      </c>
      <c r="B107" s="33" t="s">
        <v>166</v>
      </c>
      <c r="C107" s="34">
        <f>[9]С4!F26</f>
        <v>64.381889999999999</v>
      </c>
    </row>
    <row r="108" spans="1:3" ht="25.5">
      <c r="A108" s="59" t="s">
        <v>167</v>
      </c>
      <c r="B108" s="53" t="s">
        <v>94</v>
      </c>
      <c r="C108" s="85">
        <f>[9]С4.3!E16</f>
        <v>0</v>
      </c>
    </row>
    <row r="109" spans="1:3" ht="25.5">
      <c r="A109" s="59" t="s">
        <v>168</v>
      </c>
      <c r="B109" s="53" t="s">
        <v>169</v>
      </c>
      <c r="C109" s="34">
        <f>[9]С4.3!E17</f>
        <v>16.829999999999998</v>
      </c>
    </row>
    <row r="110" spans="1:3" ht="38.25">
      <c r="A110" s="59" t="s">
        <v>170</v>
      </c>
      <c r="B110" s="53" t="s">
        <v>106</v>
      </c>
      <c r="C110" s="85">
        <f>[9]С4.3!E18</f>
        <v>0</v>
      </c>
    </row>
    <row r="111" spans="1:3">
      <c r="A111" s="59" t="s">
        <v>171</v>
      </c>
      <c r="B111" s="53" t="s">
        <v>172</v>
      </c>
      <c r="C111" s="34">
        <f>[9]С4.3!E19</f>
        <v>26.27</v>
      </c>
    </row>
    <row r="112" spans="1:3">
      <c r="A112" s="59" t="s">
        <v>173</v>
      </c>
      <c r="B112" s="58" t="s">
        <v>174</v>
      </c>
      <c r="C112" s="34">
        <f>[9]С4.3!E11</f>
        <v>1871</v>
      </c>
    </row>
    <row r="113" spans="1:3">
      <c r="A113" s="59" t="s">
        <v>175</v>
      </c>
      <c r="B113" s="58" t="s">
        <v>176</v>
      </c>
      <c r="C113" s="52">
        <f>[9]С4.3!E12</f>
        <v>1636</v>
      </c>
    </row>
    <row r="114" spans="1:3">
      <c r="A114" s="59" t="s">
        <v>177</v>
      </c>
      <c r="B114" s="58" t="s">
        <v>178</v>
      </c>
      <c r="C114" s="52">
        <f>[9]С4.3!E13</f>
        <v>204</v>
      </c>
    </row>
    <row r="115" spans="1:3" ht="30">
      <c r="A115" s="59" t="s">
        <v>179</v>
      </c>
      <c r="B115" s="33" t="s">
        <v>180</v>
      </c>
      <c r="C115" s="34">
        <f>[9]С4!F27</f>
        <v>1040.8858115370676</v>
      </c>
    </row>
    <row r="116" spans="1:3" ht="25.5">
      <c r="A116" s="59" t="s">
        <v>181</v>
      </c>
      <c r="B116" s="53" t="s">
        <v>182</v>
      </c>
      <c r="C116" s="34">
        <f>[9]С4!F28</f>
        <v>799.45146815442979</v>
      </c>
    </row>
    <row r="117" spans="1:3" ht="42.75">
      <c r="A117" s="59" t="s">
        <v>183</v>
      </c>
      <c r="B117" s="53" t="s">
        <v>184</v>
      </c>
      <c r="C117" s="34">
        <f>[9]С4!F29</f>
        <v>241.43434338263785</v>
      </c>
    </row>
    <row r="118" spans="1:3" ht="30">
      <c r="A118" s="59" t="s">
        <v>185</v>
      </c>
      <c r="B118" s="39" t="s">
        <v>186</v>
      </c>
      <c r="C118" s="34">
        <f>[9]С4!F30</f>
        <v>2224.8167951883665</v>
      </c>
    </row>
    <row r="119" spans="1:3" ht="42.75">
      <c r="A119" s="59" t="s">
        <v>187</v>
      </c>
      <c r="B119" s="86" t="s">
        <v>188</v>
      </c>
      <c r="C119" s="34">
        <f>[9]С4!F33</f>
        <v>1510.044690709592</v>
      </c>
    </row>
    <row r="120" spans="1:3" ht="30">
      <c r="A120" s="59" t="s">
        <v>189</v>
      </c>
      <c r="B120" s="87" t="s">
        <v>190</v>
      </c>
      <c r="C120" s="34">
        <f>[9]С4!F35</f>
        <v>17.040680999999999</v>
      </c>
    </row>
    <row r="121" spans="1:3" ht="14.25">
      <c r="A121" s="59" t="s">
        <v>191</v>
      </c>
      <c r="B121" s="56" t="s">
        <v>192</v>
      </c>
      <c r="C121" s="34">
        <f>[9]С4!F36</f>
        <v>14319.9</v>
      </c>
    </row>
    <row r="122" spans="1:3" ht="28.5" thickBot="1">
      <c r="A122" s="72" t="s">
        <v>193</v>
      </c>
      <c r="B122" s="88" t="s">
        <v>194</v>
      </c>
      <c r="C122" s="83">
        <f>[9]С4!F37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[9]С5!F17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[9]С2!F37</f>
        <v>20.818139999999996</v>
      </c>
    </row>
    <row r="136" spans="1:4" ht="14.25">
      <c r="A136" s="59" t="s">
        <v>216</v>
      </c>
      <c r="B136" s="101" t="s">
        <v>217</v>
      </c>
      <c r="C136" s="34">
        <f>[9]С2!F38</f>
        <v>7</v>
      </c>
    </row>
    <row r="137" spans="1:4" ht="17.25">
      <c r="A137" s="59" t="s">
        <v>218</v>
      </c>
      <c r="B137" s="101" t="s">
        <v>219</v>
      </c>
      <c r="C137" s="34">
        <f>[9]С2!F40</f>
        <v>0.97</v>
      </c>
    </row>
    <row r="138" spans="1:4" ht="15" thickBot="1">
      <c r="A138" s="72" t="s">
        <v>220</v>
      </c>
      <c r="B138" s="102" t="s">
        <v>221</v>
      </c>
      <c r="C138" s="46">
        <f>[9]С2!F42</f>
        <v>0.35</v>
      </c>
    </row>
    <row r="139" spans="1:4" s="89" customFormat="1" ht="13.5" thickBot="1">
      <c r="A139" s="47"/>
      <c r="B139" s="75"/>
      <c r="C139" s="15"/>
    </row>
    <row r="140" spans="1:4" ht="30">
      <c r="A140" s="84" t="s">
        <v>222</v>
      </c>
      <c r="B140" s="103" t="s">
        <v>223</v>
      </c>
      <c r="C140" s="104">
        <f>[9]С2!F35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[9]С2.5!$E$11</f>
        <v>-2.9000000000000026E-2</v>
      </c>
      <c r="D143" s="89"/>
    </row>
    <row r="144" spans="1:4">
      <c r="A144" s="105"/>
      <c r="B144" s="110">
        <f>B143+1</f>
        <v>2021</v>
      </c>
      <c r="C144" s="111">
        <f>[9]С2.5!$F$11</f>
        <v>0.245</v>
      </c>
      <c r="D144" s="89"/>
    </row>
    <row r="145" spans="1:4">
      <c r="A145" s="105"/>
      <c r="B145" s="110">
        <f t="shared" ref="B145:B208" si="0">B144+1</f>
        <v>2022</v>
      </c>
      <c r="C145" s="111">
        <f>[9]С2.5!$G$11</f>
        <v>0.121</v>
      </c>
      <c r="D145" s="89"/>
    </row>
    <row r="146" spans="1:4" ht="13.5" thickBot="1">
      <c r="A146" s="105"/>
      <c r="B146" s="112">
        <f t="shared" si="0"/>
        <v>2023</v>
      </c>
      <c r="C146" s="113">
        <f>[9]С2.5!$H$11</f>
        <v>0.02</v>
      </c>
      <c r="D146" s="89"/>
    </row>
    <row r="147" spans="1:4" hidden="1">
      <c r="A147" s="105"/>
      <c r="B147" s="114">
        <f t="shared" si="0"/>
        <v>2024</v>
      </c>
      <c r="C147" s="115">
        <f>[9]С2.5!$I$11</f>
        <v>-2.93E-2</v>
      </c>
      <c r="D147" s="89"/>
    </row>
    <row r="148" spans="1:4" hidden="1">
      <c r="A148" s="105"/>
      <c r="B148" s="110">
        <f t="shared" si="0"/>
        <v>2025</v>
      </c>
      <c r="C148" s="111">
        <f>[9]С2.5!$J$11</f>
        <v>0.21215960863291</v>
      </c>
      <c r="D148" s="89"/>
    </row>
    <row r="149" spans="1:4" hidden="1">
      <c r="A149" s="105"/>
      <c r="B149" s="110">
        <f t="shared" si="0"/>
        <v>2026</v>
      </c>
      <c r="C149" s="111">
        <f>[9]С2.5!$K$11</f>
        <v>3.5813361771260002E-2</v>
      </c>
      <c r="D149" s="89"/>
    </row>
    <row r="150" spans="1:4" hidden="1">
      <c r="A150" s="105"/>
      <c r="B150" s="110">
        <f t="shared" si="0"/>
        <v>2027</v>
      </c>
      <c r="C150" s="111">
        <f>[9]С2.5!$L$11</f>
        <v>3.2682303599220003E-2</v>
      </c>
      <c r="D150" s="89"/>
    </row>
    <row r="151" spans="1:4" hidden="1">
      <c r="A151" s="105"/>
      <c r="B151" s="110">
        <f t="shared" si="0"/>
        <v>2028</v>
      </c>
      <c r="C151" s="111">
        <f>[9]С2.5!$M$11</f>
        <v>0</v>
      </c>
      <c r="D151" s="89"/>
    </row>
    <row r="152" spans="1:4" hidden="1">
      <c r="A152" s="105"/>
      <c r="B152" s="110">
        <f t="shared" si="0"/>
        <v>2029</v>
      </c>
      <c r="C152" s="111">
        <f>[9]С2.5!$N$11</f>
        <v>0</v>
      </c>
      <c r="D152" s="89"/>
    </row>
    <row r="153" spans="1:4" hidden="1">
      <c r="A153" s="105"/>
      <c r="B153" s="110">
        <f t="shared" si="0"/>
        <v>2030</v>
      </c>
      <c r="C153" s="111">
        <f>[9]С2.5!$O$11</f>
        <v>0</v>
      </c>
      <c r="D153" s="89"/>
    </row>
    <row r="154" spans="1:4" hidden="1">
      <c r="A154" s="105"/>
      <c r="B154" s="110">
        <f t="shared" si="0"/>
        <v>2031</v>
      </c>
      <c r="C154" s="111">
        <f>[9]С2.5!$P$11</f>
        <v>0</v>
      </c>
      <c r="D154" s="89"/>
    </row>
    <row r="155" spans="1:4" hidden="1">
      <c r="A155" s="89"/>
      <c r="B155" s="110">
        <f t="shared" si="0"/>
        <v>2032</v>
      </c>
      <c r="C155" s="111">
        <f>[9]С2.5!$Q$11</f>
        <v>0</v>
      </c>
      <c r="D155" s="89"/>
    </row>
    <row r="156" spans="1:4" hidden="1">
      <c r="A156" s="89"/>
      <c r="B156" s="110">
        <f t="shared" si="0"/>
        <v>2033</v>
      </c>
      <c r="C156" s="111">
        <f>[9]С2.5!$R$11</f>
        <v>0</v>
      </c>
      <c r="D156" s="89"/>
    </row>
    <row r="157" spans="1:4" hidden="1">
      <c r="B157" s="110">
        <f t="shared" si="0"/>
        <v>2034</v>
      </c>
      <c r="C157" s="111">
        <f>[9]С2.5!$S$11</f>
        <v>0</v>
      </c>
    </row>
    <row r="158" spans="1:4" hidden="1">
      <c r="B158" s="110">
        <f t="shared" si="0"/>
        <v>2035</v>
      </c>
      <c r="C158" s="111">
        <f>[9]С2.5!$T$11</f>
        <v>0</v>
      </c>
    </row>
    <row r="159" spans="1:4" hidden="1">
      <c r="B159" s="110">
        <f t="shared" si="0"/>
        <v>2036</v>
      </c>
      <c r="C159" s="111">
        <f>[9]С2.5!$U$11</f>
        <v>0</v>
      </c>
    </row>
    <row r="160" spans="1:4" hidden="1">
      <c r="B160" s="110">
        <f t="shared" si="0"/>
        <v>2037</v>
      </c>
      <c r="C160" s="111">
        <f>[9]С2.5!$V$11</f>
        <v>0</v>
      </c>
    </row>
    <row r="161" spans="2:3" hidden="1">
      <c r="B161" s="110">
        <f t="shared" si="0"/>
        <v>2038</v>
      </c>
      <c r="C161" s="111">
        <f>[9]С2.5!$W$11</f>
        <v>0</v>
      </c>
    </row>
    <row r="162" spans="2:3" hidden="1">
      <c r="B162" s="110">
        <f t="shared" si="0"/>
        <v>2039</v>
      </c>
      <c r="C162" s="111">
        <f>[9]С2.5!$X$11</f>
        <v>0</v>
      </c>
    </row>
    <row r="163" spans="2:3" hidden="1">
      <c r="B163" s="110">
        <f t="shared" si="0"/>
        <v>2040</v>
      </c>
      <c r="C163" s="111">
        <f>[9]С2.5!$Y$11</f>
        <v>0</v>
      </c>
    </row>
    <row r="164" spans="2:3" hidden="1">
      <c r="B164" s="110">
        <f t="shared" si="0"/>
        <v>2041</v>
      </c>
      <c r="C164" s="111">
        <f>[9]С2.5!$Z$11</f>
        <v>0</v>
      </c>
    </row>
    <row r="165" spans="2:3" hidden="1">
      <c r="B165" s="110">
        <f t="shared" si="0"/>
        <v>2042</v>
      </c>
      <c r="C165" s="111">
        <f>[9]С2.5!$AA$11</f>
        <v>0</v>
      </c>
    </row>
    <row r="166" spans="2:3" hidden="1">
      <c r="B166" s="110">
        <f t="shared" si="0"/>
        <v>2043</v>
      </c>
      <c r="C166" s="111">
        <f>[9]С2.5!$AB$11</f>
        <v>0</v>
      </c>
    </row>
    <row r="167" spans="2:3" hidden="1">
      <c r="B167" s="110">
        <f t="shared" si="0"/>
        <v>2044</v>
      </c>
      <c r="C167" s="111">
        <f>[9]С2.5!$AC$11</f>
        <v>0</v>
      </c>
    </row>
    <row r="168" spans="2:3" hidden="1">
      <c r="B168" s="110">
        <f t="shared" si="0"/>
        <v>2045</v>
      </c>
      <c r="C168" s="111">
        <f>[9]С2.5!$AD$11</f>
        <v>0</v>
      </c>
    </row>
    <row r="169" spans="2:3" hidden="1">
      <c r="B169" s="110">
        <f t="shared" si="0"/>
        <v>2046</v>
      </c>
      <c r="C169" s="111">
        <f>[9]С2.5!$AE$11</f>
        <v>0</v>
      </c>
    </row>
    <row r="170" spans="2:3" hidden="1">
      <c r="B170" s="110">
        <f t="shared" si="0"/>
        <v>2047</v>
      </c>
      <c r="C170" s="111">
        <f>[9]С2.5!$AF$11</f>
        <v>0</v>
      </c>
    </row>
    <row r="171" spans="2:3" hidden="1">
      <c r="B171" s="110">
        <f t="shared" si="0"/>
        <v>2048</v>
      </c>
      <c r="C171" s="111">
        <f>[9]С2.5!$AG$11</f>
        <v>0</v>
      </c>
    </row>
    <row r="172" spans="2:3" hidden="1">
      <c r="B172" s="110">
        <f t="shared" si="0"/>
        <v>2049</v>
      </c>
      <c r="C172" s="111">
        <f>[9]С2.5!$AH$11</f>
        <v>0</v>
      </c>
    </row>
    <row r="173" spans="2:3" hidden="1">
      <c r="B173" s="110">
        <f t="shared" si="0"/>
        <v>2050</v>
      </c>
      <c r="C173" s="111">
        <f>[9]С2.5!$AI$11</f>
        <v>0</v>
      </c>
    </row>
    <row r="174" spans="2:3" hidden="1">
      <c r="B174" s="110">
        <f t="shared" si="0"/>
        <v>2051</v>
      </c>
      <c r="C174" s="111">
        <f>[9]С2.5!$AJ$11</f>
        <v>0</v>
      </c>
    </row>
    <row r="175" spans="2:3" hidden="1">
      <c r="B175" s="110">
        <f t="shared" si="0"/>
        <v>2052</v>
      </c>
      <c r="C175" s="111">
        <f>[9]С2.5!$AK$11</f>
        <v>0</v>
      </c>
    </row>
    <row r="176" spans="2:3" hidden="1">
      <c r="B176" s="110">
        <f t="shared" si="0"/>
        <v>2053</v>
      </c>
      <c r="C176" s="111">
        <f>[9]С2.5!$AL$11</f>
        <v>0</v>
      </c>
    </row>
    <row r="177" spans="2:3" hidden="1">
      <c r="B177" s="110">
        <f t="shared" si="0"/>
        <v>2054</v>
      </c>
      <c r="C177" s="111">
        <f>[9]С2.5!$AM$11</f>
        <v>0</v>
      </c>
    </row>
    <row r="178" spans="2:3" hidden="1">
      <c r="B178" s="110">
        <f t="shared" si="0"/>
        <v>2055</v>
      </c>
      <c r="C178" s="111">
        <f>[9]С2.5!$AN$11</f>
        <v>0</v>
      </c>
    </row>
    <row r="179" spans="2:3" hidden="1">
      <c r="B179" s="110">
        <f t="shared" si="0"/>
        <v>2056</v>
      </c>
      <c r="C179" s="111">
        <f>[9]С2.5!$AO$11</f>
        <v>0</v>
      </c>
    </row>
    <row r="180" spans="2:3" hidden="1">
      <c r="B180" s="110">
        <f t="shared" si="0"/>
        <v>2057</v>
      </c>
      <c r="C180" s="111">
        <f>[9]С2.5!$AP$11</f>
        <v>0</v>
      </c>
    </row>
    <row r="181" spans="2:3" hidden="1">
      <c r="B181" s="110">
        <f t="shared" si="0"/>
        <v>2058</v>
      </c>
      <c r="C181" s="111">
        <f>[9]С2.5!$AQ$11</f>
        <v>0</v>
      </c>
    </row>
    <row r="182" spans="2:3" hidden="1">
      <c r="B182" s="110">
        <f t="shared" si="0"/>
        <v>2059</v>
      </c>
      <c r="C182" s="111">
        <f>[9]С2.5!$AR$11</f>
        <v>0</v>
      </c>
    </row>
    <row r="183" spans="2:3" hidden="1">
      <c r="B183" s="110">
        <f t="shared" si="0"/>
        <v>2060</v>
      </c>
      <c r="C183" s="111">
        <f>[9]С2.5!$AS$11</f>
        <v>0</v>
      </c>
    </row>
    <row r="184" spans="2:3" hidden="1">
      <c r="B184" s="110">
        <f t="shared" si="0"/>
        <v>2061</v>
      </c>
      <c r="C184" s="111">
        <f>[9]С2.5!$AT$11</f>
        <v>0</v>
      </c>
    </row>
    <row r="185" spans="2:3" hidden="1">
      <c r="B185" s="110">
        <f t="shared" si="0"/>
        <v>2062</v>
      </c>
      <c r="C185" s="111">
        <f>[9]С2.5!$AU$11</f>
        <v>0</v>
      </c>
    </row>
    <row r="186" spans="2:3" hidden="1">
      <c r="B186" s="110">
        <f t="shared" si="0"/>
        <v>2063</v>
      </c>
      <c r="C186" s="111">
        <f>[9]С2.5!$AV$11</f>
        <v>0</v>
      </c>
    </row>
    <row r="187" spans="2:3" hidden="1">
      <c r="B187" s="110">
        <f t="shared" si="0"/>
        <v>2064</v>
      </c>
      <c r="C187" s="111">
        <f>[9]С2.5!$AW$11</f>
        <v>0</v>
      </c>
    </row>
    <row r="188" spans="2:3" hidden="1">
      <c r="B188" s="110">
        <f t="shared" si="0"/>
        <v>2065</v>
      </c>
      <c r="C188" s="111">
        <f>[9]С2.5!$AX$11</f>
        <v>0</v>
      </c>
    </row>
    <row r="189" spans="2:3" hidden="1">
      <c r="B189" s="110">
        <f t="shared" si="0"/>
        <v>2066</v>
      </c>
      <c r="C189" s="111">
        <f>[9]С2.5!$AY$11</f>
        <v>0</v>
      </c>
    </row>
    <row r="190" spans="2:3" hidden="1">
      <c r="B190" s="110">
        <f t="shared" si="0"/>
        <v>2067</v>
      </c>
      <c r="C190" s="111">
        <f>[9]С2.5!$AZ$11</f>
        <v>0</v>
      </c>
    </row>
    <row r="191" spans="2:3" hidden="1">
      <c r="B191" s="110">
        <f t="shared" si="0"/>
        <v>2068</v>
      </c>
      <c r="C191" s="111">
        <f>[9]С2.5!$BA$11</f>
        <v>0</v>
      </c>
    </row>
    <row r="192" spans="2:3" hidden="1">
      <c r="B192" s="110">
        <f t="shared" si="0"/>
        <v>2069</v>
      </c>
      <c r="C192" s="111">
        <f>[9]С2.5!$BB$11</f>
        <v>0</v>
      </c>
    </row>
    <row r="193" spans="2:3" hidden="1">
      <c r="B193" s="110">
        <f t="shared" si="0"/>
        <v>2070</v>
      </c>
      <c r="C193" s="111">
        <f>[9]С2.5!$BC$11</f>
        <v>0</v>
      </c>
    </row>
    <row r="194" spans="2:3" hidden="1">
      <c r="B194" s="110">
        <f t="shared" si="0"/>
        <v>2071</v>
      </c>
      <c r="C194" s="111">
        <f>[9]С2.5!$BD$11</f>
        <v>0</v>
      </c>
    </row>
    <row r="195" spans="2:3" hidden="1">
      <c r="B195" s="110">
        <f t="shared" si="0"/>
        <v>2072</v>
      </c>
      <c r="C195" s="111">
        <f>[9]С2.5!$BE$11</f>
        <v>0</v>
      </c>
    </row>
    <row r="196" spans="2:3" hidden="1">
      <c r="B196" s="110">
        <f t="shared" si="0"/>
        <v>2073</v>
      </c>
      <c r="C196" s="111">
        <f>[9]С2.5!$BF$11</f>
        <v>0</v>
      </c>
    </row>
    <row r="197" spans="2:3" hidden="1">
      <c r="B197" s="110">
        <f t="shared" si="0"/>
        <v>2074</v>
      </c>
      <c r="C197" s="111">
        <f>[9]С2.5!$BG$11</f>
        <v>0</v>
      </c>
    </row>
    <row r="198" spans="2:3" hidden="1">
      <c r="B198" s="110">
        <f t="shared" si="0"/>
        <v>2075</v>
      </c>
      <c r="C198" s="111">
        <f>[9]С2.5!$BH$11</f>
        <v>0</v>
      </c>
    </row>
    <row r="199" spans="2:3" hidden="1">
      <c r="B199" s="110">
        <f t="shared" si="0"/>
        <v>2076</v>
      </c>
      <c r="C199" s="111">
        <f>[9]С2.5!$BI$11</f>
        <v>0</v>
      </c>
    </row>
    <row r="200" spans="2:3" hidden="1">
      <c r="B200" s="110">
        <f t="shared" si="0"/>
        <v>2077</v>
      </c>
      <c r="C200" s="111">
        <f>[9]С2.5!$BJ$11</f>
        <v>0</v>
      </c>
    </row>
    <row r="201" spans="2:3" hidden="1">
      <c r="B201" s="110">
        <f t="shared" si="0"/>
        <v>2078</v>
      </c>
      <c r="C201" s="111">
        <f>[9]С2.5!$BK$11</f>
        <v>0</v>
      </c>
    </row>
    <row r="202" spans="2:3" hidden="1">
      <c r="B202" s="110">
        <f t="shared" si="0"/>
        <v>2079</v>
      </c>
      <c r="C202" s="111">
        <f>[9]С2.5!$BL$11</f>
        <v>0</v>
      </c>
    </row>
    <row r="203" spans="2:3" hidden="1">
      <c r="B203" s="110">
        <f t="shared" si="0"/>
        <v>2080</v>
      </c>
      <c r="C203" s="111">
        <f>[9]С2.5!$BM$11</f>
        <v>0</v>
      </c>
    </row>
    <row r="204" spans="2:3" hidden="1">
      <c r="B204" s="110">
        <f t="shared" si="0"/>
        <v>2081</v>
      </c>
      <c r="C204" s="111">
        <f>[9]С2.5!$BN$11</f>
        <v>0</v>
      </c>
    </row>
    <row r="205" spans="2:3" hidden="1">
      <c r="B205" s="110">
        <f t="shared" si="0"/>
        <v>2082</v>
      </c>
      <c r="C205" s="111">
        <f>[9]С2.5!$BO$11</f>
        <v>0</v>
      </c>
    </row>
    <row r="206" spans="2:3" hidden="1">
      <c r="B206" s="110">
        <f t="shared" si="0"/>
        <v>2083</v>
      </c>
      <c r="C206" s="111">
        <f>[9]С2.5!$BP$11</f>
        <v>0</v>
      </c>
    </row>
    <row r="207" spans="2:3" hidden="1">
      <c r="B207" s="110">
        <f t="shared" si="0"/>
        <v>2084</v>
      </c>
      <c r="C207" s="111">
        <f>[9]С2.5!$BQ$11</f>
        <v>0</v>
      </c>
    </row>
    <row r="208" spans="2:3" hidden="1">
      <c r="B208" s="110">
        <f t="shared" si="0"/>
        <v>2085</v>
      </c>
      <c r="C208" s="111">
        <f>[9]С2.5!$BR$11</f>
        <v>0</v>
      </c>
    </row>
    <row r="209" spans="2:3" hidden="1">
      <c r="B209" s="110">
        <f t="shared" ref="B209:B223" si="1">B208+1</f>
        <v>2086</v>
      </c>
      <c r="C209" s="111">
        <f>[9]С2.5!$BS$11</f>
        <v>0</v>
      </c>
    </row>
    <row r="210" spans="2:3" hidden="1">
      <c r="B210" s="110">
        <f t="shared" si="1"/>
        <v>2087</v>
      </c>
      <c r="C210" s="111">
        <f>[9]С2.5!$BT$11</f>
        <v>0</v>
      </c>
    </row>
    <row r="211" spans="2:3" hidden="1">
      <c r="B211" s="110">
        <f t="shared" si="1"/>
        <v>2088</v>
      </c>
      <c r="C211" s="111">
        <f>[9]С2.5!$BU$11</f>
        <v>0</v>
      </c>
    </row>
    <row r="212" spans="2:3" hidden="1">
      <c r="B212" s="110">
        <f t="shared" si="1"/>
        <v>2089</v>
      </c>
      <c r="C212" s="111">
        <f>[9]С2.5!$BV$11</f>
        <v>0</v>
      </c>
    </row>
    <row r="213" spans="2:3" hidden="1">
      <c r="B213" s="110">
        <f t="shared" si="1"/>
        <v>2090</v>
      </c>
      <c r="C213" s="111">
        <f>[9]С2.5!$BW$11</f>
        <v>0</v>
      </c>
    </row>
    <row r="214" spans="2:3" hidden="1">
      <c r="B214" s="110">
        <f t="shared" si="1"/>
        <v>2091</v>
      </c>
      <c r="C214" s="111">
        <f>[9]С2.5!$BX$11</f>
        <v>0</v>
      </c>
    </row>
    <row r="215" spans="2:3" hidden="1">
      <c r="B215" s="110">
        <f t="shared" si="1"/>
        <v>2092</v>
      </c>
      <c r="C215" s="111">
        <f>[9]С2.5!$BY$11</f>
        <v>0</v>
      </c>
    </row>
    <row r="216" spans="2:3" hidden="1">
      <c r="B216" s="110">
        <f t="shared" si="1"/>
        <v>2093</v>
      </c>
      <c r="C216" s="111">
        <f>[9]С2.5!$BZ$11</f>
        <v>0</v>
      </c>
    </row>
    <row r="217" spans="2:3" hidden="1">
      <c r="B217" s="110">
        <f t="shared" si="1"/>
        <v>2094</v>
      </c>
      <c r="C217" s="111">
        <f>[9]С2.5!$CA$11</f>
        <v>0</v>
      </c>
    </row>
    <row r="218" spans="2:3" hidden="1">
      <c r="B218" s="110">
        <f t="shared" si="1"/>
        <v>2095</v>
      </c>
      <c r="C218" s="111">
        <f>[9]С2.5!$CB$11</f>
        <v>0</v>
      </c>
    </row>
    <row r="219" spans="2:3" hidden="1">
      <c r="B219" s="110">
        <f t="shared" si="1"/>
        <v>2096</v>
      </c>
      <c r="C219" s="111">
        <f>[9]С2.5!$CC$11</f>
        <v>0</v>
      </c>
    </row>
    <row r="220" spans="2:3" hidden="1">
      <c r="B220" s="110">
        <f t="shared" si="1"/>
        <v>2097</v>
      </c>
      <c r="C220" s="111">
        <f>[9]С2.5!$CD$11</f>
        <v>0</v>
      </c>
    </row>
    <row r="221" spans="2:3" hidden="1">
      <c r="B221" s="110">
        <f t="shared" si="1"/>
        <v>2098</v>
      </c>
      <c r="C221" s="111">
        <f>[9]С2.5!$CE$11</f>
        <v>0</v>
      </c>
    </row>
    <row r="222" spans="2:3" hidden="1">
      <c r="B222" s="110">
        <f t="shared" si="1"/>
        <v>2099</v>
      </c>
      <c r="C222" s="111">
        <f>[9]С2.5!$CF$11</f>
        <v>0</v>
      </c>
    </row>
    <row r="223" spans="2:3" ht="13.5" hidden="1" thickBot="1">
      <c r="B223" s="112">
        <f t="shared" si="1"/>
        <v>2100</v>
      </c>
      <c r="C223" s="113">
        <f>[9]С2.5!$CG$11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[10]И1!D13</f>
        <v>Субъект Российской Федерации</v>
      </c>
      <c r="C4" s="10" t="str">
        <f>[10]И1!E13</f>
        <v>Новосибирская область</v>
      </c>
    </row>
    <row r="5" spans="1:3" ht="38.25">
      <c r="A5" s="8"/>
      <c r="B5" s="9" t="str">
        <f>[10]И1!D14</f>
        <v>Тип муниципального образования (выберите из списка)</v>
      </c>
      <c r="C5" s="10" t="str">
        <f>[10]И1!E14</f>
        <v>село Комарье, Доволенский муниципальный район</v>
      </c>
    </row>
    <row r="6" spans="1:3">
      <c r="A6" s="8"/>
      <c r="B6" s="9" t="str">
        <f>IF([10]И1!E15="","",[10]И1!D15)</f>
        <v/>
      </c>
      <c r="C6" s="10" t="str">
        <f>IF([10]И1!E15="","",[10]И1!E15)</f>
        <v/>
      </c>
    </row>
    <row r="7" spans="1:3">
      <c r="A7" s="8"/>
      <c r="B7" s="9" t="str">
        <f>[10]И1!D16</f>
        <v>Код ОКТМО</v>
      </c>
      <c r="C7" s="11" t="str">
        <f>[10]И1!E16</f>
        <v>50610416101</v>
      </c>
    </row>
    <row r="8" spans="1:3">
      <c r="A8" s="8"/>
      <c r="B8" s="12" t="str">
        <f>[10]И1!D17</f>
        <v>Система теплоснабжения</v>
      </c>
      <c r="C8" s="13">
        <f>[10]И1!E17</f>
        <v>0</v>
      </c>
    </row>
    <row r="9" spans="1:3">
      <c r="A9" s="8"/>
      <c r="B9" s="9" t="str">
        <f>[10]И1!D8</f>
        <v>Период регулирования (i)-й</v>
      </c>
      <c r="C9" s="14">
        <f>[10]И1!E8</f>
        <v>2023</v>
      </c>
    </row>
    <row r="10" spans="1:3">
      <c r="A10" s="8"/>
      <c r="B10" s="9" t="str">
        <f>[10]И1!D9</f>
        <v>Период регулирования (i-1)-й</v>
      </c>
      <c r="C10" s="14">
        <f>[10]И1!E9</f>
        <v>2022</v>
      </c>
    </row>
    <row r="11" spans="1:3">
      <c r="A11" s="8"/>
      <c r="B11" s="9" t="str">
        <f>[10]И1!D10</f>
        <v>Период регулирования (i-2)-й</v>
      </c>
      <c r="C11" s="14">
        <f>[10]И1!E10</f>
        <v>2021</v>
      </c>
    </row>
    <row r="12" spans="1:3">
      <c r="A12" s="8"/>
      <c r="B12" s="9" t="str">
        <f>[10]И1!D11</f>
        <v>Базовый год (б)</v>
      </c>
      <c r="C12" s="14">
        <f>[10]И1!E11</f>
        <v>2019</v>
      </c>
    </row>
    <row r="13" spans="1:3" ht="38.25">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4106.2439196942114</v>
      </c>
    </row>
    <row r="18" spans="1:3" ht="42.75">
      <c r="A18" s="22" t="s">
        <v>8</v>
      </c>
      <c r="B18" s="25" t="s">
        <v>9</v>
      </c>
      <c r="C18" s="26">
        <f>[10]С1!F12</f>
        <v>999.66266204124622</v>
      </c>
    </row>
    <row r="19" spans="1:3" ht="42.75">
      <c r="A19" s="22" t="s">
        <v>10</v>
      </c>
      <c r="B19" s="25" t="s">
        <v>11</v>
      </c>
      <c r="C19" s="26">
        <f>[10]С2!F12</f>
        <v>2105.0745921739249</v>
      </c>
    </row>
    <row r="20" spans="1:3" ht="30">
      <c r="A20" s="22" t="s">
        <v>12</v>
      </c>
      <c r="B20" s="25" t="s">
        <v>13</v>
      </c>
      <c r="C20" s="26">
        <f>[10]С3!F12</f>
        <v>503.57282204972699</v>
      </c>
    </row>
    <row r="21" spans="1:3" ht="42.75">
      <c r="A21" s="22" t="s">
        <v>14</v>
      </c>
      <c r="B21" s="25" t="s">
        <v>15</v>
      </c>
      <c r="C21" s="26">
        <f>[10]С4!F12</f>
        <v>417.41925676864264</v>
      </c>
    </row>
    <row r="22" spans="1:3" ht="30">
      <c r="A22" s="22" t="s">
        <v>16</v>
      </c>
      <c r="B22" s="25" t="s">
        <v>17</v>
      </c>
      <c r="C22" s="26">
        <f>[10]С5!F12</f>
        <v>80.514586660670815</v>
      </c>
    </row>
    <row r="23" spans="1:3" ht="43.5" thickBot="1">
      <c r="A23" s="27" t="s">
        <v>18</v>
      </c>
      <c r="B23" s="117" t="s">
        <v>19</v>
      </c>
      <c r="C23" s="28" t="str">
        <f>[10]С6!F12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[10]С1.1!E16</f>
        <v>5100</v>
      </c>
    </row>
    <row r="29" spans="1:3" ht="42.75">
      <c r="A29" s="22" t="s">
        <v>10</v>
      </c>
      <c r="B29" s="33" t="s">
        <v>22</v>
      </c>
      <c r="C29" s="34">
        <f>[10]С1.1!E27</f>
        <v>2687.9258333333332</v>
      </c>
    </row>
    <row r="30" spans="1:3" ht="17.25">
      <c r="A30" s="22" t="s">
        <v>12</v>
      </c>
      <c r="B30" s="33" t="s">
        <v>23</v>
      </c>
      <c r="C30" s="35">
        <f>[10]С1.1!E19</f>
        <v>0.59499999999999997</v>
      </c>
    </row>
    <row r="31" spans="1:3" ht="17.25">
      <c r="A31" s="22" t="s">
        <v>14</v>
      </c>
      <c r="B31" s="33" t="s">
        <v>24</v>
      </c>
      <c r="C31" s="35">
        <f>[10]С1.1!E20</f>
        <v>-0.113</v>
      </c>
    </row>
    <row r="32" spans="1:3" ht="30">
      <c r="A32" s="22" t="s">
        <v>16</v>
      </c>
      <c r="B32" s="36" t="s">
        <v>25</v>
      </c>
      <c r="C32" s="37">
        <f>[10]С1!F13</f>
        <v>176.4</v>
      </c>
    </row>
    <row r="33" spans="1:3">
      <c r="A33" s="22" t="s">
        <v>18</v>
      </c>
      <c r="B33" s="36" t="s">
        <v>26</v>
      </c>
      <c r="C33" s="38">
        <f>[10]С1!F16</f>
        <v>7000</v>
      </c>
    </row>
    <row r="34" spans="1:3" ht="14.25">
      <c r="A34" s="22" t="s">
        <v>27</v>
      </c>
      <c r="B34" s="39" t="s">
        <v>28</v>
      </c>
      <c r="C34" s="40">
        <f>[10]С1!F17</f>
        <v>0.72857142857142854</v>
      </c>
    </row>
    <row r="35" spans="1:3" ht="15.75">
      <c r="A35" s="41" t="s">
        <v>29</v>
      </c>
      <c r="B35" s="42" t="s">
        <v>30</v>
      </c>
      <c r="C35" s="40">
        <f>[10]С1!F20</f>
        <v>21.588411179999994</v>
      </c>
    </row>
    <row r="36" spans="1:3" ht="15.75">
      <c r="A36" s="41" t="s">
        <v>31</v>
      </c>
      <c r="B36" s="43" t="s">
        <v>32</v>
      </c>
      <c r="C36" s="40">
        <f>[10]С1!F21</f>
        <v>20.818139999999996</v>
      </c>
    </row>
    <row r="37" spans="1:3" ht="14.25">
      <c r="A37" s="41" t="s">
        <v>33</v>
      </c>
      <c r="B37" s="44" t="s">
        <v>34</v>
      </c>
      <c r="C37" s="40">
        <f>[10]С1!F22</f>
        <v>1.0369999999999999</v>
      </c>
    </row>
    <row r="38" spans="1:3" ht="53.25" thickBot="1">
      <c r="A38" s="27" t="s">
        <v>35</v>
      </c>
      <c r="B38" s="45" t="s">
        <v>36</v>
      </c>
      <c r="C38" s="46">
        <f>[10]С1!F23</f>
        <v>1.0469999999999999</v>
      </c>
    </row>
    <row r="39" spans="1:3" ht="13.5" thickBot="1">
      <c r="A39" s="47"/>
      <c r="B39" s="48"/>
      <c r="C39" s="49"/>
    </row>
    <row r="40" spans="1:3" ht="30" customHeight="1">
      <c r="A40" s="50" t="s">
        <v>37</v>
      </c>
      <c r="B40" s="118" t="s">
        <v>38</v>
      </c>
      <c r="C40" s="118"/>
    </row>
    <row r="41" spans="1:3" ht="25.5">
      <c r="A41" s="22" t="s">
        <v>39</v>
      </c>
      <c r="B41" s="36" t="s">
        <v>40</v>
      </c>
      <c r="C41" s="51" t="str">
        <f>[10]С2.1!E12</f>
        <v>V</v>
      </c>
    </row>
    <row r="42" spans="1:3" ht="25.5">
      <c r="A42" s="22" t="s">
        <v>41</v>
      </c>
      <c r="B42" s="33" t="s">
        <v>42</v>
      </c>
      <c r="C42" s="51" t="str">
        <f>[10]С2.1!E13</f>
        <v>6 и менее баллов</v>
      </c>
    </row>
    <row r="43" spans="1:3" ht="25.5">
      <c r="A43" s="22" t="s">
        <v>43</v>
      </c>
      <c r="B43" s="33" t="s">
        <v>44</v>
      </c>
      <c r="C43" s="51" t="str">
        <f>[10]С2.1!E14</f>
        <v>от 200 до 500</v>
      </c>
    </row>
    <row r="44" spans="1:3" ht="25.5">
      <c r="A44" s="22" t="s">
        <v>45</v>
      </c>
      <c r="B44" s="33" t="s">
        <v>46</v>
      </c>
      <c r="C44" s="52" t="str">
        <f>[10]С2.1!E15</f>
        <v>нет</v>
      </c>
    </row>
    <row r="45" spans="1:3" ht="30">
      <c r="A45" s="22" t="s">
        <v>47</v>
      </c>
      <c r="B45" s="33" t="s">
        <v>48</v>
      </c>
      <c r="C45" s="34">
        <f>[10]С2!F18</f>
        <v>32402.627334033532</v>
      </c>
    </row>
    <row r="46" spans="1:3" ht="30">
      <c r="A46" s="22" t="s">
        <v>49</v>
      </c>
      <c r="B46" s="53" t="s">
        <v>50</v>
      </c>
      <c r="C46" s="34">
        <f>IF([10]С2!F19&gt;0,[10]С2!F19,[10]С2!F20)</f>
        <v>23441.524932855718</v>
      </c>
    </row>
    <row r="47" spans="1:3" ht="25.5">
      <c r="A47" s="22" t="s">
        <v>51</v>
      </c>
      <c r="B47" s="54" t="s">
        <v>52</v>
      </c>
      <c r="C47" s="34">
        <f>[10]С2.1!E19</f>
        <v>-38</v>
      </c>
    </row>
    <row r="48" spans="1:3" ht="25.5">
      <c r="A48" s="22" t="s">
        <v>53</v>
      </c>
      <c r="B48" s="54" t="s">
        <v>54</v>
      </c>
      <c r="C48" s="34" t="str">
        <f>[10]С2.1!E22</f>
        <v>нет</v>
      </c>
    </row>
    <row r="49" spans="1:3" ht="38.25">
      <c r="A49" s="22" t="s">
        <v>55</v>
      </c>
      <c r="B49" s="55" t="s">
        <v>56</v>
      </c>
      <c r="C49" s="34">
        <f>[10]С2.2!E10</f>
        <v>1287</v>
      </c>
    </row>
    <row r="50" spans="1:3" ht="25.5">
      <c r="A50" s="22" t="s">
        <v>57</v>
      </c>
      <c r="B50" s="56" t="s">
        <v>58</v>
      </c>
      <c r="C50" s="34">
        <f>[10]С2.2!E12</f>
        <v>5.97</v>
      </c>
    </row>
    <row r="51" spans="1:3" ht="52.5">
      <c r="A51" s="22" t="s">
        <v>59</v>
      </c>
      <c r="B51" s="57" t="s">
        <v>60</v>
      </c>
      <c r="C51" s="34">
        <f>[10]С2.2!E13</f>
        <v>1</v>
      </c>
    </row>
    <row r="52" spans="1:3" ht="27.75">
      <c r="A52" s="22" t="s">
        <v>61</v>
      </c>
      <c r="B52" s="56" t="s">
        <v>62</v>
      </c>
      <c r="C52" s="34">
        <f>[10]С2.2!E14</f>
        <v>12104</v>
      </c>
    </row>
    <row r="53" spans="1:3" ht="25.5">
      <c r="A53" s="22" t="s">
        <v>63</v>
      </c>
      <c r="B53" s="57" t="s">
        <v>64</v>
      </c>
      <c r="C53" s="35">
        <f>[10]С2.2!E15</f>
        <v>4.8000000000000001E-2</v>
      </c>
    </row>
    <row r="54" spans="1:3">
      <c r="A54" s="22" t="s">
        <v>65</v>
      </c>
      <c r="B54" s="57" t="s">
        <v>66</v>
      </c>
      <c r="C54" s="34">
        <f>[10]С2.2!E16</f>
        <v>1</v>
      </c>
    </row>
    <row r="55" spans="1:3" ht="15.75">
      <c r="A55" s="22" t="s">
        <v>67</v>
      </c>
      <c r="B55" s="58" t="s">
        <v>68</v>
      </c>
      <c r="C55" s="34">
        <f>[10]С2!F21</f>
        <v>1</v>
      </c>
    </row>
    <row r="56" spans="1:3" ht="30">
      <c r="A56" s="59" t="s">
        <v>69</v>
      </c>
      <c r="B56" s="33" t="s">
        <v>70</v>
      </c>
      <c r="C56" s="34">
        <f>[10]С2!F13</f>
        <v>169640.22915965237</v>
      </c>
    </row>
    <row r="57" spans="1:3" ht="30">
      <c r="A57" s="59" t="s">
        <v>71</v>
      </c>
      <c r="B57" s="58" t="s">
        <v>72</v>
      </c>
      <c r="C57" s="34">
        <f>[10]С2!F14</f>
        <v>113455</v>
      </c>
    </row>
    <row r="58" spans="1:3" ht="15.75">
      <c r="A58" s="59" t="s">
        <v>73</v>
      </c>
      <c r="B58" s="60" t="s">
        <v>74</v>
      </c>
      <c r="C58" s="40">
        <f>[10]С2!F15</f>
        <v>1.071</v>
      </c>
    </row>
    <row r="59" spans="1:3" ht="15.75">
      <c r="A59" s="59" t="s">
        <v>75</v>
      </c>
      <c r="B59" s="60" t="s">
        <v>76</v>
      </c>
      <c r="C59" s="40">
        <f>[10]С2!F16</f>
        <v>1</v>
      </c>
    </row>
    <row r="60" spans="1:3" ht="17.25">
      <c r="A60" s="59" t="s">
        <v>77</v>
      </c>
      <c r="B60" s="58" t="s">
        <v>78</v>
      </c>
      <c r="C60" s="34">
        <f>[10]С2!F17</f>
        <v>1.01</v>
      </c>
    </row>
    <row r="61" spans="1:3" s="63" customFormat="1" ht="14.25">
      <c r="A61" s="59" t="s">
        <v>79</v>
      </c>
      <c r="B61" s="61" t="s">
        <v>80</v>
      </c>
      <c r="C61" s="62">
        <f>[10]С2!F33</f>
        <v>10</v>
      </c>
    </row>
    <row r="62" spans="1:3" ht="30">
      <c r="A62" s="59" t="s">
        <v>81</v>
      </c>
      <c r="B62" s="64" t="s">
        <v>82</v>
      </c>
      <c r="C62" s="34">
        <f>[10]С2!F26</f>
        <v>1012.1091133444331</v>
      </c>
    </row>
    <row r="63" spans="1:3" ht="17.25">
      <c r="A63" s="59" t="s">
        <v>83</v>
      </c>
      <c r="B63" s="53" t="s">
        <v>84</v>
      </c>
      <c r="C63" s="34">
        <f>[10]С2!F27</f>
        <v>0.17433463600000002</v>
      </c>
    </row>
    <row r="64" spans="1:3" ht="17.25">
      <c r="A64" s="59" t="s">
        <v>85</v>
      </c>
      <c r="B64" s="58" t="s">
        <v>86</v>
      </c>
      <c r="C64" s="62">
        <f>[10]С2!F28</f>
        <v>4200</v>
      </c>
    </row>
    <row r="65" spans="1:3" ht="42.75">
      <c r="A65" s="59" t="s">
        <v>87</v>
      </c>
      <c r="B65" s="33" t="s">
        <v>88</v>
      </c>
      <c r="C65" s="34">
        <f>[10]С2!F22</f>
        <v>35717.748653137714</v>
      </c>
    </row>
    <row r="66" spans="1:3" ht="30">
      <c r="A66" s="59" t="s">
        <v>89</v>
      </c>
      <c r="B66" s="60" t="s">
        <v>90</v>
      </c>
      <c r="C66" s="34">
        <f>[10]С2!F23</f>
        <v>1990</v>
      </c>
    </row>
    <row r="67" spans="1:3" ht="30">
      <c r="A67" s="59" t="s">
        <v>91</v>
      </c>
      <c r="B67" s="53" t="s">
        <v>92</v>
      </c>
      <c r="C67" s="34">
        <f>[10]С2.1!E27</f>
        <v>14307.876789999998</v>
      </c>
    </row>
    <row r="68" spans="1:3" ht="38.25">
      <c r="A68" s="59" t="s">
        <v>93</v>
      </c>
      <c r="B68" s="65" t="s">
        <v>94</v>
      </c>
      <c r="C68" s="52">
        <f>[10]С2.3!E21</f>
        <v>0</v>
      </c>
    </row>
    <row r="69" spans="1:3" ht="25.5">
      <c r="A69" s="59" t="s">
        <v>95</v>
      </c>
      <c r="B69" s="66" t="s">
        <v>96</v>
      </c>
      <c r="C69" s="67">
        <f>[10]С2.3!E11</f>
        <v>9.89</v>
      </c>
    </row>
    <row r="70" spans="1:3" ht="25.5">
      <c r="A70" s="59" t="s">
        <v>97</v>
      </c>
      <c r="B70" s="66" t="s">
        <v>98</v>
      </c>
      <c r="C70" s="62">
        <f>[10]С2.3!E13</f>
        <v>300</v>
      </c>
    </row>
    <row r="71" spans="1:3" ht="25.5">
      <c r="A71" s="59" t="s">
        <v>99</v>
      </c>
      <c r="B71" s="65" t="s">
        <v>100</v>
      </c>
      <c r="C71" s="68">
        <f>IF([10]С2.3!E22&gt;0,[10]С2.3!E22,[10]С2.3!E14)</f>
        <v>61211</v>
      </c>
    </row>
    <row r="72" spans="1:3" ht="38.25">
      <c r="A72" s="59" t="s">
        <v>101</v>
      </c>
      <c r="B72" s="65" t="s">
        <v>102</v>
      </c>
      <c r="C72" s="68">
        <f>IF([10]С2.3!E23&gt;0,[10]С2.3!E23,[10]С2.3!E15)</f>
        <v>45675</v>
      </c>
    </row>
    <row r="73" spans="1:3" ht="30">
      <c r="A73" s="59" t="s">
        <v>103</v>
      </c>
      <c r="B73" s="53" t="s">
        <v>104</v>
      </c>
      <c r="C73" s="34">
        <f>[10]С2.1!E28</f>
        <v>9541.9567200000001</v>
      </c>
    </row>
    <row r="74" spans="1:3" ht="38.25">
      <c r="A74" s="59" t="s">
        <v>105</v>
      </c>
      <c r="B74" s="65" t="s">
        <v>106</v>
      </c>
      <c r="C74" s="52">
        <f>[10]С2.3!E25</f>
        <v>0</v>
      </c>
    </row>
    <row r="75" spans="1:3" ht="25.5">
      <c r="A75" s="59" t="s">
        <v>107</v>
      </c>
      <c r="B75" s="66" t="s">
        <v>108</v>
      </c>
      <c r="C75" s="67">
        <f>[10]С2.3!E12</f>
        <v>0.56000000000000005</v>
      </c>
    </row>
    <row r="76" spans="1:3" ht="25.5">
      <c r="A76" s="59" t="s">
        <v>109</v>
      </c>
      <c r="B76" s="66" t="s">
        <v>98</v>
      </c>
      <c r="C76" s="62">
        <f>[10]С2.3!E13</f>
        <v>300</v>
      </c>
    </row>
    <row r="77" spans="1:3" ht="25.5">
      <c r="A77" s="59" t="s">
        <v>110</v>
      </c>
      <c r="B77" s="69" t="s">
        <v>111</v>
      </c>
      <c r="C77" s="68">
        <f>IF([10]С2.3!E26&gt;0,[10]С2.3!E26,[10]С2.3!E16)</f>
        <v>65637</v>
      </c>
    </row>
    <row r="78" spans="1:3" ht="38.25">
      <c r="A78" s="59" t="s">
        <v>112</v>
      </c>
      <c r="B78" s="69" t="s">
        <v>113</v>
      </c>
      <c r="C78" s="68">
        <f>IF([10]С2.3!E27&gt;0,[10]С2.3!E27,[10]С2.3!E17)</f>
        <v>31684</v>
      </c>
    </row>
    <row r="79" spans="1:3" ht="17.25">
      <c r="A79" s="59" t="s">
        <v>114</v>
      </c>
      <c r="B79" s="33" t="s">
        <v>115</v>
      </c>
      <c r="C79" s="35">
        <f>[10]С2!F29</f>
        <v>0.128978033685065</v>
      </c>
    </row>
    <row r="80" spans="1:3" ht="30">
      <c r="A80" s="59" t="s">
        <v>116</v>
      </c>
      <c r="B80" s="53" t="s">
        <v>117</v>
      </c>
      <c r="C80" s="70">
        <f>[10]С2!F30</f>
        <v>0.11668498168498169</v>
      </c>
    </row>
    <row r="81" spans="1:3" ht="17.25">
      <c r="A81" s="59" t="s">
        <v>118</v>
      </c>
      <c r="B81" s="71" t="s">
        <v>119</v>
      </c>
      <c r="C81" s="35">
        <f>[10]С2!F31</f>
        <v>0.13880000000000001</v>
      </c>
    </row>
    <row r="82" spans="1:3" s="63" customFormat="1" ht="18" thickBot="1">
      <c r="A82" s="72" t="s">
        <v>120</v>
      </c>
      <c r="B82" s="73" t="s">
        <v>121</v>
      </c>
      <c r="C82" s="74">
        <f>[10]С2!F32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[10]С3!F14</f>
        <v>6993.2576401328561</v>
      </c>
    </row>
    <row r="86" spans="1:3" s="63" customFormat="1" ht="42.75">
      <c r="A86" s="77" t="s">
        <v>126</v>
      </c>
      <c r="B86" s="53" t="s">
        <v>127</v>
      </c>
      <c r="C86" s="78">
        <f>[10]С3!F15</f>
        <v>0.2</v>
      </c>
    </row>
    <row r="87" spans="1:3" s="63" customFormat="1" ht="14.25">
      <c r="A87" s="77" t="s">
        <v>128</v>
      </c>
      <c r="B87" s="79" t="s">
        <v>129</v>
      </c>
      <c r="C87" s="62">
        <f>[10]С3!F18</f>
        <v>15</v>
      </c>
    </row>
    <row r="88" spans="1:3" s="63" customFormat="1" ht="17.25">
      <c r="A88" s="77" t="s">
        <v>130</v>
      </c>
      <c r="B88" s="33" t="s">
        <v>131</v>
      </c>
      <c r="C88" s="34">
        <f>[10]С3!F19</f>
        <v>3487.1555421534131</v>
      </c>
    </row>
    <row r="89" spans="1:3" s="63" customFormat="1" ht="55.5">
      <c r="A89" s="77" t="s">
        <v>132</v>
      </c>
      <c r="B89" s="53" t="s">
        <v>133</v>
      </c>
      <c r="C89" s="80">
        <f>[10]С3!F20</f>
        <v>2.1999999999999999E-2</v>
      </c>
    </row>
    <row r="90" spans="1:3" s="63" customFormat="1" ht="14.25">
      <c r="A90" s="77" t="s">
        <v>134</v>
      </c>
      <c r="B90" s="58" t="s">
        <v>80</v>
      </c>
      <c r="C90" s="62">
        <f>[10]С3!F21</f>
        <v>10</v>
      </c>
    </row>
    <row r="91" spans="1:3" s="63" customFormat="1" ht="17.25">
      <c r="A91" s="77" t="s">
        <v>135</v>
      </c>
      <c r="B91" s="33" t="s">
        <v>136</v>
      </c>
      <c r="C91" s="34">
        <f>[10]С3!F22</f>
        <v>3.0363273400332993</v>
      </c>
    </row>
    <row r="92" spans="1:3" s="63" customFormat="1" ht="55.5">
      <c r="A92" s="77" t="s">
        <v>137</v>
      </c>
      <c r="B92" s="53" t="s">
        <v>138</v>
      </c>
      <c r="C92" s="80">
        <f>[10]С3!F23</f>
        <v>3.0000000000000001E-3</v>
      </c>
    </row>
    <row r="93" spans="1:3" s="63" customFormat="1" ht="27.75" thickBot="1">
      <c r="A93" s="81" t="s">
        <v>139</v>
      </c>
      <c r="B93" s="82" t="s">
        <v>140</v>
      </c>
      <c r="C93" s="83">
        <f>[10]С3!F24</f>
        <v>1012.1091133444331</v>
      </c>
    </row>
    <row r="94" spans="1:3" ht="13.5" thickBot="1">
      <c r="A94" s="47"/>
      <c r="B94" s="75"/>
      <c r="C94" s="15"/>
    </row>
    <row r="95" spans="1:3" ht="30" customHeight="1">
      <c r="A95" s="84" t="s">
        <v>141</v>
      </c>
      <c r="B95" s="118" t="s">
        <v>142</v>
      </c>
      <c r="C95" s="118"/>
    </row>
    <row r="96" spans="1:3" ht="30">
      <c r="A96" s="59" t="s">
        <v>143</v>
      </c>
      <c r="B96" s="33" t="s">
        <v>144</v>
      </c>
      <c r="C96" s="34">
        <f>[10]С4!F16</f>
        <v>1652.5</v>
      </c>
    </row>
    <row r="97" spans="1:3" ht="30">
      <c r="A97" s="59" t="s">
        <v>145</v>
      </c>
      <c r="B97" s="58" t="s">
        <v>146</v>
      </c>
      <c r="C97" s="34">
        <f>[10]С4!F17</f>
        <v>73547</v>
      </c>
    </row>
    <row r="98" spans="1:3" ht="17.25">
      <c r="A98" s="59" t="s">
        <v>147</v>
      </c>
      <c r="B98" s="58" t="s">
        <v>148</v>
      </c>
      <c r="C98" s="40">
        <f>[10]С4!F18</f>
        <v>0.02</v>
      </c>
    </row>
    <row r="99" spans="1:3" ht="30">
      <c r="A99" s="59" t="s">
        <v>149</v>
      </c>
      <c r="B99" s="58" t="s">
        <v>150</v>
      </c>
      <c r="C99" s="34">
        <f>[10]С4!F19</f>
        <v>12104</v>
      </c>
    </row>
    <row r="100" spans="1:3" ht="31.5">
      <c r="A100" s="59" t="s">
        <v>151</v>
      </c>
      <c r="B100" s="58" t="s">
        <v>152</v>
      </c>
      <c r="C100" s="40">
        <f>[10]С4!F20</f>
        <v>1.4999999999999999E-2</v>
      </c>
    </row>
    <row r="101" spans="1:3" ht="30">
      <c r="A101" s="59" t="s">
        <v>153</v>
      </c>
      <c r="B101" s="33" t="s">
        <v>154</v>
      </c>
      <c r="C101" s="34">
        <f>[10]С4!F21</f>
        <v>1933.1949342509995</v>
      </c>
    </row>
    <row r="102" spans="1:3" ht="24" customHeight="1">
      <c r="A102" s="59" t="s">
        <v>155</v>
      </c>
      <c r="B102" s="53" t="s">
        <v>156</v>
      </c>
      <c r="C102" s="85">
        <f>IF([10]С4.2!F8="да",[10]С4.2!D21,[10]С4.2!D15)</f>
        <v>0</v>
      </c>
    </row>
    <row r="103" spans="1:3" ht="68.25">
      <c r="A103" s="59" t="s">
        <v>157</v>
      </c>
      <c r="B103" s="53" t="s">
        <v>158</v>
      </c>
      <c r="C103" s="34">
        <f>[10]С4!F22</f>
        <v>3.6112641666666665</v>
      </c>
    </row>
    <row r="104" spans="1:3" ht="30">
      <c r="A104" s="59" t="s">
        <v>159</v>
      </c>
      <c r="B104" s="58" t="s">
        <v>160</v>
      </c>
      <c r="C104" s="34">
        <f>[10]С4!F23</f>
        <v>180</v>
      </c>
    </row>
    <row r="105" spans="1:3" ht="14.25">
      <c r="A105" s="59" t="s">
        <v>161</v>
      </c>
      <c r="B105" s="53" t="s">
        <v>162</v>
      </c>
      <c r="C105" s="34">
        <f>[10]С4!F24</f>
        <v>8497.1999999999989</v>
      </c>
    </row>
    <row r="106" spans="1:3" ht="14.25">
      <c r="A106" s="59" t="s">
        <v>163</v>
      </c>
      <c r="B106" s="58" t="s">
        <v>164</v>
      </c>
      <c r="C106" s="40">
        <f>[10]С4!F25</f>
        <v>0.35</v>
      </c>
    </row>
    <row r="107" spans="1:3" ht="17.25">
      <c r="A107" s="59" t="s">
        <v>165</v>
      </c>
      <c r="B107" s="33" t="s">
        <v>166</v>
      </c>
      <c r="C107" s="34">
        <f>[10]С4!F26</f>
        <v>76.165410000000008</v>
      </c>
    </row>
    <row r="108" spans="1:3" ht="25.5">
      <c r="A108" s="59" t="s">
        <v>167</v>
      </c>
      <c r="B108" s="53" t="s">
        <v>94</v>
      </c>
      <c r="C108" s="85">
        <f>[10]С4.3!E16</f>
        <v>0</v>
      </c>
    </row>
    <row r="109" spans="1:3" ht="25.5">
      <c r="A109" s="59" t="s">
        <v>168</v>
      </c>
      <c r="B109" s="53" t="s">
        <v>169</v>
      </c>
      <c r="C109" s="34">
        <f>[10]С4.3!E17</f>
        <v>20.190000000000001</v>
      </c>
    </row>
    <row r="110" spans="1:3" ht="38.25">
      <c r="A110" s="59" t="s">
        <v>170</v>
      </c>
      <c r="B110" s="53" t="s">
        <v>106</v>
      </c>
      <c r="C110" s="85">
        <f>[10]С4.3!E18</f>
        <v>0</v>
      </c>
    </row>
    <row r="111" spans="1:3">
      <c r="A111" s="59" t="s">
        <v>171</v>
      </c>
      <c r="B111" s="53" t="s">
        <v>172</v>
      </c>
      <c r="C111" s="34">
        <f>[10]С4.3!E19</f>
        <v>26.27</v>
      </c>
    </row>
    <row r="112" spans="1:3">
      <c r="A112" s="59" t="s">
        <v>173</v>
      </c>
      <c r="B112" s="58" t="s">
        <v>174</v>
      </c>
      <c r="C112" s="34">
        <f>[10]С4.3!E11</f>
        <v>1871</v>
      </c>
    </row>
    <row r="113" spans="1:3">
      <c r="A113" s="59" t="s">
        <v>175</v>
      </c>
      <c r="B113" s="58" t="s">
        <v>176</v>
      </c>
      <c r="C113" s="52">
        <f>[10]С4.3!E12</f>
        <v>1636</v>
      </c>
    </row>
    <row r="114" spans="1:3">
      <c r="A114" s="59" t="s">
        <v>177</v>
      </c>
      <c r="B114" s="58" t="s">
        <v>178</v>
      </c>
      <c r="C114" s="52">
        <f>[10]С4.3!E13</f>
        <v>204</v>
      </c>
    </row>
    <row r="115" spans="1:3" ht="30">
      <c r="A115" s="59" t="s">
        <v>179</v>
      </c>
      <c r="B115" s="33" t="s">
        <v>180</v>
      </c>
      <c r="C115" s="34">
        <f>[10]С4!F27</f>
        <v>1040.8858115370676</v>
      </c>
    </row>
    <row r="116" spans="1:3" ht="25.5">
      <c r="A116" s="59" t="s">
        <v>181</v>
      </c>
      <c r="B116" s="53" t="s">
        <v>182</v>
      </c>
      <c r="C116" s="34">
        <f>[10]С4!F28</f>
        <v>799.45146815442979</v>
      </c>
    </row>
    <row r="117" spans="1:3" ht="42.75">
      <c r="A117" s="59" t="s">
        <v>183</v>
      </c>
      <c r="B117" s="53" t="s">
        <v>184</v>
      </c>
      <c r="C117" s="34">
        <f>[10]С4!F29</f>
        <v>241.43434338263785</v>
      </c>
    </row>
    <row r="118" spans="1:3" ht="30">
      <c r="A118" s="59" t="s">
        <v>185</v>
      </c>
      <c r="B118" s="39" t="s">
        <v>186</v>
      </c>
      <c r="C118" s="34">
        <f>[10]С4!F30</f>
        <v>2189.4053961500495</v>
      </c>
    </row>
    <row r="119" spans="1:3" ht="42.75">
      <c r="A119" s="59" t="s">
        <v>187</v>
      </c>
      <c r="B119" s="86" t="s">
        <v>188</v>
      </c>
      <c r="C119" s="34">
        <f>[10]С4!F33</f>
        <v>1473.8188885803143</v>
      </c>
    </row>
    <row r="120" spans="1:3" ht="30">
      <c r="A120" s="59" t="s">
        <v>189</v>
      </c>
      <c r="B120" s="87" t="s">
        <v>190</v>
      </c>
      <c r="C120" s="34">
        <f>[10]С4!F35</f>
        <v>17.040680999999999</v>
      </c>
    </row>
    <row r="121" spans="1:3" ht="14.25">
      <c r="A121" s="59" t="s">
        <v>191</v>
      </c>
      <c r="B121" s="56" t="s">
        <v>192</v>
      </c>
      <c r="C121" s="34">
        <f>[10]С4!F36</f>
        <v>14319.9</v>
      </c>
    </row>
    <row r="122" spans="1:3" ht="28.5" thickBot="1">
      <c r="A122" s="72" t="s">
        <v>193</v>
      </c>
      <c r="B122" s="88" t="s">
        <v>194</v>
      </c>
      <c r="C122" s="83">
        <f>[10]С4!F37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[10]С5!F17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[10]С2!F37</f>
        <v>20.818139999999996</v>
      </c>
    </row>
    <row r="136" spans="1:4" ht="14.25">
      <c r="A136" s="59" t="s">
        <v>216</v>
      </c>
      <c r="B136" s="101" t="s">
        <v>217</v>
      </c>
      <c r="C136" s="34">
        <f>[10]С2!F38</f>
        <v>7</v>
      </c>
    </row>
    <row r="137" spans="1:4" ht="17.25">
      <c r="A137" s="59" t="s">
        <v>218</v>
      </c>
      <c r="B137" s="101" t="s">
        <v>219</v>
      </c>
      <c r="C137" s="34">
        <f>[10]С2!F40</f>
        <v>0.97</v>
      </c>
    </row>
    <row r="138" spans="1:4" ht="15" thickBot="1">
      <c r="A138" s="72" t="s">
        <v>220</v>
      </c>
      <c r="B138" s="102" t="s">
        <v>221</v>
      </c>
      <c r="C138" s="46">
        <f>[10]С2!F42</f>
        <v>0.35</v>
      </c>
    </row>
    <row r="139" spans="1:4" s="89" customFormat="1" ht="13.5" thickBot="1">
      <c r="A139" s="47"/>
      <c r="B139" s="75"/>
      <c r="C139" s="15"/>
    </row>
    <row r="140" spans="1:4" ht="30">
      <c r="A140" s="84" t="s">
        <v>222</v>
      </c>
      <c r="B140" s="103" t="s">
        <v>223</v>
      </c>
      <c r="C140" s="104">
        <f>[10]С2!F35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[10]С2.5!$E$11</f>
        <v>-2.9000000000000026E-2</v>
      </c>
      <c r="D143" s="89"/>
    </row>
    <row r="144" spans="1:4">
      <c r="A144" s="105"/>
      <c r="B144" s="110">
        <f>B143+1</f>
        <v>2021</v>
      </c>
      <c r="C144" s="111">
        <f>[10]С2.5!$F$11</f>
        <v>0.245</v>
      </c>
      <c r="D144" s="89"/>
    </row>
    <row r="145" spans="1:4">
      <c r="A145" s="105"/>
      <c r="B145" s="110">
        <f t="shared" ref="B145:B208" si="0">B144+1</f>
        <v>2022</v>
      </c>
      <c r="C145" s="111">
        <f>[10]С2.5!$G$11</f>
        <v>0.121</v>
      </c>
      <c r="D145" s="89"/>
    </row>
    <row r="146" spans="1:4" ht="13.5" thickBot="1">
      <c r="A146" s="105"/>
      <c r="B146" s="112">
        <f t="shared" si="0"/>
        <v>2023</v>
      </c>
      <c r="C146" s="113">
        <f>[10]С2.5!$H$11</f>
        <v>0.02</v>
      </c>
      <c r="D146" s="89"/>
    </row>
    <row r="147" spans="1:4" hidden="1">
      <c r="A147" s="105"/>
      <c r="B147" s="114">
        <f t="shared" si="0"/>
        <v>2024</v>
      </c>
      <c r="C147" s="115">
        <f>[10]С2.5!$I$11</f>
        <v>-2.93E-2</v>
      </c>
      <c r="D147" s="89"/>
    </row>
    <row r="148" spans="1:4" hidden="1">
      <c r="A148" s="105"/>
      <c r="B148" s="110">
        <f t="shared" si="0"/>
        <v>2025</v>
      </c>
      <c r="C148" s="111">
        <f>[10]С2.5!$J$11</f>
        <v>0.21215960863291</v>
      </c>
      <c r="D148" s="89"/>
    </row>
    <row r="149" spans="1:4" hidden="1">
      <c r="A149" s="105"/>
      <c r="B149" s="110">
        <f t="shared" si="0"/>
        <v>2026</v>
      </c>
      <c r="C149" s="111">
        <f>[10]С2.5!$K$11</f>
        <v>3.5813361771260002E-2</v>
      </c>
      <c r="D149" s="89"/>
    </row>
    <row r="150" spans="1:4" hidden="1">
      <c r="A150" s="105"/>
      <c r="B150" s="110">
        <f t="shared" si="0"/>
        <v>2027</v>
      </c>
      <c r="C150" s="111">
        <f>[10]С2.5!$L$11</f>
        <v>3.2682303599220003E-2</v>
      </c>
      <c r="D150" s="89"/>
    </row>
    <row r="151" spans="1:4" hidden="1">
      <c r="A151" s="105"/>
      <c r="B151" s="110">
        <f t="shared" si="0"/>
        <v>2028</v>
      </c>
      <c r="C151" s="111">
        <f>[10]С2.5!$M$11</f>
        <v>0</v>
      </c>
      <c r="D151" s="89"/>
    </row>
    <row r="152" spans="1:4" hidden="1">
      <c r="A152" s="105"/>
      <c r="B152" s="110">
        <f t="shared" si="0"/>
        <v>2029</v>
      </c>
      <c r="C152" s="111">
        <f>[10]С2.5!$N$11</f>
        <v>0</v>
      </c>
      <c r="D152" s="89"/>
    </row>
    <row r="153" spans="1:4" hidden="1">
      <c r="A153" s="105"/>
      <c r="B153" s="110">
        <f t="shared" si="0"/>
        <v>2030</v>
      </c>
      <c r="C153" s="111">
        <f>[10]С2.5!$O$11</f>
        <v>0</v>
      </c>
      <c r="D153" s="89"/>
    </row>
    <row r="154" spans="1:4" hidden="1">
      <c r="A154" s="105"/>
      <c r="B154" s="110">
        <f t="shared" si="0"/>
        <v>2031</v>
      </c>
      <c r="C154" s="111">
        <f>[10]С2.5!$P$11</f>
        <v>0</v>
      </c>
      <c r="D154" s="89"/>
    </row>
    <row r="155" spans="1:4" hidden="1">
      <c r="A155" s="89"/>
      <c r="B155" s="110">
        <f t="shared" si="0"/>
        <v>2032</v>
      </c>
      <c r="C155" s="111">
        <f>[10]С2.5!$Q$11</f>
        <v>0</v>
      </c>
      <c r="D155" s="89"/>
    </row>
    <row r="156" spans="1:4" hidden="1">
      <c r="A156" s="89"/>
      <c r="B156" s="110">
        <f t="shared" si="0"/>
        <v>2033</v>
      </c>
      <c r="C156" s="111">
        <f>[10]С2.5!$R$11</f>
        <v>0</v>
      </c>
      <c r="D156" s="89"/>
    </row>
    <row r="157" spans="1:4" hidden="1">
      <c r="B157" s="110">
        <f t="shared" si="0"/>
        <v>2034</v>
      </c>
      <c r="C157" s="111">
        <f>[10]С2.5!$S$11</f>
        <v>0</v>
      </c>
    </row>
    <row r="158" spans="1:4" hidden="1">
      <c r="B158" s="110">
        <f t="shared" si="0"/>
        <v>2035</v>
      </c>
      <c r="C158" s="111">
        <f>[10]С2.5!$T$11</f>
        <v>0</v>
      </c>
    </row>
    <row r="159" spans="1:4" hidden="1">
      <c r="B159" s="110">
        <f t="shared" si="0"/>
        <v>2036</v>
      </c>
      <c r="C159" s="111">
        <f>[10]С2.5!$U$11</f>
        <v>0</v>
      </c>
    </row>
    <row r="160" spans="1:4" hidden="1">
      <c r="B160" s="110">
        <f t="shared" si="0"/>
        <v>2037</v>
      </c>
      <c r="C160" s="111">
        <f>[10]С2.5!$V$11</f>
        <v>0</v>
      </c>
    </row>
    <row r="161" spans="2:3" hidden="1">
      <c r="B161" s="110">
        <f t="shared" si="0"/>
        <v>2038</v>
      </c>
      <c r="C161" s="111">
        <f>[10]С2.5!$W$11</f>
        <v>0</v>
      </c>
    </row>
    <row r="162" spans="2:3" hidden="1">
      <c r="B162" s="110">
        <f t="shared" si="0"/>
        <v>2039</v>
      </c>
      <c r="C162" s="111">
        <f>[10]С2.5!$X$11</f>
        <v>0</v>
      </c>
    </row>
    <row r="163" spans="2:3" hidden="1">
      <c r="B163" s="110">
        <f t="shared" si="0"/>
        <v>2040</v>
      </c>
      <c r="C163" s="111">
        <f>[10]С2.5!$Y$11</f>
        <v>0</v>
      </c>
    </row>
    <row r="164" spans="2:3" hidden="1">
      <c r="B164" s="110">
        <f t="shared" si="0"/>
        <v>2041</v>
      </c>
      <c r="C164" s="111">
        <f>[10]С2.5!$Z$11</f>
        <v>0</v>
      </c>
    </row>
    <row r="165" spans="2:3" hidden="1">
      <c r="B165" s="110">
        <f t="shared" si="0"/>
        <v>2042</v>
      </c>
      <c r="C165" s="111">
        <f>[10]С2.5!$AA$11</f>
        <v>0</v>
      </c>
    </row>
    <row r="166" spans="2:3" hidden="1">
      <c r="B166" s="110">
        <f t="shared" si="0"/>
        <v>2043</v>
      </c>
      <c r="C166" s="111">
        <f>[10]С2.5!$AB$11</f>
        <v>0</v>
      </c>
    </row>
    <row r="167" spans="2:3" hidden="1">
      <c r="B167" s="110">
        <f t="shared" si="0"/>
        <v>2044</v>
      </c>
      <c r="C167" s="111">
        <f>[10]С2.5!$AC$11</f>
        <v>0</v>
      </c>
    </row>
    <row r="168" spans="2:3" hidden="1">
      <c r="B168" s="110">
        <f t="shared" si="0"/>
        <v>2045</v>
      </c>
      <c r="C168" s="111">
        <f>[10]С2.5!$AD$11</f>
        <v>0</v>
      </c>
    </row>
    <row r="169" spans="2:3" hidden="1">
      <c r="B169" s="110">
        <f t="shared" si="0"/>
        <v>2046</v>
      </c>
      <c r="C169" s="111">
        <f>[10]С2.5!$AE$11</f>
        <v>0</v>
      </c>
    </row>
    <row r="170" spans="2:3" hidden="1">
      <c r="B170" s="110">
        <f t="shared" si="0"/>
        <v>2047</v>
      </c>
      <c r="C170" s="111">
        <f>[10]С2.5!$AF$11</f>
        <v>0</v>
      </c>
    </row>
    <row r="171" spans="2:3" hidden="1">
      <c r="B171" s="110">
        <f t="shared" si="0"/>
        <v>2048</v>
      </c>
      <c r="C171" s="111">
        <f>[10]С2.5!$AG$11</f>
        <v>0</v>
      </c>
    </row>
    <row r="172" spans="2:3" hidden="1">
      <c r="B172" s="110">
        <f t="shared" si="0"/>
        <v>2049</v>
      </c>
      <c r="C172" s="111">
        <f>[10]С2.5!$AH$11</f>
        <v>0</v>
      </c>
    </row>
    <row r="173" spans="2:3" hidden="1">
      <c r="B173" s="110">
        <f t="shared" si="0"/>
        <v>2050</v>
      </c>
      <c r="C173" s="111">
        <f>[10]С2.5!$AI$11</f>
        <v>0</v>
      </c>
    </row>
    <row r="174" spans="2:3" hidden="1">
      <c r="B174" s="110">
        <f t="shared" si="0"/>
        <v>2051</v>
      </c>
      <c r="C174" s="111">
        <f>[10]С2.5!$AJ$11</f>
        <v>0</v>
      </c>
    </row>
    <row r="175" spans="2:3" hidden="1">
      <c r="B175" s="110">
        <f t="shared" si="0"/>
        <v>2052</v>
      </c>
      <c r="C175" s="111">
        <f>[10]С2.5!$AK$11</f>
        <v>0</v>
      </c>
    </row>
    <row r="176" spans="2:3" hidden="1">
      <c r="B176" s="110">
        <f t="shared" si="0"/>
        <v>2053</v>
      </c>
      <c r="C176" s="111">
        <f>[10]С2.5!$AL$11</f>
        <v>0</v>
      </c>
    </row>
    <row r="177" spans="2:3" hidden="1">
      <c r="B177" s="110">
        <f t="shared" si="0"/>
        <v>2054</v>
      </c>
      <c r="C177" s="111">
        <f>[10]С2.5!$AM$11</f>
        <v>0</v>
      </c>
    </row>
    <row r="178" spans="2:3" hidden="1">
      <c r="B178" s="110">
        <f t="shared" si="0"/>
        <v>2055</v>
      </c>
      <c r="C178" s="111">
        <f>[10]С2.5!$AN$11</f>
        <v>0</v>
      </c>
    </row>
    <row r="179" spans="2:3" hidden="1">
      <c r="B179" s="110">
        <f t="shared" si="0"/>
        <v>2056</v>
      </c>
      <c r="C179" s="111">
        <f>[10]С2.5!$AO$11</f>
        <v>0</v>
      </c>
    </row>
    <row r="180" spans="2:3" hidden="1">
      <c r="B180" s="110">
        <f t="shared" si="0"/>
        <v>2057</v>
      </c>
      <c r="C180" s="111">
        <f>[10]С2.5!$AP$11</f>
        <v>0</v>
      </c>
    </row>
    <row r="181" spans="2:3" hidden="1">
      <c r="B181" s="110">
        <f t="shared" si="0"/>
        <v>2058</v>
      </c>
      <c r="C181" s="111">
        <f>[10]С2.5!$AQ$11</f>
        <v>0</v>
      </c>
    </row>
    <row r="182" spans="2:3" hidden="1">
      <c r="B182" s="110">
        <f t="shared" si="0"/>
        <v>2059</v>
      </c>
      <c r="C182" s="111">
        <f>[10]С2.5!$AR$11</f>
        <v>0</v>
      </c>
    </row>
    <row r="183" spans="2:3" hidden="1">
      <c r="B183" s="110">
        <f t="shared" si="0"/>
        <v>2060</v>
      </c>
      <c r="C183" s="111">
        <f>[10]С2.5!$AS$11</f>
        <v>0</v>
      </c>
    </row>
    <row r="184" spans="2:3" hidden="1">
      <c r="B184" s="110">
        <f t="shared" si="0"/>
        <v>2061</v>
      </c>
      <c r="C184" s="111">
        <f>[10]С2.5!$AT$11</f>
        <v>0</v>
      </c>
    </row>
    <row r="185" spans="2:3" hidden="1">
      <c r="B185" s="110">
        <f t="shared" si="0"/>
        <v>2062</v>
      </c>
      <c r="C185" s="111">
        <f>[10]С2.5!$AU$11</f>
        <v>0</v>
      </c>
    </row>
    <row r="186" spans="2:3" hidden="1">
      <c r="B186" s="110">
        <f t="shared" si="0"/>
        <v>2063</v>
      </c>
      <c r="C186" s="111">
        <f>[10]С2.5!$AV$11</f>
        <v>0</v>
      </c>
    </row>
    <row r="187" spans="2:3" hidden="1">
      <c r="B187" s="110">
        <f t="shared" si="0"/>
        <v>2064</v>
      </c>
      <c r="C187" s="111">
        <f>[10]С2.5!$AW$11</f>
        <v>0</v>
      </c>
    </row>
    <row r="188" spans="2:3" hidden="1">
      <c r="B188" s="110">
        <f t="shared" si="0"/>
        <v>2065</v>
      </c>
      <c r="C188" s="111">
        <f>[10]С2.5!$AX$11</f>
        <v>0</v>
      </c>
    </row>
    <row r="189" spans="2:3" hidden="1">
      <c r="B189" s="110">
        <f t="shared" si="0"/>
        <v>2066</v>
      </c>
      <c r="C189" s="111">
        <f>[10]С2.5!$AY$11</f>
        <v>0</v>
      </c>
    </row>
    <row r="190" spans="2:3" hidden="1">
      <c r="B190" s="110">
        <f t="shared" si="0"/>
        <v>2067</v>
      </c>
      <c r="C190" s="111">
        <f>[10]С2.5!$AZ$11</f>
        <v>0</v>
      </c>
    </row>
    <row r="191" spans="2:3" hidden="1">
      <c r="B191" s="110">
        <f t="shared" si="0"/>
        <v>2068</v>
      </c>
      <c r="C191" s="111">
        <f>[10]С2.5!$BA$11</f>
        <v>0</v>
      </c>
    </row>
    <row r="192" spans="2:3" hidden="1">
      <c r="B192" s="110">
        <f t="shared" si="0"/>
        <v>2069</v>
      </c>
      <c r="C192" s="111">
        <f>[10]С2.5!$BB$11</f>
        <v>0</v>
      </c>
    </row>
    <row r="193" spans="2:3" hidden="1">
      <c r="B193" s="110">
        <f t="shared" si="0"/>
        <v>2070</v>
      </c>
      <c r="C193" s="111">
        <f>[10]С2.5!$BC$11</f>
        <v>0</v>
      </c>
    </row>
    <row r="194" spans="2:3" hidden="1">
      <c r="B194" s="110">
        <f t="shared" si="0"/>
        <v>2071</v>
      </c>
      <c r="C194" s="111">
        <f>[10]С2.5!$BD$11</f>
        <v>0</v>
      </c>
    </row>
    <row r="195" spans="2:3" hidden="1">
      <c r="B195" s="110">
        <f t="shared" si="0"/>
        <v>2072</v>
      </c>
      <c r="C195" s="111">
        <f>[10]С2.5!$BE$11</f>
        <v>0</v>
      </c>
    </row>
    <row r="196" spans="2:3" hidden="1">
      <c r="B196" s="110">
        <f t="shared" si="0"/>
        <v>2073</v>
      </c>
      <c r="C196" s="111">
        <f>[10]С2.5!$BF$11</f>
        <v>0</v>
      </c>
    </row>
    <row r="197" spans="2:3" hidden="1">
      <c r="B197" s="110">
        <f t="shared" si="0"/>
        <v>2074</v>
      </c>
      <c r="C197" s="111">
        <f>[10]С2.5!$BG$11</f>
        <v>0</v>
      </c>
    </row>
    <row r="198" spans="2:3" hidden="1">
      <c r="B198" s="110">
        <f t="shared" si="0"/>
        <v>2075</v>
      </c>
      <c r="C198" s="111">
        <f>[10]С2.5!$BH$11</f>
        <v>0</v>
      </c>
    </row>
    <row r="199" spans="2:3" hidden="1">
      <c r="B199" s="110">
        <f t="shared" si="0"/>
        <v>2076</v>
      </c>
      <c r="C199" s="111">
        <f>[10]С2.5!$BI$11</f>
        <v>0</v>
      </c>
    </row>
    <row r="200" spans="2:3" hidden="1">
      <c r="B200" s="110">
        <f t="shared" si="0"/>
        <v>2077</v>
      </c>
      <c r="C200" s="111">
        <f>[10]С2.5!$BJ$11</f>
        <v>0</v>
      </c>
    </row>
    <row r="201" spans="2:3" hidden="1">
      <c r="B201" s="110">
        <f t="shared" si="0"/>
        <v>2078</v>
      </c>
      <c r="C201" s="111">
        <f>[10]С2.5!$BK$11</f>
        <v>0</v>
      </c>
    </row>
    <row r="202" spans="2:3" hidden="1">
      <c r="B202" s="110">
        <f t="shared" si="0"/>
        <v>2079</v>
      </c>
      <c r="C202" s="111">
        <f>[10]С2.5!$BL$11</f>
        <v>0</v>
      </c>
    </row>
    <row r="203" spans="2:3" hidden="1">
      <c r="B203" s="110">
        <f t="shared" si="0"/>
        <v>2080</v>
      </c>
      <c r="C203" s="111">
        <f>[10]С2.5!$BM$11</f>
        <v>0</v>
      </c>
    </row>
    <row r="204" spans="2:3" hidden="1">
      <c r="B204" s="110">
        <f t="shared" si="0"/>
        <v>2081</v>
      </c>
      <c r="C204" s="111">
        <f>[10]С2.5!$BN$11</f>
        <v>0</v>
      </c>
    </row>
    <row r="205" spans="2:3" hidden="1">
      <c r="B205" s="110">
        <f t="shared" si="0"/>
        <v>2082</v>
      </c>
      <c r="C205" s="111">
        <f>[10]С2.5!$BO$11</f>
        <v>0</v>
      </c>
    </row>
    <row r="206" spans="2:3" hidden="1">
      <c r="B206" s="110">
        <f t="shared" si="0"/>
        <v>2083</v>
      </c>
      <c r="C206" s="111">
        <f>[10]С2.5!$BP$11</f>
        <v>0</v>
      </c>
    </row>
    <row r="207" spans="2:3" hidden="1">
      <c r="B207" s="110">
        <f t="shared" si="0"/>
        <v>2084</v>
      </c>
      <c r="C207" s="111">
        <f>[10]С2.5!$BQ$11</f>
        <v>0</v>
      </c>
    </row>
    <row r="208" spans="2:3" hidden="1">
      <c r="B208" s="110">
        <f t="shared" si="0"/>
        <v>2085</v>
      </c>
      <c r="C208" s="111">
        <f>[10]С2.5!$BR$11</f>
        <v>0</v>
      </c>
    </row>
    <row r="209" spans="2:3" hidden="1">
      <c r="B209" s="110">
        <f t="shared" ref="B209:B223" si="1">B208+1</f>
        <v>2086</v>
      </c>
      <c r="C209" s="111">
        <f>[10]С2.5!$BS$11</f>
        <v>0</v>
      </c>
    </row>
    <row r="210" spans="2:3" hidden="1">
      <c r="B210" s="110">
        <f t="shared" si="1"/>
        <v>2087</v>
      </c>
      <c r="C210" s="111">
        <f>[10]С2.5!$BT$11</f>
        <v>0</v>
      </c>
    </row>
    <row r="211" spans="2:3" hidden="1">
      <c r="B211" s="110">
        <f t="shared" si="1"/>
        <v>2088</v>
      </c>
      <c r="C211" s="111">
        <f>[10]С2.5!$BU$11</f>
        <v>0</v>
      </c>
    </row>
    <row r="212" spans="2:3" hidden="1">
      <c r="B212" s="110">
        <f t="shared" si="1"/>
        <v>2089</v>
      </c>
      <c r="C212" s="111">
        <f>[10]С2.5!$BV$11</f>
        <v>0</v>
      </c>
    </row>
    <row r="213" spans="2:3" hidden="1">
      <c r="B213" s="110">
        <f t="shared" si="1"/>
        <v>2090</v>
      </c>
      <c r="C213" s="111">
        <f>[10]С2.5!$BW$11</f>
        <v>0</v>
      </c>
    </row>
    <row r="214" spans="2:3" hidden="1">
      <c r="B214" s="110">
        <f t="shared" si="1"/>
        <v>2091</v>
      </c>
      <c r="C214" s="111">
        <f>[10]С2.5!$BX$11</f>
        <v>0</v>
      </c>
    </row>
    <row r="215" spans="2:3" hidden="1">
      <c r="B215" s="110">
        <f t="shared" si="1"/>
        <v>2092</v>
      </c>
      <c r="C215" s="111">
        <f>[10]С2.5!$BY$11</f>
        <v>0</v>
      </c>
    </row>
    <row r="216" spans="2:3" hidden="1">
      <c r="B216" s="110">
        <f t="shared" si="1"/>
        <v>2093</v>
      </c>
      <c r="C216" s="111">
        <f>[10]С2.5!$BZ$11</f>
        <v>0</v>
      </c>
    </row>
    <row r="217" spans="2:3" hidden="1">
      <c r="B217" s="110">
        <f t="shared" si="1"/>
        <v>2094</v>
      </c>
      <c r="C217" s="111">
        <f>[10]С2.5!$CA$11</f>
        <v>0</v>
      </c>
    </row>
    <row r="218" spans="2:3" hidden="1">
      <c r="B218" s="110">
        <f t="shared" si="1"/>
        <v>2095</v>
      </c>
      <c r="C218" s="111">
        <f>[10]С2.5!$CB$11</f>
        <v>0</v>
      </c>
    </row>
    <row r="219" spans="2:3" hidden="1">
      <c r="B219" s="110">
        <f t="shared" si="1"/>
        <v>2096</v>
      </c>
      <c r="C219" s="111">
        <f>[10]С2.5!$CC$11</f>
        <v>0</v>
      </c>
    </row>
    <row r="220" spans="2:3" hidden="1">
      <c r="B220" s="110">
        <f t="shared" si="1"/>
        <v>2097</v>
      </c>
      <c r="C220" s="111">
        <f>[10]С2.5!$CD$11</f>
        <v>0</v>
      </c>
    </row>
    <row r="221" spans="2:3" hidden="1">
      <c r="B221" s="110">
        <f t="shared" si="1"/>
        <v>2098</v>
      </c>
      <c r="C221" s="111">
        <f>[10]С2.5!$CE$11</f>
        <v>0</v>
      </c>
    </row>
    <row r="222" spans="2:3" hidden="1">
      <c r="B222" s="110">
        <f t="shared" si="1"/>
        <v>2099</v>
      </c>
      <c r="C222" s="111">
        <f>[10]С2.5!$CF$11</f>
        <v>0</v>
      </c>
    </row>
    <row r="223" spans="2:3" ht="13.5" hidden="1" thickBot="1">
      <c r="B223" s="112">
        <f t="shared" si="1"/>
        <v>2100</v>
      </c>
      <c r="C223" s="113">
        <f>[10]С2.5!$CG$11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Button 1">
              <controlPr defaultSize="0" print="0" autoFill="0" autoPict="0" macro="[1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[11]И1!D13</f>
        <v>Субъект Российской Федерации</v>
      </c>
      <c r="C4" s="10" t="str">
        <f>[11]И1!E13</f>
        <v>Новосибирская область</v>
      </c>
    </row>
    <row r="5" spans="1:3" ht="38.25">
      <c r="A5" s="8"/>
      <c r="B5" s="9" t="str">
        <f>[11]И1!D14</f>
        <v>Тип муниципального образования (выберите из списка)</v>
      </c>
      <c r="C5" s="10" t="str">
        <f>[11]И1!E14</f>
        <v>поселок Красная Грива, Доволенский муниципальный район</v>
      </c>
    </row>
    <row r="6" spans="1:3">
      <c r="A6" s="8"/>
      <c r="B6" s="9" t="str">
        <f>IF([11]И1!E15="","",[11]И1!D15)</f>
        <v/>
      </c>
      <c r="C6" s="10" t="str">
        <f>IF([11]И1!E15="","",[11]И1!E15)</f>
        <v/>
      </c>
    </row>
    <row r="7" spans="1:3">
      <c r="A7" s="8"/>
      <c r="B7" s="9" t="str">
        <f>[11]И1!D16</f>
        <v>Код ОКТМО</v>
      </c>
      <c r="C7" s="11" t="str">
        <f>[11]И1!E16</f>
        <v>50610419101</v>
      </c>
    </row>
    <row r="8" spans="1:3">
      <c r="A8" s="8"/>
      <c r="B8" s="12" t="str">
        <f>[11]И1!D17</f>
        <v>Система теплоснабжения</v>
      </c>
      <c r="C8" s="13">
        <f>[11]И1!E17</f>
        <v>0</v>
      </c>
    </row>
    <row r="9" spans="1:3">
      <c r="A9" s="8"/>
      <c r="B9" s="9" t="str">
        <f>[11]И1!D8</f>
        <v>Период регулирования (i)-й</v>
      </c>
      <c r="C9" s="14">
        <f>[11]И1!E8</f>
        <v>2023</v>
      </c>
    </row>
    <row r="10" spans="1:3">
      <c r="A10" s="8"/>
      <c r="B10" s="9" t="str">
        <f>[11]И1!D9</f>
        <v>Период регулирования (i-1)-й</v>
      </c>
      <c r="C10" s="14">
        <f>[11]И1!E9</f>
        <v>2022</v>
      </c>
    </row>
    <row r="11" spans="1:3">
      <c r="A11" s="8"/>
      <c r="B11" s="9" t="str">
        <f>[11]И1!D10</f>
        <v>Период регулирования (i-2)-й</v>
      </c>
      <c r="C11" s="14">
        <f>[11]И1!E10</f>
        <v>2021</v>
      </c>
    </row>
    <row r="12" spans="1:3">
      <c r="A12" s="8"/>
      <c r="B12" s="9" t="str">
        <f>[11]И1!D11</f>
        <v>Базовый год (б)</v>
      </c>
      <c r="C12" s="14">
        <f>[11]И1!E11</f>
        <v>2019</v>
      </c>
    </row>
    <row r="13" spans="1:3" ht="38.25">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4078.165378592872</v>
      </c>
    </row>
    <row r="18" spans="1:3" ht="42.75">
      <c r="A18" s="22" t="s">
        <v>8</v>
      </c>
      <c r="B18" s="25" t="s">
        <v>9</v>
      </c>
      <c r="C18" s="26">
        <f>[11]С1!F12</f>
        <v>973.93557655348741</v>
      </c>
    </row>
    <row r="19" spans="1:3" ht="42.75">
      <c r="A19" s="22" t="s">
        <v>10</v>
      </c>
      <c r="B19" s="25" t="s">
        <v>11</v>
      </c>
      <c r="C19" s="26">
        <f>[11]С2!F12</f>
        <v>2105.0745921739249</v>
      </c>
    </row>
    <row r="20" spans="1:3" ht="30">
      <c r="A20" s="22" t="s">
        <v>12</v>
      </c>
      <c r="B20" s="25" t="s">
        <v>13</v>
      </c>
      <c r="C20" s="26">
        <f>[11]С3!F12</f>
        <v>503.57282204972699</v>
      </c>
    </row>
    <row r="21" spans="1:3" ht="42.75">
      <c r="A21" s="22" t="s">
        <v>14</v>
      </c>
      <c r="B21" s="25" t="s">
        <v>15</v>
      </c>
      <c r="C21" s="26">
        <f>[11]С4!F12</f>
        <v>415.61836078449949</v>
      </c>
    </row>
    <row r="22" spans="1:3" ht="30">
      <c r="A22" s="22" t="s">
        <v>16</v>
      </c>
      <c r="B22" s="25" t="s">
        <v>17</v>
      </c>
      <c r="C22" s="26">
        <f>[11]С5!F12</f>
        <v>79.964027031232789</v>
      </c>
    </row>
    <row r="23" spans="1:3" ht="43.5" thickBot="1">
      <c r="A23" s="27" t="s">
        <v>18</v>
      </c>
      <c r="B23" s="117" t="s">
        <v>19</v>
      </c>
      <c r="C23" s="28" t="str">
        <f>[11]С6!F12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[11]С1.1!E16</f>
        <v>5100</v>
      </c>
    </row>
    <row r="29" spans="1:3" ht="42.75">
      <c r="A29" s="22" t="s">
        <v>10</v>
      </c>
      <c r="B29" s="33" t="s">
        <v>22</v>
      </c>
      <c r="C29" s="34">
        <f>[11]С1.1!E27</f>
        <v>2618.75</v>
      </c>
    </row>
    <row r="30" spans="1:3" ht="17.25">
      <c r="A30" s="22" t="s">
        <v>12</v>
      </c>
      <c r="B30" s="33" t="s">
        <v>23</v>
      </c>
      <c r="C30" s="35">
        <f>[11]С1.1!E19</f>
        <v>0.59499999999999997</v>
      </c>
    </row>
    <row r="31" spans="1:3" ht="17.25">
      <c r="A31" s="22" t="s">
        <v>14</v>
      </c>
      <c r="B31" s="33" t="s">
        <v>24</v>
      </c>
      <c r="C31" s="35">
        <f>[11]С1.1!E20</f>
        <v>-0.113</v>
      </c>
    </row>
    <row r="32" spans="1:3" ht="30">
      <c r="A32" s="22" t="s">
        <v>16</v>
      </c>
      <c r="B32" s="36" t="s">
        <v>25</v>
      </c>
      <c r="C32" s="37">
        <f>[11]С1!F13</f>
        <v>176.4</v>
      </c>
    </row>
    <row r="33" spans="1:3">
      <c r="A33" s="22" t="s">
        <v>18</v>
      </c>
      <c r="B33" s="36" t="s">
        <v>26</v>
      </c>
      <c r="C33" s="38">
        <f>[11]С1!F16</f>
        <v>7000</v>
      </c>
    </row>
    <row r="34" spans="1:3" ht="14.25">
      <c r="A34" s="22" t="s">
        <v>27</v>
      </c>
      <c r="B34" s="39" t="s">
        <v>28</v>
      </c>
      <c r="C34" s="40">
        <f>[11]С1!F17</f>
        <v>0.72857142857142854</v>
      </c>
    </row>
    <row r="35" spans="1:3" ht="15.75">
      <c r="A35" s="41" t="s">
        <v>29</v>
      </c>
      <c r="B35" s="42" t="s">
        <v>30</v>
      </c>
      <c r="C35" s="40">
        <f>[11]С1!F20</f>
        <v>21.588411179999994</v>
      </c>
    </row>
    <row r="36" spans="1:3" ht="15.75">
      <c r="A36" s="41" t="s">
        <v>31</v>
      </c>
      <c r="B36" s="43" t="s">
        <v>32</v>
      </c>
      <c r="C36" s="40">
        <f>[11]С1!F21</f>
        <v>20.818139999999996</v>
      </c>
    </row>
    <row r="37" spans="1:3" ht="14.25">
      <c r="A37" s="41" t="s">
        <v>33</v>
      </c>
      <c r="B37" s="44" t="s">
        <v>34</v>
      </c>
      <c r="C37" s="40">
        <f>[11]С1!F22</f>
        <v>1.0369999999999999</v>
      </c>
    </row>
    <row r="38" spans="1:3" ht="53.25" thickBot="1">
      <c r="A38" s="27" t="s">
        <v>35</v>
      </c>
      <c r="B38" s="45" t="s">
        <v>36</v>
      </c>
      <c r="C38" s="46">
        <f>[11]С1!F23</f>
        <v>1.0469999999999999</v>
      </c>
    </row>
    <row r="39" spans="1:3" ht="13.5" thickBot="1">
      <c r="A39" s="47"/>
      <c r="B39" s="48"/>
      <c r="C39" s="49"/>
    </row>
    <row r="40" spans="1:3" ht="30" customHeight="1">
      <c r="A40" s="50" t="s">
        <v>37</v>
      </c>
      <c r="B40" s="118" t="s">
        <v>38</v>
      </c>
      <c r="C40" s="118"/>
    </row>
    <row r="41" spans="1:3" ht="25.5">
      <c r="A41" s="22" t="s">
        <v>39</v>
      </c>
      <c r="B41" s="36" t="s">
        <v>40</v>
      </c>
      <c r="C41" s="51" t="str">
        <f>[11]С2.1!E12</f>
        <v>V</v>
      </c>
    </row>
    <row r="42" spans="1:3" ht="25.5">
      <c r="A42" s="22" t="s">
        <v>41</v>
      </c>
      <c r="B42" s="33" t="s">
        <v>42</v>
      </c>
      <c r="C42" s="51" t="str">
        <f>[11]С2.1!E13</f>
        <v>6 и менее баллов</v>
      </c>
    </row>
    <row r="43" spans="1:3" ht="25.5">
      <c r="A43" s="22" t="s">
        <v>43</v>
      </c>
      <c r="B43" s="33" t="s">
        <v>44</v>
      </c>
      <c r="C43" s="51" t="str">
        <f>[11]С2.1!E14</f>
        <v>от 200 до 500</v>
      </c>
    </row>
    <row r="44" spans="1:3" ht="25.5">
      <c r="A44" s="22" t="s">
        <v>45</v>
      </c>
      <c r="B44" s="33" t="s">
        <v>46</v>
      </c>
      <c r="C44" s="52" t="str">
        <f>[11]С2.1!E15</f>
        <v>нет</v>
      </c>
    </row>
    <row r="45" spans="1:3" ht="30">
      <c r="A45" s="22" t="s">
        <v>47</v>
      </c>
      <c r="B45" s="33" t="s">
        <v>48</v>
      </c>
      <c r="C45" s="34">
        <f>[11]С2!F18</f>
        <v>32402.627334033532</v>
      </c>
    </row>
    <row r="46" spans="1:3" ht="30">
      <c r="A46" s="22" t="s">
        <v>49</v>
      </c>
      <c r="B46" s="53" t="s">
        <v>50</v>
      </c>
      <c r="C46" s="34">
        <f>IF([11]С2!F19&gt;0,[11]С2!F19,[11]С2!F20)</f>
        <v>23441.524932855718</v>
      </c>
    </row>
    <row r="47" spans="1:3" ht="25.5">
      <c r="A47" s="22" t="s">
        <v>51</v>
      </c>
      <c r="B47" s="54" t="s">
        <v>52</v>
      </c>
      <c r="C47" s="34">
        <f>[11]С2.1!E19</f>
        <v>-38</v>
      </c>
    </row>
    <row r="48" spans="1:3" ht="25.5">
      <c r="A48" s="22" t="s">
        <v>53</v>
      </c>
      <c r="B48" s="54" t="s">
        <v>54</v>
      </c>
      <c r="C48" s="34" t="str">
        <f>[11]С2.1!E22</f>
        <v>нет</v>
      </c>
    </row>
    <row r="49" spans="1:3" ht="38.25">
      <c r="A49" s="22" t="s">
        <v>55</v>
      </c>
      <c r="B49" s="55" t="s">
        <v>56</v>
      </c>
      <c r="C49" s="34">
        <f>[11]С2.2!E10</f>
        <v>1287</v>
      </c>
    </row>
    <row r="50" spans="1:3" ht="25.5">
      <c r="A50" s="22" t="s">
        <v>57</v>
      </c>
      <c r="B50" s="56" t="s">
        <v>58</v>
      </c>
      <c r="C50" s="34">
        <f>[11]С2.2!E12</f>
        <v>5.97</v>
      </c>
    </row>
    <row r="51" spans="1:3" ht="52.5">
      <c r="A51" s="22" t="s">
        <v>59</v>
      </c>
      <c r="B51" s="57" t="s">
        <v>60</v>
      </c>
      <c r="C51" s="34">
        <f>[11]С2.2!E13</f>
        <v>1</v>
      </c>
    </row>
    <row r="52" spans="1:3" ht="27.75">
      <c r="A52" s="22" t="s">
        <v>61</v>
      </c>
      <c r="B52" s="56" t="s">
        <v>62</v>
      </c>
      <c r="C52" s="34">
        <f>[11]С2.2!E14</f>
        <v>12104</v>
      </c>
    </row>
    <row r="53" spans="1:3" ht="25.5">
      <c r="A53" s="22" t="s">
        <v>63</v>
      </c>
      <c r="B53" s="57" t="s">
        <v>64</v>
      </c>
      <c r="C53" s="35">
        <f>[11]С2.2!E15</f>
        <v>4.8000000000000001E-2</v>
      </c>
    </row>
    <row r="54" spans="1:3">
      <c r="A54" s="22" t="s">
        <v>65</v>
      </c>
      <c r="B54" s="57" t="s">
        <v>66</v>
      </c>
      <c r="C54" s="34">
        <f>[11]С2.2!E16</f>
        <v>1</v>
      </c>
    </row>
    <row r="55" spans="1:3" ht="15.75">
      <c r="A55" s="22" t="s">
        <v>67</v>
      </c>
      <c r="B55" s="58" t="s">
        <v>68</v>
      </c>
      <c r="C55" s="34">
        <f>[11]С2!F21</f>
        <v>1</v>
      </c>
    </row>
    <row r="56" spans="1:3" ht="30">
      <c r="A56" s="59" t="s">
        <v>69</v>
      </c>
      <c r="B56" s="33" t="s">
        <v>70</v>
      </c>
      <c r="C56" s="34">
        <f>[11]С2!F13</f>
        <v>169640.22915965237</v>
      </c>
    </row>
    <row r="57" spans="1:3" ht="30">
      <c r="A57" s="59" t="s">
        <v>71</v>
      </c>
      <c r="B57" s="58" t="s">
        <v>72</v>
      </c>
      <c r="C57" s="34">
        <f>[11]С2!F14</f>
        <v>113455</v>
      </c>
    </row>
    <row r="58" spans="1:3" ht="15.75">
      <c r="A58" s="59" t="s">
        <v>73</v>
      </c>
      <c r="B58" s="60" t="s">
        <v>74</v>
      </c>
      <c r="C58" s="40">
        <f>[11]С2!F15</f>
        <v>1.071</v>
      </c>
    </row>
    <row r="59" spans="1:3" ht="15.75">
      <c r="A59" s="59" t="s">
        <v>75</v>
      </c>
      <c r="B59" s="60" t="s">
        <v>76</v>
      </c>
      <c r="C59" s="40">
        <f>[11]С2!F16</f>
        <v>1</v>
      </c>
    </row>
    <row r="60" spans="1:3" ht="17.25">
      <c r="A60" s="59" t="s">
        <v>77</v>
      </c>
      <c r="B60" s="58" t="s">
        <v>78</v>
      </c>
      <c r="C60" s="34">
        <f>[11]С2!F17</f>
        <v>1.01</v>
      </c>
    </row>
    <row r="61" spans="1:3" s="63" customFormat="1" ht="14.25">
      <c r="A61" s="59" t="s">
        <v>79</v>
      </c>
      <c r="B61" s="61" t="s">
        <v>80</v>
      </c>
      <c r="C61" s="62">
        <f>[11]С2!F33</f>
        <v>10</v>
      </c>
    </row>
    <row r="62" spans="1:3" ht="30">
      <c r="A62" s="59" t="s">
        <v>81</v>
      </c>
      <c r="B62" s="64" t="s">
        <v>82</v>
      </c>
      <c r="C62" s="34">
        <f>[11]С2!F26</f>
        <v>1012.1091133444331</v>
      </c>
    </row>
    <row r="63" spans="1:3" ht="17.25">
      <c r="A63" s="59" t="s">
        <v>83</v>
      </c>
      <c r="B63" s="53" t="s">
        <v>84</v>
      </c>
      <c r="C63" s="34">
        <f>[11]С2!F27</f>
        <v>0.17433463600000002</v>
      </c>
    </row>
    <row r="64" spans="1:3" ht="17.25">
      <c r="A64" s="59" t="s">
        <v>85</v>
      </c>
      <c r="B64" s="58" t="s">
        <v>86</v>
      </c>
      <c r="C64" s="62">
        <f>[11]С2!F28</f>
        <v>4200</v>
      </c>
    </row>
    <row r="65" spans="1:3" ht="42.75">
      <c r="A65" s="59" t="s">
        <v>87</v>
      </c>
      <c r="B65" s="33" t="s">
        <v>88</v>
      </c>
      <c r="C65" s="34">
        <f>[11]С2!F22</f>
        <v>35717.748653137714</v>
      </c>
    </row>
    <row r="66" spans="1:3" ht="30">
      <c r="A66" s="59" t="s">
        <v>89</v>
      </c>
      <c r="B66" s="60" t="s">
        <v>90</v>
      </c>
      <c r="C66" s="34">
        <f>[11]С2!F23</f>
        <v>1990</v>
      </c>
    </row>
    <row r="67" spans="1:3" ht="30">
      <c r="A67" s="59" t="s">
        <v>91</v>
      </c>
      <c r="B67" s="53" t="s">
        <v>92</v>
      </c>
      <c r="C67" s="34">
        <f>[11]С2.1!E27</f>
        <v>14307.876789999998</v>
      </c>
    </row>
    <row r="68" spans="1:3" ht="38.25">
      <c r="A68" s="59" t="s">
        <v>93</v>
      </c>
      <c r="B68" s="65" t="s">
        <v>94</v>
      </c>
      <c r="C68" s="52">
        <f>[11]С2.3!E21</f>
        <v>0</v>
      </c>
    </row>
    <row r="69" spans="1:3" ht="25.5">
      <c r="A69" s="59" t="s">
        <v>95</v>
      </c>
      <c r="B69" s="66" t="s">
        <v>96</v>
      </c>
      <c r="C69" s="67">
        <f>[11]С2.3!E11</f>
        <v>9.89</v>
      </c>
    </row>
    <row r="70" spans="1:3" ht="25.5">
      <c r="A70" s="59" t="s">
        <v>97</v>
      </c>
      <c r="B70" s="66" t="s">
        <v>98</v>
      </c>
      <c r="C70" s="62">
        <f>[11]С2.3!E13</f>
        <v>300</v>
      </c>
    </row>
    <row r="71" spans="1:3" ht="25.5">
      <c r="A71" s="59" t="s">
        <v>99</v>
      </c>
      <c r="B71" s="65" t="s">
        <v>100</v>
      </c>
      <c r="C71" s="68">
        <f>IF([11]С2.3!E22&gt;0,[11]С2.3!E22,[11]С2.3!E14)</f>
        <v>61211</v>
      </c>
    </row>
    <row r="72" spans="1:3" ht="38.25">
      <c r="A72" s="59" t="s">
        <v>101</v>
      </c>
      <c r="B72" s="65" t="s">
        <v>102</v>
      </c>
      <c r="C72" s="68">
        <f>IF([11]С2.3!E23&gt;0,[11]С2.3!E23,[11]С2.3!E15)</f>
        <v>45675</v>
      </c>
    </row>
    <row r="73" spans="1:3" ht="30">
      <c r="A73" s="59" t="s">
        <v>103</v>
      </c>
      <c r="B73" s="53" t="s">
        <v>104</v>
      </c>
      <c r="C73" s="34">
        <f>[11]С2.1!E28</f>
        <v>9541.9567200000001</v>
      </c>
    </row>
    <row r="74" spans="1:3" ht="38.25">
      <c r="A74" s="59" t="s">
        <v>105</v>
      </c>
      <c r="B74" s="65" t="s">
        <v>106</v>
      </c>
      <c r="C74" s="52">
        <f>[11]С2.3!E25</f>
        <v>0</v>
      </c>
    </row>
    <row r="75" spans="1:3" ht="25.5">
      <c r="A75" s="59" t="s">
        <v>107</v>
      </c>
      <c r="B75" s="66" t="s">
        <v>108</v>
      </c>
      <c r="C75" s="67">
        <f>[11]С2.3!E12</f>
        <v>0.56000000000000005</v>
      </c>
    </row>
    <row r="76" spans="1:3" ht="25.5">
      <c r="A76" s="59" t="s">
        <v>109</v>
      </c>
      <c r="B76" s="66" t="s">
        <v>98</v>
      </c>
      <c r="C76" s="62">
        <f>[11]С2.3!E13</f>
        <v>300</v>
      </c>
    </row>
    <row r="77" spans="1:3" ht="25.5">
      <c r="A77" s="59" t="s">
        <v>110</v>
      </c>
      <c r="B77" s="69" t="s">
        <v>111</v>
      </c>
      <c r="C77" s="68">
        <f>IF([11]С2.3!E26&gt;0,[11]С2.3!E26,[11]С2.3!E16)</f>
        <v>65637</v>
      </c>
    </row>
    <row r="78" spans="1:3" ht="38.25">
      <c r="A78" s="59" t="s">
        <v>112</v>
      </c>
      <c r="B78" s="69" t="s">
        <v>113</v>
      </c>
      <c r="C78" s="68">
        <f>IF([11]С2.3!E27&gt;0,[11]С2.3!E27,[11]С2.3!E17)</f>
        <v>31684</v>
      </c>
    </row>
    <row r="79" spans="1:3" ht="17.25">
      <c r="A79" s="59" t="s">
        <v>114</v>
      </c>
      <c r="B79" s="33" t="s">
        <v>115</v>
      </c>
      <c r="C79" s="35">
        <f>[11]С2!F29</f>
        <v>0.128978033685065</v>
      </c>
    </row>
    <row r="80" spans="1:3" ht="30">
      <c r="A80" s="59" t="s">
        <v>116</v>
      </c>
      <c r="B80" s="53" t="s">
        <v>117</v>
      </c>
      <c r="C80" s="70">
        <f>[11]С2!F30</f>
        <v>0.11668498168498169</v>
      </c>
    </row>
    <row r="81" spans="1:3" ht="17.25">
      <c r="A81" s="59" t="s">
        <v>118</v>
      </c>
      <c r="B81" s="71" t="s">
        <v>119</v>
      </c>
      <c r="C81" s="35">
        <f>[11]С2!F31</f>
        <v>0.13880000000000001</v>
      </c>
    </row>
    <row r="82" spans="1:3" s="63" customFormat="1" ht="18" thickBot="1">
      <c r="A82" s="72" t="s">
        <v>120</v>
      </c>
      <c r="B82" s="73" t="s">
        <v>121</v>
      </c>
      <c r="C82" s="74">
        <f>[11]С2!F32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[11]С3!F14</f>
        <v>6993.2576401328561</v>
      </c>
    </row>
    <row r="86" spans="1:3" s="63" customFormat="1" ht="42.75">
      <c r="A86" s="77" t="s">
        <v>126</v>
      </c>
      <c r="B86" s="53" t="s">
        <v>127</v>
      </c>
      <c r="C86" s="78">
        <f>[11]С3!F15</f>
        <v>0.2</v>
      </c>
    </row>
    <row r="87" spans="1:3" s="63" customFormat="1" ht="14.25">
      <c r="A87" s="77" t="s">
        <v>128</v>
      </c>
      <c r="B87" s="79" t="s">
        <v>129</v>
      </c>
      <c r="C87" s="62">
        <f>[11]С3!F18</f>
        <v>15</v>
      </c>
    </row>
    <row r="88" spans="1:3" s="63" customFormat="1" ht="17.25">
      <c r="A88" s="77" t="s">
        <v>130</v>
      </c>
      <c r="B88" s="33" t="s">
        <v>131</v>
      </c>
      <c r="C88" s="34">
        <f>[11]С3!F19</f>
        <v>3487.1555421534131</v>
      </c>
    </row>
    <row r="89" spans="1:3" s="63" customFormat="1" ht="55.5">
      <c r="A89" s="77" t="s">
        <v>132</v>
      </c>
      <c r="B89" s="53" t="s">
        <v>133</v>
      </c>
      <c r="C89" s="80">
        <f>[11]С3!F20</f>
        <v>2.1999999999999999E-2</v>
      </c>
    </row>
    <row r="90" spans="1:3" s="63" customFormat="1" ht="14.25">
      <c r="A90" s="77" t="s">
        <v>134</v>
      </c>
      <c r="B90" s="58" t="s">
        <v>80</v>
      </c>
      <c r="C90" s="62">
        <f>[11]С3!F21</f>
        <v>10</v>
      </c>
    </row>
    <row r="91" spans="1:3" s="63" customFormat="1" ht="17.25">
      <c r="A91" s="77" t="s">
        <v>135</v>
      </c>
      <c r="B91" s="33" t="s">
        <v>136</v>
      </c>
      <c r="C91" s="34">
        <f>[11]С3!F22</f>
        <v>3.0363273400332993</v>
      </c>
    </row>
    <row r="92" spans="1:3" s="63" customFormat="1" ht="55.5">
      <c r="A92" s="77" t="s">
        <v>137</v>
      </c>
      <c r="B92" s="53" t="s">
        <v>138</v>
      </c>
      <c r="C92" s="80">
        <f>[11]С3!F23</f>
        <v>3.0000000000000001E-3</v>
      </c>
    </row>
    <row r="93" spans="1:3" s="63" customFormat="1" ht="27.75" thickBot="1">
      <c r="A93" s="81" t="s">
        <v>139</v>
      </c>
      <c r="B93" s="82" t="s">
        <v>140</v>
      </c>
      <c r="C93" s="83">
        <f>[11]С3!F24</f>
        <v>1012.1091133444331</v>
      </c>
    </row>
    <row r="94" spans="1:3" ht="13.5" thickBot="1">
      <c r="A94" s="47"/>
      <c r="B94" s="75"/>
      <c r="C94" s="15"/>
    </row>
    <row r="95" spans="1:3" ht="30" customHeight="1">
      <c r="A95" s="84" t="s">
        <v>141</v>
      </c>
      <c r="B95" s="118" t="s">
        <v>142</v>
      </c>
      <c r="C95" s="118"/>
    </row>
    <row r="96" spans="1:3" ht="30">
      <c r="A96" s="59" t="s">
        <v>143</v>
      </c>
      <c r="B96" s="33" t="s">
        <v>144</v>
      </c>
      <c r="C96" s="34">
        <f>[11]С4!F16</f>
        <v>1652.5</v>
      </c>
    </row>
    <row r="97" spans="1:3" ht="30">
      <c r="A97" s="59" t="s">
        <v>145</v>
      </c>
      <c r="B97" s="58" t="s">
        <v>146</v>
      </c>
      <c r="C97" s="34">
        <f>[11]С4!F17</f>
        <v>73547</v>
      </c>
    </row>
    <row r="98" spans="1:3" ht="17.25">
      <c r="A98" s="59" t="s">
        <v>147</v>
      </c>
      <c r="B98" s="58" t="s">
        <v>148</v>
      </c>
      <c r="C98" s="40">
        <f>[11]С4!F18</f>
        <v>0.02</v>
      </c>
    </row>
    <row r="99" spans="1:3" ht="30">
      <c r="A99" s="59" t="s">
        <v>149</v>
      </c>
      <c r="B99" s="58" t="s">
        <v>150</v>
      </c>
      <c r="C99" s="34">
        <f>[11]С4!F19</f>
        <v>12104</v>
      </c>
    </row>
    <row r="100" spans="1:3" ht="31.5">
      <c r="A100" s="59" t="s">
        <v>151</v>
      </c>
      <c r="B100" s="58" t="s">
        <v>152</v>
      </c>
      <c r="C100" s="40">
        <f>[11]С4!F20</f>
        <v>1.4999999999999999E-2</v>
      </c>
    </row>
    <row r="101" spans="1:3" ht="30">
      <c r="A101" s="59" t="s">
        <v>153</v>
      </c>
      <c r="B101" s="33" t="s">
        <v>154</v>
      </c>
      <c r="C101" s="34">
        <f>[11]С4!F21</f>
        <v>1933.1949342509995</v>
      </c>
    </row>
    <row r="102" spans="1:3" ht="24" customHeight="1">
      <c r="A102" s="59" t="s">
        <v>155</v>
      </c>
      <c r="B102" s="53" t="s">
        <v>156</v>
      </c>
      <c r="C102" s="85">
        <f>IF([11]С4.2!F8="да",[11]С4.2!D21,[11]С4.2!D15)</f>
        <v>0</v>
      </c>
    </row>
    <row r="103" spans="1:3" ht="68.25">
      <c r="A103" s="59" t="s">
        <v>157</v>
      </c>
      <c r="B103" s="53" t="s">
        <v>158</v>
      </c>
      <c r="C103" s="34">
        <f>[11]С4!F22</f>
        <v>3.6112641666666665</v>
      </c>
    </row>
    <row r="104" spans="1:3" ht="30">
      <c r="A104" s="59" t="s">
        <v>159</v>
      </c>
      <c r="B104" s="58" t="s">
        <v>160</v>
      </c>
      <c r="C104" s="34">
        <f>[11]С4!F23</f>
        <v>180</v>
      </c>
    </row>
    <row r="105" spans="1:3" ht="14.25">
      <c r="A105" s="59" t="s">
        <v>161</v>
      </c>
      <c r="B105" s="53" t="s">
        <v>162</v>
      </c>
      <c r="C105" s="34">
        <f>[11]С4!F24</f>
        <v>8497.1999999999989</v>
      </c>
    </row>
    <row r="106" spans="1:3" ht="14.25">
      <c r="A106" s="59" t="s">
        <v>163</v>
      </c>
      <c r="B106" s="58" t="s">
        <v>164</v>
      </c>
      <c r="C106" s="40">
        <f>[11]С4!F25</f>
        <v>0.35</v>
      </c>
    </row>
    <row r="107" spans="1:3" ht="17.25">
      <c r="A107" s="59" t="s">
        <v>165</v>
      </c>
      <c r="B107" s="33" t="s">
        <v>166</v>
      </c>
      <c r="C107" s="34">
        <f>[11]С4!F26</f>
        <v>76.165410000000008</v>
      </c>
    </row>
    <row r="108" spans="1:3" ht="25.5">
      <c r="A108" s="59" t="s">
        <v>167</v>
      </c>
      <c r="B108" s="53" t="s">
        <v>94</v>
      </c>
      <c r="C108" s="85">
        <f>[11]С4.3!E16</f>
        <v>0</v>
      </c>
    </row>
    <row r="109" spans="1:3" ht="25.5">
      <c r="A109" s="59" t="s">
        <v>168</v>
      </c>
      <c r="B109" s="53" t="s">
        <v>169</v>
      </c>
      <c r="C109" s="34">
        <f>[11]С4.3!E17</f>
        <v>20.190000000000001</v>
      </c>
    </row>
    <row r="110" spans="1:3" ht="38.25">
      <c r="A110" s="59" t="s">
        <v>170</v>
      </c>
      <c r="B110" s="53" t="s">
        <v>106</v>
      </c>
      <c r="C110" s="85">
        <f>[11]С4.3!E18</f>
        <v>0</v>
      </c>
    </row>
    <row r="111" spans="1:3">
      <c r="A111" s="59" t="s">
        <v>171</v>
      </c>
      <c r="B111" s="53" t="s">
        <v>172</v>
      </c>
      <c r="C111" s="34">
        <f>[11]С4.3!E19</f>
        <v>26.27</v>
      </c>
    </row>
    <row r="112" spans="1:3">
      <c r="A112" s="59" t="s">
        <v>173</v>
      </c>
      <c r="B112" s="58" t="s">
        <v>174</v>
      </c>
      <c r="C112" s="34">
        <f>[11]С4.3!E11</f>
        <v>1871</v>
      </c>
    </row>
    <row r="113" spans="1:3">
      <c r="A113" s="59" t="s">
        <v>175</v>
      </c>
      <c r="B113" s="58" t="s">
        <v>176</v>
      </c>
      <c r="C113" s="52">
        <f>[11]С4.3!E12</f>
        <v>1636</v>
      </c>
    </row>
    <row r="114" spans="1:3">
      <c r="A114" s="59" t="s">
        <v>177</v>
      </c>
      <c r="B114" s="58" t="s">
        <v>178</v>
      </c>
      <c r="C114" s="52">
        <f>[11]С4.3!E13</f>
        <v>204</v>
      </c>
    </row>
    <row r="115" spans="1:3" ht="30">
      <c r="A115" s="59" t="s">
        <v>179</v>
      </c>
      <c r="B115" s="33" t="s">
        <v>180</v>
      </c>
      <c r="C115" s="34">
        <f>[11]С4!F27</f>
        <v>1040.8858115370676</v>
      </c>
    </row>
    <row r="116" spans="1:3" ht="25.5">
      <c r="A116" s="59" t="s">
        <v>181</v>
      </c>
      <c r="B116" s="53" t="s">
        <v>182</v>
      </c>
      <c r="C116" s="34">
        <f>[11]С4!F28</f>
        <v>799.45146815442979</v>
      </c>
    </row>
    <row r="117" spans="1:3" ht="42.75">
      <c r="A117" s="59" t="s">
        <v>183</v>
      </c>
      <c r="B117" s="53" t="s">
        <v>184</v>
      </c>
      <c r="C117" s="34">
        <f>[11]С4!F29</f>
        <v>241.43434338263785</v>
      </c>
    </row>
    <row r="118" spans="1:3" ht="30">
      <c r="A118" s="59" t="s">
        <v>185</v>
      </c>
      <c r="B118" s="39" t="s">
        <v>186</v>
      </c>
      <c r="C118" s="34">
        <f>[11]С4!F30</f>
        <v>2151.9140914267205</v>
      </c>
    </row>
    <row r="119" spans="1:3" ht="42.75">
      <c r="A119" s="59" t="s">
        <v>187</v>
      </c>
      <c r="B119" s="86" t="s">
        <v>188</v>
      </c>
      <c r="C119" s="34">
        <f>[11]С4!F33</f>
        <v>1436.3275838569853</v>
      </c>
    </row>
    <row r="120" spans="1:3" ht="30">
      <c r="A120" s="59" t="s">
        <v>189</v>
      </c>
      <c r="B120" s="87" t="s">
        <v>190</v>
      </c>
      <c r="C120" s="34">
        <f>[11]С4!F35</f>
        <v>17.040680999999999</v>
      </c>
    </row>
    <row r="121" spans="1:3" ht="14.25">
      <c r="A121" s="59" t="s">
        <v>191</v>
      </c>
      <c r="B121" s="56" t="s">
        <v>192</v>
      </c>
      <c r="C121" s="34">
        <f>[11]С4!F36</f>
        <v>14319.9</v>
      </c>
    </row>
    <row r="122" spans="1:3" ht="28.5" thickBot="1">
      <c r="A122" s="72" t="s">
        <v>193</v>
      </c>
      <c r="B122" s="88" t="s">
        <v>194</v>
      </c>
      <c r="C122" s="83">
        <f>[11]С4!F37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[11]С5!F17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[11]С2!F37</f>
        <v>20.818139999999996</v>
      </c>
    </row>
    <row r="136" spans="1:4" ht="14.25">
      <c r="A136" s="59" t="s">
        <v>216</v>
      </c>
      <c r="B136" s="101" t="s">
        <v>217</v>
      </c>
      <c r="C136" s="34">
        <f>[11]С2!F38</f>
        <v>7</v>
      </c>
    </row>
    <row r="137" spans="1:4" ht="17.25">
      <c r="A137" s="59" t="s">
        <v>218</v>
      </c>
      <c r="B137" s="101" t="s">
        <v>219</v>
      </c>
      <c r="C137" s="34">
        <f>[11]С2!F40</f>
        <v>0.97</v>
      </c>
    </row>
    <row r="138" spans="1:4" ht="15" thickBot="1">
      <c r="A138" s="72" t="s">
        <v>220</v>
      </c>
      <c r="B138" s="102" t="s">
        <v>221</v>
      </c>
      <c r="C138" s="46">
        <f>[11]С2!F42</f>
        <v>0.35</v>
      </c>
    </row>
    <row r="139" spans="1:4" s="89" customFormat="1" ht="13.5" thickBot="1">
      <c r="A139" s="47"/>
      <c r="B139" s="75"/>
      <c r="C139" s="15"/>
    </row>
    <row r="140" spans="1:4" ht="30">
      <c r="A140" s="84" t="s">
        <v>222</v>
      </c>
      <c r="B140" s="103" t="s">
        <v>223</v>
      </c>
      <c r="C140" s="104">
        <f>[11]С2!F35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[11]С2.5!$E$11</f>
        <v>-2.9000000000000026E-2</v>
      </c>
      <c r="D143" s="89"/>
    </row>
    <row r="144" spans="1:4">
      <c r="A144" s="105"/>
      <c r="B144" s="110">
        <f>B143+1</f>
        <v>2021</v>
      </c>
      <c r="C144" s="111">
        <f>[11]С2.5!$F$11</f>
        <v>0.245</v>
      </c>
      <c r="D144" s="89"/>
    </row>
    <row r="145" spans="1:4">
      <c r="A145" s="105"/>
      <c r="B145" s="110">
        <f t="shared" ref="B145:B208" si="0">B144+1</f>
        <v>2022</v>
      </c>
      <c r="C145" s="111">
        <f>[11]С2.5!$G$11</f>
        <v>0.121</v>
      </c>
      <c r="D145" s="89"/>
    </row>
    <row r="146" spans="1:4" ht="13.5" thickBot="1">
      <c r="A146" s="105"/>
      <c r="B146" s="112">
        <f t="shared" si="0"/>
        <v>2023</v>
      </c>
      <c r="C146" s="113">
        <f>[11]С2.5!$H$11</f>
        <v>0.02</v>
      </c>
      <c r="D146" s="89"/>
    </row>
    <row r="147" spans="1:4" hidden="1">
      <c r="A147" s="105"/>
      <c r="B147" s="114">
        <f t="shared" si="0"/>
        <v>2024</v>
      </c>
      <c r="C147" s="115">
        <f>[11]С2.5!$I$11</f>
        <v>-2.93E-2</v>
      </c>
      <c r="D147" s="89"/>
    </row>
    <row r="148" spans="1:4" hidden="1">
      <c r="A148" s="105"/>
      <c r="B148" s="110">
        <f t="shared" si="0"/>
        <v>2025</v>
      </c>
      <c r="C148" s="111">
        <f>[11]С2.5!$J$11</f>
        <v>0.21215960863291</v>
      </c>
      <c r="D148" s="89"/>
    </row>
    <row r="149" spans="1:4" hidden="1">
      <c r="A149" s="105"/>
      <c r="B149" s="110">
        <f t="shared" si="0"/>
        <v>2026</v>
      </c>
      <c r="C149" s="111">
        <f>[11]С2.5!$K$11</f>
        <v>3.5813361771260002E-2</v>
      </c>
      <c r="D149" s="89"/>
    </row>
    <row r="150" spans="1:4" hidden="1">
      <c r="A150" s="105"/>
      <c r="B150" s="110">
        <f t="shared" si="0"/>
        <v>2027</v>
      </c>
      <c r="C150" s="111">
        <f>[11]С2.5!$L$11</f>
        <v>3.2682303599220003E-2</v>
      </c>
      <c r="D150" s="89"/>
    </row>
    <row r="151" spans="1:4" hidden="1">
      <c r="A151" s="105"/>
      <c r="B151" s="110">
        <f t="shared" si="0"/>
        <v>2028</v>
      </c>
      <c r="C151" s="111">
        <f>[11]С2.5!$M$11</f>
        <v>0</v>
      </c>
      <c r="D151" s="89"/>
    </row>
    <row r="152" spans="1:4" hidden="1">
      <c r="A152" s="105"/>
      <c r="B152" s="110">
        <f t="shared" si="0"/>
        <v>2029</v>
      </c>
      <c r="C152" s="111">
        <f>[11]С2.5!$N$11</f>
        <v>0</v>
      </c>
      <c r="D152" s="89"/>
    </row>
    <row r="153" spans="1:4" hidden="1">
      <c r="A153" s="105"/>
      <c r="B153" s="110">
        <f t="shared" si="0"/>
        <v>2030</v>
      </c>
      <c r="C153" s="111">
        <f>[11]С2.5!$O$11</f>
        <v>0</v>
      </c>
      <c r="D153" s="89"/>
    </row>
    <row r="154" spans="1:4" hidden="1">
      <c r="A154" s="105"/>
      <c r="B154" s="110">
        <f t="shared" si="0"/>
        <v>2031</v>
      </c>
      <c r="C154" s="111">
        <f>[11]С2.5!$P$11</f>
        <v>0</v>
      </c>
      <c r="D154" s="89"/>
    </row>
    <row r="155" spans="1:4" hidden="1">
      <c r="A155" s="89"/>
      <c r="B155" s="110">
        <f t="shared" si="0"/>
        <v>2032</v>
      </c>
      <c r="C155" s="111">
        <f>[11]С2.5!$Q$11</f>
        <v>0</v>
      </c>
      <c r="D155" s="89"/>
    </row>
    <row r="156" spans="1:4" hidden="1">
      <c r="A156" s="89"/>
      <c r="B156" s="110">
        <f t="shared" si="0"/>
        <v>2033</v>
      </c>
      <c r="C156" s="111">
        <f>[11]С2.5!$R$11</f>
        <v>0</v>
      </c>
      <c r="D156" s="89"/>
    </row>
    <row r="157" spans="1:4" hidden="1">
      <c r="B157" s="110">
        <f t="shared" si="0"/>
        <v>2034</v>
      </c>
      <c r="C157" s="111">
        <f>[11]С2.5!$S$11</f>
        <v>0</v>
      </c>
    </row>
    <row r="158" spans="1:4" hidden="1">
      <c r="B158" s="110">
        <f t="shared" si="0"/>
        <v>2035</v>
      </c>
      <c r="C158" s="111">
        <f>[11]С2.5!$T$11</f>
        <v>0</v>
      </c>
    </row>
    <row r="159" spans="1:4" hidden="1">
      <c r="B159" s="110">
        <f t="shared" si="0"/>
        <v>2036</v>
      </c>
      <c r="C159" s="111">
        <f>[11]С2.5!$U$11</f>
        <v>0</v>
      </c>
    </row>
    <row r="160" spans="1:4" hidden="1">
      <c r="B160" s="110">
        <f t="shared" si="0"/>
        <v>2037</v>
      </c>
      <c r="C160" s="111">
        <f>[11]С2.5!$V$11</f>
        <v>0</v>
      </c>
    </row>
    <row r="161" spans="2:3" hidden="1">
      <c r="B161" s="110">
        <f t="shared" si="0"/>
        <v>2038</v>
      </c>
      <c r="C161" s="111">
        <f>[11]С2.5!$W$11</f>
        <v>0</v>
      </c>
    </row>
    <row r="162" spans="2:3" hidden="1">
      <c r="B162" s="110">
        <f t="shared" si="0"/>
        <v>2039</v>
      </c>
      <c r="C162" s="111">
        <f>[11]С2.5!$X$11</f>
        <v>0</v>
      </c>
    </row>
    <row r="163" spans="2:3" hidden="1">
      <c r="B163" s="110">
        <f t="shared" si="0"/>
        <v>2040</v>
      </c>
      <c r="C163" s="111">
        <f>[11]С2.5!$Y$11</f>
        <v>0</v>
      </c>
    </row>
    <row r="164" spans="2:3" hidden="1">
      <c r="B164" s="110">
        <f t="shared" si="0"/>
        <v>2041</v>
      </c>
      <c r="C164" s="111">
        <f>[11]С2.5!$Z$11</f>
        <v>0</v>
      </c>
    </row>
    <row r="165" spans="2:3" hidden="1">
      <c r="B165" s="110">
        <f t="shared" si="0"/>
        <v>2042</v>
      </c>
      <c r="C165" s="111">
        <f>[11]С2.5!$AA$11</f>
        <v>0</v>
      </c>
    </row>
    <row r="166" spans="2:3" hidden="1">
      <c r="B166" s="110">
        <f t="shared" si="0"/>
        <v>2043</v>
      </c>
      <c r="C166" s="111">
        <f>[11]С2.5!$AB$11</f>
        <v>0</v>
      </c>
    </row>
    <row r="167" spans="2:3" hidden="1">
      <c r="B167" s="110">
        <f t="shared" si="0"/>
        <v>2044</v>
      </c>
      <c r="C167" s="111">
        <f>[11]С2.5!$AC$11</f>
        <v>0</v>
      </c>
    </row>
    <row r="168" spans="2:3" hidden="1">
      <c r="B168" s="110">
        <f t="shared" si="0"/>
        <v>2045</v>
      </c>
      <c r="C168" s="111">
        <f>[11]С2.5!$AD$11</f>
        <v>0</v>
      </c>
    </row>
    <row r="169" spans="2:3" hidden="1">
      <c r="B169" s="110">
        <f t="shared" si="0"/>
        <v>2046</v>
      </c>
      <c r="C169" s="111">
        <f>[11]С2.5!$AE$11</f>
        <v>0</v>
      </c>
    </row>
    <row r="170" spans="2:3" hidden="1">
      <c r="B170" s="110">
        <f t="shared" si="0"/>
        <v>2047</v>
      </c>
      <c r="C170" s="111">
        <f>[11]С2.5!$AF$11</f>
        <v>0</v>
      </c>
    </row>
    <row r="171" spans="2:3" hidden="1">
      <c r="B171" s="110">
        <f t="shared" si="0"/>
        <v>2048</v>
      </c>
      <c r="C171" s="111">
        <f>[11]С2.5!$AG$11</f>
        <v>0</v>
      </c>
    </row>
    <row r="172" spans="2:3" hidden="1">
      <c r="B172" s="110">
        <f t="shared" si="0"/>
        <v>2049</v>
      </c>
      <c r="C172" s="111">
        <f>[11]С2.5!$AH$11</f>
        <v>0</v>
      </c>
    </row>
    <row r="173" spans="2:3" hidden="1">
      <c r="B173" s="110">
        <f t="shared" si="0"/>
        <v>2050</v>
      </c>
      <c r="C173" s="111">
        <f>[11]С2.5!$AI$11</f>
        <v>0</v>
      </c>
    </row>
    <row r="174" spans="2:3" hidden="1">
      <c r="B174" s="110">
        <f t="shared" si="0"/>
        <v>2051</v>
      </c>
      <c r="C174" s="111">
        <f>[11]С2.5!$AJ$11</f>
        <v>0</v>
      </c>
    </row>
    <row r="175" spans="2:3" hidden="1">
      <c r="B175" s="110">
        <f t="shared" si="0"/>
        <v>2052</v>
      </c>
      <c r="C175" s="111">
        <f>[11]С2.5!$AK$11</f>
        <v>0</v>
      </c>
    </row>
    <row r="176" spans="2:3" hidden="1">
      <c r="B176" s="110">
        <f t="shared" si="0"/>
        <v>2053</v>
      </c>
      <c r="C176" s="111">
        <f>[11]С2.5!$AL$11</f>
        <v>0</v>
      </c>
    </row>
    <row r="177" spans="2:3" hidden="1">
      <c r="B177" s="110">
        <f t="shared" si="0"/>
        <v>2054</v>
      </c>
      <c r="C177" s="111">
        <f>[11]С2.5!$AM$11</f>
        <v>0</v>
      </c>
    </row>
    <row r="178" spans="2:3" hidden="1">
      <c r="B178" s="110">
        <f t="shared" si="0"/>
        <v>2055</v>
      </c>
      <c r="C178" s="111">
        <f>[11]С2.5!$AN$11</f>
        <v>0</v>
      </c>
    </row>
    <row r="179" spans="2:3" hidden="1">
      <c r="B179" s="110">
        <f t="shared" si="0"/>
        <v>2056</v>
      </c>
      <c r="C179" s="111">
        <f>[11]С2.5!$AO$11</f>
        <v>0</v>
      </c>
    </row>
    <row r="180" spans="2:3" hidden="1">
      <c r="B180" s="110">
        <f t="shared" si="0"/>
        <v>2057</v>
      </c>
      <c r="C180" s="111">
        <f>[11]С2.5!$AP$11</f>
        <v>0</v>
      </c>
    </row>
    <row r="181" spans="2:3" hidden="1">
      <c r="B181" s="110">
        <f t="shared" si="0"/>
        <v>2058</v>
      </c>
      <c r="C181" s="111">
        <f>[11]С2.5!$AQ$11</f>
        <v>0</v>
      </c>
    </row>
    <row r="182" spans="2:3" hidden="1">
      <c r="B182" s="110">
        <f t="shared" si="0"/>
        <v>2059</v>
      </c>
      <c r="C182" s="111">
        <f>[11]С2.5!$AR$11</f>
        <v>0</v>
      </c>
    </row>
    <row r="183" spans="2:3" hidden="1">
      <c r="B183" s="110">
        <f t="shared" si="0"/>
        <v>2060</v>
      </c>
      <c r="C183" s="111">
        <f>[11]С2.5!$AS$11</f>
        <v>0</v>
      </c>
    </row>
    <row r="184" spans="2:3" hidden="1">
      <c r="B184" s="110">
        <f t="shared" si="0"/>
        <v>2061</v>
      </c>
      <c r="C184" s="111">
        <f>[11]С2.5!$AT$11</f>
        <v>0</v>
      </c>
    </row>
    <row r="185" spans="2:3" hidden="1">
      <c r="B185" s="110">
        <f t="shared" si="0"/>
        <v>2062</v>
      </c>
      <c r="C185" s="111">
        <f>[11]С2.5!$AU$11</f>
        <v>0</v>
      </c>
    </row>
    <row r="186" spans="2:3" hidden="1">
      <c r="B186" s="110">
        <f t="shared" si="0"/>
        <v>2063</v>
      </c>
      <c r="C186" s="111">
        <f>[11]С2.5!$AV$11</f>
        <v>0</v>
      </c>
    </row>
    <row r="187" spans="2:3" hidden="1">
      <c r="B187" s="110">
        <f t="shared" si="0"/>
        <v>2064</v>
      </c>
      <c r="C187" s="111">
        <f>[11]С2.5!$AW$11</f>
        <v>0</v>
      </c>
    </row>
    <row r="188" spans="2:3" hidden="1">
      <c r="B188" s="110">
        <f t="shared" si="0"/>
        <v>2065</v>
      </c>
      <c r="C188" s="111">
        <f>[11]С2.5!$AX$11</f>
        <v>0</v>
      </c>
    </row>
    <row r="189" spans="2:3" hidden="1">
      <c r="B189" s="110">
        <f t="shared" si="0"/>
        <v>2066</v>
      </c>
      <c r="C189" s="111">
        <f>[11]С2.5!$AY$11</f>
        <v>0</v>
      </c>
    </row>
    <row r="190" spans="2:3" hidden="1">
      <c r="B190" s="110">
        <f t="shared" si="0"/>
        <v>2067</v>
      </c>
      <c r="C190" s="111">
        <f>[11]С2.5!$AZ$11</f>
        <v>0</v>
      </c>
    </row>
    <row r="191" spans="2:3" hidden="1">
      <c r="B191" s="110">
        <f t="shared" si="0"/>
        <v>2068</v>
      </c>
      <c r="C191" s="111">
        <f>[11]С2.5!$BA$11</f>
        <v>0</v>
      </c>
    </row>
    <row r="192" spans="2:3" hidden="1">
      <c r="B192" s="110">
        <f t="shared" si="0"/>
        <v>2069</v>
      </c>
      <c r="C192" s="111">
        <f>[11]С2.5!$BB$11</f>
        <v>0</v>
      </c>
    </row>
    <row r="193" spans="2:3" hidden="1">
      <c r="B193" s="110">
        <f t="shared" si="0"/>
        <v>2070</v>
      </c>
      <c r="C193" s="111">
        <f>[11]С2.5!$BC$11</f>
        <v>0</v>
      </c>
    </row>
    <row r="194" spans="2:3" hidden="1">
      <c r="B194" s="110">
        <f t="shared" si="0"/>
        <v>2071</v>
      </c>
      <c r="C194" s="111">
        <f>[11]С2.5!$BD$11</f>
        <v>0</v>
      </c>
    </row>
    <row r="195" spans="2:3" hidden="1">
      <c r="B195" s="110">
        <f t="shared" si="0"/>
        <v>2072</v>
      </c>
      <c r="C195" s="111">
        <f>[11]С2.5!$BE$11</f>
        <v>0</v>
      </c>
    </row>
    <row r="196" spans="2:3" hidden="1">
      <c r="B196" s="110">
        <f t="shared" si="0"/>
        <v>2073</v>
      </c>
      <c r="C196" s="111">
        <f>[11]С2.5!$BF$11</f>
        <v>0</v>
      </c>
    </row>
    <row r="197" spans="2:3" hidden="1">
      <c r="B197" s="110">
        <f t="shared" si="0"/>
        <v>2074</v>
      </c>
      <c r="C197" s="111">
        <f>[11]С2.5!$BG$11</f>
        <v>0</v>
      </c>
    </row>
    <row r="198" spans="2:3" hidden="1">
      <c r="B198" s="110">
        <f t="shared" si="0"/>
        <v>2075</v>
      </c>
      <c r="C198" s="111">
        <f>[11]С2.5!$BH$11</f>
        <v>0</v>
      </c>
    </row>
    <row r="199" spans="2:3" hidden="1">
      <c r="B199" s="110">
        <f t="shared" si="0"/>
        <v>2076</v>
      </c>
      <c r="C199" s="111">
        <f>[11]С2.5!$BI$11</f>
        <v>0</v>
      </c>
    </row>
    <row r="200" spans="2:3" hidden="1">
      <c r="B200" s="110">
        <f t="shared" si="0"/>
        <v>2077</v>
      </c>
      <c r="C200" s="111">
        <f>[11]С2.5!$BJ$11</f>
        <v>0</v>
      </c>
    </row>
    <row r="201" spans="2:3" hidden="1">
      <c r="B201" s="110">
        <f t="shared" si="0"/>
        <v>2078</v>
      </c>
      <c r="C201" s="111">
        <f>[11]С2.5!$BK$11</f>
        <v>0</v>
      </c>
    </row>
    <row r="202" spans="2:3" hidden="1">
      <c r="B202" s="110">
        <f t="shared" si="0"/>
        <v>2079</v>
      </c>
      <c r="C202" s="111">
        <f>[11]С2.5!$BL$11</f>
        <v>0</v>
      </c>
    </row>
    <row r="203" spans="2:3" hidden="1">
      <c r="B203" s="110">
        <f t="shared" si="0"/>
        <v>2080</v>
      </c>
      <c r="C203" s="111">
        <f>[11]С2.5!$BM$11</f>
        <v>0</v>
      </c>
    </row>
    <row r="204" spans="2:3" hidden="1">
      <c r="B204" s="110">
        <f t="shared" si="0"/>
        <v>2081</v>
      </c>
      <c r="C204" s="111">
        <f>[11]С2.5!$BN$11</f>
        <v>0</v>
      </c>
    </row>
    <row r="205" spans="2:3" hidden="1">
      <c r="B205" s="110">
        <f t="shared" si="0"/>
        <v>2082</v>
      </c>
      <c r="C205" s="111">
        <f>[11]С2.5!$BO$11</f>
        <v>0</v>
      </c>
    </row>
    <row r="206" spans="2:3" hidden="1">
      <c r="B206" s="110">
        <f t="shared" si="0"/>
        <v>2083</v>
      </c>
      <c r="C206" s="111">
        <f>[11]С2.5!$BP$11</f>
        <v>0</v>
      </c>
    </row>
    <row r="207" spans="2:3" hidden="1">
      <c r="B207" s="110">
        <f t="shared" si="0"/>
        <v>2084</v>
      </c>
      <c r="C207" s="111">
        <f>[11]С2.5!$BQ$11</f>
        <v>0</v>
      </c>
    </row>
    <row r="208" spans="2:3" hidden="1">
      <c r="B208" s="110">
        <f t="shared" si="0"/>
        <v>2085</v>
      </c>
      <c r="C208" s="111">
        <f>[11]С2.5!$BR$11</f>
        <v>0</v>
      </c>
    </row>
    <row r="209" spans="2:3" hidden="1">
      <c r="B209" s="110">
        <f t="shared" ref="B209:B223" si="1">B208+1</f>
        <v>2086</v>
      </c>
      <c r="C209" s="111">
        <f>[11]С2.5!$BS$11</f>
        <v>0</v>
      </c>
    </row>
    <row r="210" spans="2:3" hidden="1">
      <c r="B210" s="110">
        <f t="shared" si="1"/>
        <v>2087</v>
      </c>
      <c r="C210" s="111">
        <f>[11]С2.5!$BT$11</f>
        <v>0</v>
      </c>
    </row>
    <row r="211" spans="2:3" hidden="1">
      <c r="B211" s="110">
        <f t="shared" si="1"/>
        <v>2088</v>
      </c>
      <c r="C211" s="111">
        <f>[11]С2.5!$BU$11</f>
        <v>0</v>
      </c>
    </row>
    <row r="212" spans="2:3" hidden="1">
      <c r="B212" s="110">
        <f t="shared" si="1"/>
        <v>2089</v>
      </c>
      <c r="C212" s="111">
        <f>[11]С2.5!$BV$11</f>
        <v>0</v>
      </c>
    </row>
    <row r="213" spans="2:3" hidden="1">
      <c r="B213" s="110">
        <f t="shared" si="1"/>
        <v>2090</v>
      </c>
      <c r="C213" s="111">
        <f>[11]С2.5!$BW$11</f>
        <v>0</v>
      </c>
    </row>
    <row r="214" spans="2:3" hidden="1">
      <c r="B214" s="110">
        <f t="shared" si="1"/>
        <v>2091</v>
      </c>
      <c r="C214" s="111">
        <f>[11]С2.5!$BX$11</f>
        <v>0</v>
      </c>
    </row>
    <row r="215" spans="2:3" hidden="1">
      <c r="B215" s="110">
        <f t="shared" si="1"/>
        <v>2092</v>
      </c>
      <c r="C215" s="111">
        <f>[11]С2.5!$BY$11</f>
        <v>0</v>
      </c>
    </row>
    <row r="216" spans="2:3" hidden="1">
      <c r="B216" s="110">
        <f t="shared" si="1"/>
        <v>2093</v>
      </c>
      <c r="C216" s="111">
        <f>[11]С2.5!$BZ$11</f>
        <v>0</v>
      </c>
    </row>
    <row r="217" spans="2:3" hidden="1">
      <c r="B217" s="110">
        <f t="shared" si="1"/>
        <v>2094</v>
      </c>
      <c r="C217" s="111">
        <f>[11]С2.5!$CA$11</f>
        <v>0</v>
      </c>
    </row>
    <row r="218" spans="2:3" hidden="1">
      <c r="B218" s="110">
        <f t="shared" si="1"/>
        <v>2095</v>
      </c>
      <c r="C218" s="111">
        <f>[11]С2.5!$CB$11</f>
        <v>0</v>
      </c>
    </row>
    <row r="219" spans="2:3" hidden="1">
      <c r="B219" s="110">
        <f t="shared" si="1"/>
        <v>2096</v>
      </c>
      <c r="C219" s="111">
        <f>[11]С2.5!$CC$11</f>
        <v>0</v>
      </c>
    </row>
    <row r="220" spans="2:3" hidden="1">
      <c r="B220" s="110">
        <f t="shared" si="1"/>
        <v>2097</v>
      </c>
      <c r="C220" s="111">
        <f>[11]С2.5!$CD$11</f>
        <v>0</v>
      </c>
    </row>
    <row r="221" spans="2:3" hidden="1">
      <c r="B221" s="110">
        <f t="shared" si="1"/>
        <v>2098</v>
      </c>
      <c r="C221" s="111">
        <f>[11]С2.5!$CE$11</f>
        <v>0</v>
      </c>
    </row>
    <row r="222" spans="2:3" hidden="1">
      <c r="B222" s="110">
        <f t="shared" si="1"/>
        <v>2099</v>
      </c>
      <c r="C222" s="111">
        <f>[11]С2.5!$CF$11</f>
        <v>0</v>
      </c>
    </row>
    <row r="223" spans="2:3" ht="13.5" hidden="1" thickBot="1">
      <c r="B223" s="112">
        <f t="shared" si="1"/>
        <v>2100</v>
      </c>
      <c r="C223" s="113">
        <f>[11]С2.5!$CG$11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[12]И1!D13</f>
        <v>Субъект Российской Федерации</v>
      </c>
      <c r="C4" s="10" t="str">
        <f>[12]И1!E13</f>
        <v>Новосибирская область</v>
      </c>
    </row>
    <row r="5" spans="1:3" ht="38.25">
      <c r="A5" s="8"/>
      <c r="B5" s="9" t="str">
        <f>[12]И1!D14</f>
        <v>Тип муниципального образования (выберите из списка)</v>
      </c>
      <c r="C5" s="10" t="str">
        <f>[12]И1!E14</f>
        <v>село Согорное, Доволенский муниципальный район</v>
      </c>
    </row>
    <row r="6" spans="1:3">
      <c r="A6" s="8"/>
      <c r="B6" s="9" t="str">
        <f>IF([12]И1!E15="","",[12]И1!D15)</f>
        <v/>
      </c>
      <c r="C6" s="10" t="str">
        <f>IF([12]И1!E15="","",[12]И1!E15)</f>
        <v/>
      </c>
    </row>
    <row r="7" spans="1:3">
      <c r="A7" s="8"/>
      <c r="B7" s="9" t="str">
        <f>[12]И1!D16</f>
        <v>Код ОКТМО</v>
      </c>
      <c r="C7" s="11" t="str">
        <f>[12]И1!E16</f>
        <v>50610422101</v>
      </c>
    </row>
    <row r="8" spans="1:3">
      <c r="A8" s="8"/>
      <c r="B8" s="12" t="str">
        <f>[12]И1!D17</f>
        <v>Система теплоснабжения</v>
      </c>
      <c r="C8" s="13">
        <f>[12]И1!E17</f>
        <v>0</v>
      </c>
    </row>
    <row r="9" spans="1:3">
      <c r="A9" s="8"/>
      <c r="B9" s="9" t="str">
        <f>[12]И1!D8</f>
        <v>Период регулирования (i)-й</v>
      </c>
      <c r="C9" s="14">
        <f>[12]И1!E8</f>
        <v>2023</v>
      </c>
    </row>
    <row r="10" spans="1:3">
      <c r="A10" s="8"/>
      <c r="B10" s="9" t="str">
        <f>[12]И1!D9</f>
        <v>Период регулирования (i-1)-й</v>
      </c>
      <c r="C10" s="14">
        <f>[12]И1!E9</f>
        <v>2022</v>
      </c>
    </row>
    <row r="11" spans="1:3">
      <c r="A11" s="8"/>
      <c r="B11" s="9" t="str">
        <f>[12]И1!D10</f>
        <v>Период регулирования (i-2)-й</v>
      </c>
      <c r="C11" s="14">
        <f>[12]И1!E10</f>
        <v>2021</v>
      </c>
    </row>
    <row r="12" spans="1:3">
      <c r="A12" s="8"/>
      <c r="B12" s="9" t="str">
        <f>[12]И1!D11</f>
        <v>Базовый год (б)</v>
      </c>
      <c r="C12" s="14">
        <f>[12]И1!E11</f>
        <v>2019</v>
      </c>
    </row>
    <row r="13" spans="1:3" ht="38.25">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4166.5817364787854</v>
      </c>
    </row>
    <row r="18" spans="1:3" ht="42.75">
      <c r="A18" s="22" t="s">
        <v>8</v>
      </c>
      <c r="B18" s="25" t="s">
        <v>9</v>
      </c>
      <c r="C18" s="26">
        <f>[12]С1!F12</f>
        <v>1056.4372950828554</v>
      </c>
    </row>
    <row r="19" spans="1:3" ht="42.75">
      <c r="A19" s="22" t="s">
        <v>10</v>
      </c>
      <c r="B19" s="25" t="s">
        <v>11</v>
      </c>
      <c r="C19" s="26">
        <f>[12]С2!F12</f>
        <v>2105.0745921739249</v>
      </c>
    </row>
    <row r="20" spans="1:3" ht="30">
      <c r="A20" s="22" t="s">
        <v>12</v>
      </c>
      <c r="B20" s="25" t="s">
        <v>13</v>
      </c>
      <c r="C20" s="26">
        <f>[12]С3!F12</f>
        <v>503.57282204972699</v>
      </c>
    </row>
    <row r="21" spans="1:3" ht="42.75">
      <c r="A21" s="22" t="s">
        <v>14</v>
      </c>
      <c r="B21" s="25" t="s">
        <v>15</v>
      </c>
      <c r="C21" s="26">
        <f>[12]С4!F12</f>
        <v>419.79934606485062</v>
      </c>
    </row>
    <row r="22" spans="1:3" ht="30">
      <c r="A22" s="22" t="s">
        <v>16</v>
      </c>
      <c r="B22" s="25" t="s">
        <v>17</v>
      </c>
      <c r="C22" s="26">
        <f>[12]С5!F12</f>
        <v>81.697681107427158</v>
      </c>
    </row>
    <row r="23" spans="1:3" ht="43.5" thickBot="1">
      <c r="A23" s="27" t="s">
        <v>18</v>
      </c>
      <c r="B23" s="117" t="s">
        <v>19</v>
      </c>
      <c r="C23" s="28" t="str">
        <f>[12]С6!F12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[12]С1.1!E16</f>
        <v>5100</v>
      </c>
    </row>
    <row r="29" spans="1:3" ht="42.75">
      <c r="A29" s="22" t="s">
        <v>10</v>
      </c>
      <c r="B29" s="33" t="s">
        <v>22</v>
      </c>
      <c r="C29" s="34">
        <f>[12]С1.1!E27</f>
        <v>2840.5833333333335</v>
      </c>
    </row>
    <row r="30" spans="1:3" ht="17.25">
      <c r="A30" s="22" t="s">
        <v>12</v>
      </c>
      <c r="B30" s="33" t="s">
        <v>23</v>
      </c>
      <c r="C30" s="35">
        <f>[12]С1.1!E19</f>
        <v>0.59499999999999997</v>
      </c>
    </row>
    <row r="31" spans="1:3" ht="17.25">
      <c r="A31" s="22" t="s">
        <v>14</v>
      </c>
      <c r="B31" s="33" t="s">
        <v>24</v>
      </c>
      <c r="C31" s="35">
        <f>[12]С1.1!E20</f>
        <v>-0.113</v>
      </c>
    </row>
    <row r="32" spans="1:3" ht="30">
      <c r="A32" s="22" t="s">
        <v>16</v>
      </c>
      <c r="B32" s="36" t="s">
        <v>25</v>
      </c>
      <c r="C32" s="37">
        <f>[12]С1!F13</f>
        <v>176.4</v>
      </c>
    </row>
    <row r="33" spans="1:3">
      <c r="A33" s="22" t="s">
        <v>18</v>
      </c>
      <c r="B33" s="36" t="s">
        <v>26</v>
      </c>
      <c r="C33" s="38">
        <f>[12]С1!F16</f>
        <v>7000</v>
      </c>
    </row>
    <row r="34" spans="1:3" ht="14.25">
      <c r="A34" s="22" t="s">
        <v>27</v>
      </c>
      <c r="B34" s="39" t="s">
        <v>28</v>
      </c>
      <c r="C34" s="40">
        <f>[12]С1!F17</f>
        <v>0.72857142857142854</v>
      </c>
    </row>
    <row r="35" spans="1:3" ht="15.75">
      <c r="A35" s="41" t="s">
        <v>29</v>
      </c>
      <c r="B35" s="42" t="s">
        <v>30</v>
      </c>
      <c r="C35" s="40">
        <f>[12]С1!F20</f>
        <v>21.588411179999994</v>
      </c>
    </row>
    <row r="36" spans="1:3" ht="15.75">
      <c r="A36" s="41" t="s">
        <v>31</v>
      </c>
      <c r="B36" s="43" t="s">
        <v>32</v>
      </c>
      <c r="C36" s="40">
        <f>[12]С1!F21</f>
        <v>20.818139999999996</v>
      </c>
    </row>
    <row r="37" spans="1:3" ht="14.25">
      <c r="A37" s="41" t="s">
        <v>33</v>
      </c>
      <c r="B37" s="44" t="s">
        <v>34</v>
      </c>
      <c r="C37" s="40">
        <f>[12]С1!F22</f>
        <v>1.0369999999999999</v>
      </c>
    </row>
    <row r="38" spans="1:3" ht="53.25" thickBot="1">
      <c r="A38" s="27" t="s">
        <v>35</v>
      </c>
      <c r="B38" s="45" t="s">
        <v>36</v>
      </c>
      <c r="C38" s="46">
        <f>[12]С1!F23</f>
        <v>1.0469999999999999</v>
      </c>
    </row>
    <row r="39" spans="1:3" ht="13.5" thickBot="1">
      <c r="A39" s="47"/>
      <c r="B39" s="48"/>
      <c r="C39" s="49"/>
    </row>
    <row r="40" spans="1:3" ht="30" customHeight="1">
      <c r="A40" s="50" t="s">
        <v>37</v>
      </c>
      <c r="B40" s="118" t="s">
        <v>38</v>
      </c>
      <c r="C40" s="118"/>
    </row>
    <row r="41" spans="1:3" ht="25.5">
      <c r="A41" s="22" t="s">
        <v>39</v>
      </c>
      <c r="B41" s="36" t="s">
        <v>40</v>
      </c>
      <c r="C41" s="51" t="str">
        <f>[12]С2.1!E12</f>
        <v>V</v>
      </c>
    </row>
    <row r="42" spans="1:3" ht="25.5">
      <c r="A42" s="22" t="s">
        <v>41</v>
      </c>
      <c r="B42" s="33" t="s">
        <v>42</v>
      </c>
      <c r="C42" s="51" t="str">
        <f>[12]С2.1!E13</f>
        <v>6 и менее баллов</v>
      </c>
    </row>
    <row r="43" spans="1:3" ht="25.5">
      <c r="A43" s="22" t="s">
        <v>43</v>
      </c>
      <c r="B43" s="33" t="s">
        <v>44</v>
      </c>
      <c r="C43" s="51" t="str">
        <f>[12]С2.1!E14</f>
        <v>от 200 до 500</v>
      </c>
    </row>
    <row r="44" spans="1:3" ht="25.5">
      <c r="A44" s="22" t="s">
        <v>45</v>
      </c>
      <c r="B44" s="33" t="s">
        <v>46</v>
      </c>
      <c r="C44" s="52" t="str">
        <f>[12]С2.1!E15</f>
        <v>нет</v>
      </c>
    </row>
    <row r="45" spans="1:3" ht="30">
      <c r="A45" s="22" t="s">
        <v>47</v>
      </c>
      <c r="B45" s="33" t="s">
        <v>48</v>
      </c>
      <c r="C45" s="34">
        <f>[12]С2!F18</f>
        <v>32402.627334033532</v>
      </c>
    </row>
    <row r="46" spans="1:3" ht="30">
      <c r="A46" s="22" t="s">
        <v>49</v>
      </c>
      <c r="B46" s="53" t="s">
        <v>50</v>
      </c>
      <c r="C46" s="34">
        <f>IF([12]С2!F19&gt;0,[12]С2!F19,[12]С2!F20)</f>
        <v>23441.524932855718</v>
      </c>
    </row>
    <row r="47" spans="1:3" ht="25.5">
      <c r="A47" s="22" t="s">
        <v>51</v>
      </c>
      <c r="B47" s="54" t="s">
        <v>52</v>
      </c>
      <c r="C47" s="34">
        <f>[12]С2.1!E19</f>
        <v>-38</v>
      </c>
    </row>
    <row r="48" spans="1:3" ht="25.5">
      <c r="A48" s="22" t="s">
        <v>53</v>
      </c>
      <c r="B48" s="54" t="s">
        <v>54</v>
      </c>
      <c r="C48" s="34" t="str">
        <f>[12]С2.1!E22</f>
        <v>нет</v>
      </c>
    </row>
    <row r="49" spans="1:3" ht="38.25">
      <c r="A49" s="22" t="s">
        <v>55</v>
      </c>
      <c r="B49" s="55" t="s">
        <v>56</v>
      </c>
      <c r="C49" s="34">
        <f>[12]С2.2!E10</f>
        <v>1287</v>
      </c>
    </row>
    <row r="50" spans="1:3" ht="25.5">
      <c r="A50" s="22" t="s">
        <v>57</v>
      </c>
      <c r="B50" s="56" t="s">
        <v>58</v>
      </c>
      <c r="C50" s="34">
        <f>[12]С2.2!E12</f>
        <v>5.97</v>
      </c>
    </row>
    <row r="51" spans="1:3" ht="52.5">
      <c r="A51" s="22" t="s">
        <v>59</v>
      </c>
      <c r="B51" s="57" t="s">
        <v>60</v>
      </c>
      <c r="C51" s="34">
        <f>[12]С2.2!E13</f>
        <v>1</v>
      </c>
    </row>
    <row r="52" spans="1:3" ht="27.75">
      <c r="A52" s="22" t="s">
        <v>61</v>
      </c>
      <c r="B52" s="56" t="s">
        <v>62</v>
      </c>
      <c r="C52" s="34">
        <f>[12]С2.2!E14</f>
        <v>12104</v>
      </c>
    </row>
    <row r="53" spans="1:3" ht="25.5">
      <c r="A53" s="22" t="s">
        <v>63</v>
      </c>
      <c r="B53" s="57" t="s">
        <v>64</v>
      </c>
      <c r="C53" s="35">
        <f>[12]С2.2!E15</f>
        <v>4.8000000000000001E-2</v>
      </c>
    </row>
    <row r="54" spans="1:3">
      <c r="A54" s="22" t="s">
        <v>65</v>
      </c>
      <c r="B54" s="57" t="s">
        <v>66</v>
      </c>
      <c r="C54" s="34">
        <f>[12]С2.2!E16</f>
        <v>1</v>
      </c>
    </row>
    <row r="55" spans="1:3" ht="15.75">
      <c r="A55" s="22" t="s">
        <v>67</v>
      </c>
      <c r="B55" s="58" t="s">
        <v>68</v>
      </c>
      <c r="C55" s="34">
        <f>[12]С2!F21</f>
        <v>1</v>
      </c>
    </row>
    <row r="56" spans="1:3" ht="30">
      <c r="A56" s="59" t="s">
        <v>69</v>
      </c>
      <c r="B56" s="33" t="s">
        <v>70</v>
      </c>
      <c r="C56" s="34">
        <f>[12]С2!F13</f>
        <v>169640.22915965237</v>
      </c>
    </row>
    <row r="57" spans="1:3" ht="30">
      <c r="A57" s="59" t="s">
        <v>71</v>
      </c>
      <c r="B57" s="58" t="s">
        <v>72</v>
      </c>
      <c r="C57" s="34">
        <f>[12]С2!F14</f>
        <v>113455</v>
      </c>
    </row>
    <row r="58" spans="1:3" ht="15.75">
      <c r="A58" s="59" t="s">
        <v>73</v>
      </c>
      <c r="B58" s="60" t="s">
        <v>74</v>
      </c>
      <c r="C58" s="40">
        <f>[12]С2!F15</f>
        <v>1.071</v>
      </c>
    </row>
    <row r="59" spans="1:3" ht="15.75">
      <c r="A59" s="59" t="s">
        <v>75</v>
      </c>
      <c r="B59" s="60" t="s">
        <v>76</v>
      </c>
      <c r="C59" s="40">
        <f>[12]С2!F16</f>
        <v>1</v>
      </c>
    </row>
    <row r="60" spans="1:3" ht="17.25">
      <c r="A60" s="59" t="s">
        <v>77</v>
      </c>
      <c r="B60" s="58" t="s">
        <v>78</v>
      </c>
      <c r="C60" s="34">
        <f>[12]С2!F17</f>
        <v>1.01</v>
      </c>
    </row>
    <row r="61" spans="1:3" s="63" customFormat="1" ht="14.25">
      <c r="A61" s="59" t="s">
        <v>79</v>
      </c>
      <c r="B61" s="61" t="s">
        <v>80</v>
      </c>
      <c r="C61" s="62">
        <f>[12]С2!F33</f>
        <v>10</v>
      </c>
    </row>
    <row r="62" spans="1:3" ht="30">
      <c r="A62" s="59" t="s">
        <v>81</v>
      </c>
      <c r="B62" s="64" t="s">
        <v>82</v>
      </c>
      <c r="C62" s="34">
        <f>[12]С2!F26</f>
        <v>1012.1091133444331</v>
      </c>
    </row>
    <row r="63" spans="1:3" ht="17.25">
      <c r="A63" s="59" t="s">
        <v>83</v>
      </c>
      <c r="B63" s="53" t="s">
        <v>84</v>
      </c>
      <c r="C63" s="34">
        <f>[12]С2!F27</f>
        <v>0.17433463600000002</v>
      </c>
    </row>
    <row r="64" spans="1:3" ht="17.25">
      <c r="A64" s="59" t="s">
        <v>85</v>
      </c>
      <c r="B64" s="58" t="s">
        <v>86</v>
      </c>
      <c r="C64" s="62">
        <f>[12]С2!F28</f>
        <v>4200</v>
      </c>
    </row>
    <row r="65" spans="1:3" ht="42.75">
      <c r="A65" s="59" t="s">
        <v>87</v>
      </c>
      <c r="B65" s="33" t="s">
        <v>88</v>
      </c>
      <c r="C65" s="34">
        <f>[12]С2!F22</f>
        <v>35717.748653137714</v>
      </c>
    </row>
    <row r="66" spans="1:3" ht="30">
      <c r="A66" s="59" t="s">
        <v>89</v>
      </c>
      <c r="B66" s="60" t="s">
        <v>90</v>
      </c>
      <c r="C66" s="34">
        <f>[12]С2!F23</f>
        <v>1990</v>
      </c>
    </row>
    <row r="67" spans="1:3" ht="30">
      <c r="A67" s="59" t="s">
        <v>91</v>
      </c>
      <c r="B67" s="53" t="s">
        <v>92</v>
      </c>
      <c r="C67" s="34">
        <f>[12]С2.1!E27</f>
        <v>14307.876789999998</v>
      </c>
    </row>
    <row r="68" spans="1:3" ht="38.25">
      <c r="A68" s="59" t="s">
        <v>93</v>
      </c>
      <c r="B68" s="65" t="s">
        <v>94</v>
      </c>
      <c r="C68" s="52">
        <f>[12]С2.3!E21</f>
        <v>0</v>
      </c>
    </row>
    <row r="69" spans="1:3" ht="25.5">
      <c r="A69" s="59" t="s">
        <v>95</v>
      </c>
      <c r="B69" s="66" t="s">
        <v>96</v>
      </c>
      <c r="C69" s="67">
        <f>[12]С2.3!E11</f>
        <v>9.89</v>
      </c>
    </row>
    <row r="70" spans="1:3" ht="25.5">
      <c r="A70" s="59" t="s">
        <v>97</v>
      </c>
      <c r="B70" s="66" t="s">
        <v>98</v>
      </c>
      <c r="C70" s="62">
        <f>[12]С2.3!E13</f>
        <v>300</v>
      </c>
    </row>
    <row r="71" spans="1:3" ht="25.5">
      <c r="A71" s="59" t="s">
        <v>99</v>
      </c>
      <c r="B71" s="65" t="s">
        <v>100</v>
      </c>
      <c r="C71" s="68">
        <f>IF([12]С2.3!E22&gt;0,[12]С2.3!E22,[12]С2.3!E14)</f>
        <v>61211</v>
      </c>
    </row>
    <row r="72" spans="1:3" ht="38.25">
      <c r="A72" s="59" t="s">
        <v>101</v>
      </c>
      <c r="B72" s="65" t="s">
        <v>102</v>
      </c>
      <c r="C72" s="68">
        <f>IF([12]С2.3!E23&gt;0,[12]С2.3!E23,[12]С2.3!E15)</f>
        <v>45675</v>
      </c>
    </row>
    <row r="73" spans="1:3" ht="30">
      <c r="A73" s="59" t="s">
        <v>103</v>
      </c>
      <c r="B73" s="53" t="s">
        <v>104</v>
      </c>
      <c r="C73" s="34">
        <f>[12]С2.1!E28</f>
        <v>9541.9567200000001</v>
      </c>
    </row>
    <row r="74" spans="1:3" ht="38.25">
      <c r="A74" s="59" t="s">
        <v>105</v>
      </c>
      <c r="B74" s="65" t="s">
        <v>106</v>
      </c>
      <c r="C74" s="52">
        <f>[12]С2.3!E25</f>
        <v>0</v>
      </c>
    </row>
    <row r="75" spans="1:3" ht="25.5">
      <c r="A75" s="59" t="s">
        <v>107</v>
      </c>
      <c r="B75" s="66" t="s">
        <v>108</v>
      </c>
      <c r="C75" s="67">
        <f>[12]С2.3!E12</f>
        <v>0.56000000000000005</v>
      </c>
    </row>
    <row r="76" spans="1:3" ht="25.5">
      <c r="A76" s="59" t="s">
        <v>109</v>
      </c>
      <c r="B76" s="66" t="s">
        <v>98</v>
      </c>
      <c r="C76" s="62">
        <f>[12]С2.3!E13</f>
        <v>300</v>
      </c>
    </row>
    <row r="77" spans="1:3" ht="25.5">
      <c r="A77" s="59" t="s">
        <v>110</v>
      </c>
      <c r="B77" s="69" t="s">
        <v>111</v>
      </c>
      <c r="C77" s="68">
        <f>IF([12]С2.3!E26&gt;0,[12]С2.3!E26,[12]С2.3!E16)</f>
        <v>65637</v>
      </c>
    </row>
    <row r="78" spans="1:3" ht="38.25">
      <c r="A78" s="59" t="s">
        <v>112</v>
      </c>
      <c r="B78" s="69" t="s">
        <v>113</v>
      </c>
      <c r="C78" s="68">
        <f>IF([12]С2.3!E27&gt;0,[12]С2.3!E27,[12]С2.3!E17)</f>
        <v>31684</v>
      </c>
    </row>
    <row r="79" spans="1:3" ht="17.25">
      <c r="A79" s="59" t="s">
        <v>114</v>
      </c>
      <c r="B79" s="33" t="s">
        <v>115</v>
      </c>
      <c r="C79" s="35">
        <f>[12]С2!F29</f>
        <v>0.128978033685065</v>
      </c>
    </row>
    <row r="80" spans="1:3" ht="30">
      <c r="A80" s="59" t="s">
        <v>116</v>
      </c>
      <c r="B80" s="53" t="s">
        <v>117</v>
      </c>
      <c r="C80" s="70">
        <f>[12]С2!F30</f>
        <v>0.11668498168498169</v>
      </c>
    </row>
    <row r="81" spans="1:3" ht="17.25">
      <c r="A81" s="59" t="s">
        <v>118</v>
      </c>
      <c r="B81" s="71" t="s">
        <v>119</v>
      </c>
      <c r="C81" s="35">
        <f>[12]С2!F31</f>
        <v>0.13880000000000001</v>
      </c>
    </row>
    <row r="82" spans="1:3" s="63" customFormat="1" ht="18" thickBot="1">
      <c r="A82" s="72" t="s">
        <v>120</v>
      </c>
      <c r="B82" s="73" t="s">
        <v>121</v>
      </c>
      <c r="C82" s="74">
        <f>[12]С2!F32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[12]С3!F14</f>
        <v>6993.2576401328561</v>
      </c>
    </row>
    <row r="86" spans="1:3" s="63" customFormat="1" ht="42.75">
      <c r="A86" s="77" t="s">
        <v>126</v>
      </c>
      <c r="B86" s="53" t="s">
        <v>127</v>
      </c>
      <c r="C86" s="78">
        <f>[12]С3!F15</f>
        <v>0.2</v>
      </c>
    </row>
    <row r="87" spans="1:3" s="63" customFormat="1" ht="14.25">
      <c r="A87" s="77" t="s">
        <v>128</v>
      </c>
      <c r="B87" s="79" t="s">
        <v>129</v>
      </c>
      <c r="C87" s="62">
        <f>[12]С3!F18</f>
        <v>15</v>
      </c>
    </row>
    <row r="88" spans="1:3" s="63" customFormat="1" ht="17.25">
      <c r="A88" s="77" t="s">
        <v>130</v>
      </c>
      <c r="B88" s="33" t="s">
        <v>131</v>
      </c>
      <c r="C88" s="34">
        <f>[12]С3!F19</f>
        <v>3487.1555421534131</v>
      </c>
    </row>
    <row r="89" spans="1:3" s="63" customFormat="1" ht="55.5">
      <c r="A89" s="77" t="s">
        <v>132</v>
      </c>
      <c r="B89" s="53" t="s">
        <v>133</v>
      </c>
      <c r="C89" s="80">
        <f>[12]С3!F20</f>
        <v>2.1999999999999999E-2</v>
      </c>
    </row>
    <row r="90" spans="1:3" s="63" customFormat="1" ht="14.25">
      <c r="A90" s="77" t="s">
        <v>134</v>
      </c>
      <c r="B90" s="58" t="s">
        <v>80</v>
      </c>
      <c r="C90" s="62">
        <f>[12]С3!F21</f>
        <v>10</v>
      </c>
    </row>
    <row r="91" spans="1:3" s="63" customFormat="1" ht="17.25">
      <c r="A91" s="77" t="s">
        <v>135</v>
      </c>
      <c r="B91" s="33" t="s">
        <v>136</v>
      </c>
      <c r="C91" s="34">
        <f>[12]С3!F22</f>
        <v>3.0363273400332993</v>
      </c>
    </row>
    <row r="92" spans="1:3" s="63" customFormat="1" ht="55.5">
      <c r="A92" s="77" t="s">
        <v>137</v>
      </c>
      <c r="B92" s="53" t="s">
        <v>138</v>
      </c>
      <c r="C92" s="80">
        <f>[12]С3!F23</f>
        <v>3.0000000000000001E-3</v>
      </c>
    </row>
    <row r="93" spans="1:3" s="63" customFormat="1" ht="27.75" thickBot="1">
      <c r="A93" s="81" t="s">
        <v>139</v>
      </c>
      <c r="B93" s="82" t="s">
        <v>140</v>
      </c>
      <c r="C93" s="83">
        <f>[12]С3!F24</f>
        <v>1012.1091133444331</v>
      </c>
    </row>
    <row r="94" spans="1:3" ht="13.5" thickBot="1">
      <c r="A94" s="47"/>
      <c r="B94" s="75"/>
      <c r="C94" s="15"/>
    </row>
    <row r="95" spans="1:3" ht="30" customHeight="1">
      <c r="A95" s="84" t="s">
        <v>141</v>
      </c>
      <c r="B95" s="118" t="s">
        <v>142</v>
      </c>
      <c r="C95" s="118"/>
    </row>
    <row r="96" spans="1:3" ht="30">
      <c r="A96" s="59" t="s">
        <v>143</v>
      </c>
      <c r="B96" s="33" t="s">
        <v>144</v>
      </c>
      <c r="C96" s="34">
        <f>[12]С4!F16</f>
        <v>1652.5</v>
      </c>
    </row>
    <row r="97" spans="1:3" ht="30">
      <c r="A97" s="59" t="s">
        <v>145</v>
      </c>
      <c r="B97" s="58" t="s">
        <v>146</v>
      </c>
      <c r="C97" s="34">
        <f>[12]С4!F17</f>
        <v>73547</v>
      </c>
    </row>
    <row r="98" spans="1:3" ht="17.25">
      <c r="A98" s="59" t="s">
        <v>147</v>
      </c>
      <c r="B98" s="58" t="s">
        <v>148</v>
      </c>
      <c r="C98" s="40">
        <f>[12]С4!F18</f>
        <v>0.02</v>
      </c>
    </row>
    <row r="99" spans="1:3" ht="30">
      <c r="A99" s="59" t="s">
        <v>149</v>
      </c>
      <c r="B99" s="58" t="s">
        <v>150</v>
      </c>
      <c r="C99" s="34">
        <f>[12]С4!F19</f>
        <v>12104</v>
      </c>
    </row>
    <row r="100" spans="1:3" ht="31.5">
      <c r="A100" s="59" t="s">
        <v>151</v>
      </c>
      <c r="B100" s="58" t="s">
        <v>152</v>
      </c>
      <c r="C100" s="40">
        <f>[12]С4!F20</f>
        <v>1.4999999999999999E-2</v>
      </c>
    </row>
    <row r="101" spans="1:3" ht="30">
      <c r="A101" s="59" t="s">
        <v>153</v>
      </c>
      <c r="B101" s="33" t="s">
        <v>154</v>
      </c>
      <c r="C101" s="34">
        <f>[12]С4!F21</f>
        <v>1933.1949342509995</v>
      </c>
    </row>
    <row r="102" spans="1:3" ht="24" customHeight="1">
      <c r="A102" s="59" t="s">
        <v>155</v>
      </c>
      <c r="B102" s="53" t="s">
        <v>156</v>
      </c>
      <c r="C102" s="85">
        <f>IF([12]С4.2!F8="да",[12]С4.2!D21,[12]С4.2!D15)</f>
        <v>0</v>
      </c>
    </row>
    <row r="103" spans="1:3" ht="68.25">
      <c r="A103" s="59" t="s">
        <v>157</v>
      </c>
      <c r="B103" s="53" t="s">
        <v>158</v>
      </c>
      <c r="C103" s="34">
        <f>[12]С4!F22</f>
        <v>3.6112641666666665</v>
      </c>
    </row>
    <row r="104" spans="1:3" ht="30">
      <c r="A104" s="59" t="s">
        <v>159</v>
      </c>
      <c r="B104" s="58" t="s">
        <v>160</v>
      </c>
      <c r="C104" s="34">
        <f>[12]С4!F23</f>
        <v>180</v>
      </c>
    </row>
    <row r="105" spans="1:3" ht="14.25">
      <c r="A105" s="59" t="s">
        <v>161</v>
      </c>
      <c r="B105" s="53" t="s">
        <v>162</v>
      </c>
      <c r="C105" s="34">
        <f>[12]С4!F24</f>
        <v>8497.1999999999989</v>
      </c>
    </row>
    <row r="106" spans="1:3" ht="14.25">
      <c r="A106" s="59" t="s">
        <v>163</v>
      </c>
      <c r="B106" s="58" t="s">
        <v>164</v>
      </c>
      <c r="C106" s="40">
        <f>[12]С4!F25</f>
        <v>0.35</v>
      </c>
    </row>
    <row r="107" spans="1:3" ht="17.25">
      <c r="A107" s="59" t="s">
        <v>165</v>
      </c>
      <c r="B107" s="33" t="s">
        <v>166</v>
      </c>
      <c r="C107" s="34">
        <f>[12]С4!F26</f>
        <v>53.299770000000002</v>
      </c>
    </row>
    <row r="108" spans="1:3" ht="25.5">
      <c r="A108" s="59" t="s">
        <v>167</v>
      </c>
      <c r="B108" s="53" t="s">
        <v>94</v>
      </c>
      <c r="C108" s="85">
        <f>[12]С4.3!E16</f>
        <v>0</v>
      </c>
    </row>
    <row r="109" spans="1:3" ht="25.5">
      <c r="A109" s="59" t="s">
        <v>168</v>
      </c>
      <c r="B109" s="53" t="s">
        <v>169</v>
      </c>
      <c r="C109" s="34">
        <f>[12]С4.3!E17</f>
        <v>13.67</v>
      </c>
    </row>
    <row r="110" spans="1:3" ht="38.25">
      <c r="A110" s="59" t="s">
        <v>170</v>
      </c>
      <c r="B110" s="53" t="s">
        <v>106</v>
      </c>
      <c r="C110" s="85">
        <f>[12]С4.3!E18</f>
        <v>0</v>
      </c>
    </row>
    <row r="111" spans="1:3">
      <c r="A111" s="59" t="s">
        <v>171</v>
      </c>
      <c r="B111" s="53" t="s">
        <v>172</v>
      </c>
      <c r="C111" s="34">
        <f>[12]С4.3!E19</f>
        <v>26.27</v>
      </c>
    </row>
    <row r="112" spans="1:3">
      <c r="A112" s="59" t="s">
        <v>173</v>
      </c>
      <c r="B112" s="58" t="s">
        <v>174</v>
      </c>
      <c r="C112" s="34">
        <f>[12]С4.3!E11</f>
        <v>1871</v>
      </c>
    </row>
    <row r="113" spans="1:3">
      <c r="A113" s="59" t="s">
        <v>175</v>
      </c>
      <c r="B113" s="58" t="s">
        <v>176</v>
      </c>
      <c r="C113" s="52">
        <f>[12]С4.3!E12</f>
        <v>1636</v>
      </c>
    </row>
    <row r="114" spans="1:3">
      <c r="A114" s="59" t="s">
        <v>177</v>
      </c>
      <c r="B114" s="58" t="s">
        <v>178</v>
      </c>
      <c r="C114" s="52">
        <f>[12]С4.3!E13</f>
        <v>204</v>
      </c>
    </row>
    <row r="115" spans="1:3" ht="30">
      <c r="A115" s="59" t="s">
        <v>179</v>
      </c>
      <c r="B115" s="33" t="s">
        <v>180</v>
      </c>
      <c r="C115" s="34">
        <f>[12]С4!F27</f>
        <v>1040.8858115370676</v>
      </c>
    </row>
    <row r="116" spans="1:3" ht="25.5">
      <c r="A116" s="59" t="s">
        <v>181</v>
      </c>
      <c r="B116" s="53" t="s">
        <v>182</v>
      </c>
      <c r="C116" s="34">
        <f>[12]С4!F28</f>
        <v>799.45146815442979</v>
      </c>
    </row>
    <row r="117" spans="1:3" ht="42.75">
      <c r="A117" s="59" t="s">
        <v>183</v>
      </c>
      <c r="B117" s="53" t="s">
        <v>184</v>
      </c>
      <c r="C117" s="34">
        <f>[12]С4!F29</f>
        <v>241.43434338263785</v>
      </c>
    </row>
    <row r="118" spans="1:3" ht="30">
      <c r="A118" s="59" t="s">
        <v>185</v>
      </c>
      <c r="B118" s="39" t="s">
        <v>186</v>
      </c>
      <c r="C118" s="34">
        <f>[12]С4!F30</f>
        <v>2270.5610244802087</v>
      </c>
    </row>
    <row r="119" spans="1:3" ht="42.75">
      <c r="A119" s="59" t="s">
        <v>187</v>
      </c>
      <c r="B119" s="86" t="s">
        <v>188</v>
      </c>
      <c r="C119" s="34">
        <f>[12]С4!F33</f>
        <v>1556.5548467179333</v>
      </c>
    </row>
    <row r="120" spans="1:3" ht="30">
      <c r="A120" s="59" t="s">
        <v>189</v>
      </c>
      <c r="B120" s="87" t="s">
        <v>190</v>
      </c>
      <c r="C120" s="34">
        <f>[12]С4!F35</f>
        <v>17.040680999999999</v>
      </c>
    </row>
    <row r="121" spans="1:3" ht="14.25">
      <c r="A121" s="59" t="s">
        <v>191</v>
      </c>
      <c r="B121" s="56" t="s">
        <v>192</v>
      </c>
      <c r="C121" s="34">
        <f>[12]С4!F36</f>
        <v>14319.9</v>
      </c>
    </row>
    <row r="122" spans="1:3" ht="28.5" thickBot="1">
      <c r="A122" s="72" t="s">
        <v>193</v>
      </c>
      <c r="B122" s="88" t="s">
        <v>194</v>
      </c>
      <c r="C122" s="83">
        <f>[12]С4!F37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[12]С5!F17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[12]С2!F37</f>
        <v>20.818139999999996</v>
      </c>
    </row>
    <row r="136" spans="1:4" ht="14.25">
      <c r="A136" s="59" t="s">
        <v>216</v>
      </c>
      <c r="B136" s="101" t="s">
        <v>217</v>
      </c>
      <c r="C136" s="34">
        <f>[12]С2!F38</f>
        <v>7</v>
      </c>
    </row>
    <row r="137" spans="1:4" ht="17.25">
      <c r="A137" s="59" t="s">
        <v>218</v>
      </c>
      <c r="B137" s="101" t="s">
        <v>219</v>
      </c>
      <c r="C137" s="34">
        <f>[12]С2!F40</f>
        <v>0.97</v>
      </c>
    </row>
    <row r="138" spans="1:4" ht="15" thickBot="1">
      <c r="A138" s="72" t="s">
        <v>220</v>
      </c>
      <c r="B138" s="102" t="s">
        <v>221</v>
      </c>
      <c r="C138" s="46">
        <f>[12]С2!F42</f>
        <v>0.35</v>
      </c>
    </row>
    <row r="139" spans="1:4" s="89" customFormat="1" ht="13.5" thickBot="1">
      <c r="A139" s="47"/>
      <c r="B139" s="75"/>
      <c r="C139" s="15"/>
    </row>
    <row r="140" spans="1:4" ht="30">
      <c r="A140" s="84" t="s">
        <v>222</v>
      </c>
      <c r="B140" s="103" t="s">
        <v>223</v>
      </c>
      <c r="C140" s="104">
        <f>[12]С2!F35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[12]С2.5!$E$11</f>
        <v>-2.9000000000000026E-2</v>
      </c>
      <c r="D143" s="89"/>
    </row>
    <row r="144" spans="1:4">
      <c r="A144" s="105"/>
      <c r="B144" s="110">
        <f>B143+1</f>
        <v>2021</v>
      </c>
      <c r="C144" s="111">
        <f>[12]С2.5!$F$11</f>
        <v>0.245</v>
      </c>
      <c r="D144" s="89"/>
    </row>
    <row r="145" spans="1:4">
      <c r="A145" s="105"/>
      <c r="B145" s="110">
        <f t="shared" ref="B145:B208" si="0">B144+1</f>
        <v>2022</v>
      </c>
      <c r="C145" s="111">
        <f>[12]С2.5!$G$11</f>
        <v>0.121</v>
      </c>
      <c r="D145" s="89"/>
    </row>
    <row r="146" spans="1:4" ht="13.5" thickBot="1">
      <c r="A146" s="105"/>
      <c r="B146" s="112">
        <f t="shared" si="0"/>
        <v>2023</v>
      </c>
      <c r="C146" s="113">
        <f>[12]С2.5!$H$11</f>
        <v>0.02</v>
      </c>
      <c r="D146" s="89"/>
    </row>
    <row r="147" spans="1:4" hidden="1">
      <c r="A147" s="105"/>
      <c r="B147" s="114">
        <f t="shared" si="0"/>
        <v>2024</v>
      </c>
      <c r="C147" s="115">
        <f>[12]С2.5!$I$11</f>
        <v>-2.93E-2</v>
      </c>
      <c r="D147" s="89"/>
    </row>
    <row r="148" spans="1:4" hidden="1">
      <c r="A148" s="105"/>
      <c r="B148" s="110">
        <f t="shared" si="0"/>
        <v>2025</v>
      </c>
      <c r="C148" s="111">
        <f>[12]С2.5!$J$11</f>
        <v>0.21215960863291</v>
      </c>
      <c r="D148" s="89"/>
    </row>
    <row r="149" spans="1:4" hidden="1">
      <c r="A149" s="105"/>
      <c r="B149" s="110">
        <f t="shared" si="0"/>
        <v>2026</v>
      </c>
      <c r="C149" s="111">
        <f>[12]С2.5!$K$11</f>
        <v>3.5813361771260002E-2</v>
      </c>
      <c r="D149" s="89"/>
    </row>
    <row r="150" spans="1:4" hidden="1">
      <c r="A150" s="105"/>
      <c r="B150" s="110">
        <f t="shared" si="0"/>
        <v>2027</v>
      </c>
      <c r="C150" s="111">
        <f>[12]С2.5!$L$11</f>
        <v>3.2682303599220003E-2</v>
      </c>
      <c r="D150" s="89"/>
    </row>
    <row r="151" spans="1:4" hidden="1">
      <c r="A151" s="105"/>
      <c r="B151" s="110">
        <f t="shared" si="0"/>
        <v>2028</v>
      </c>
      <c r="C151" s="111">
        <f>[12]С2.5!$M$11</f>
        <v>0</v>
      </c>
      <c r="D151" s="89"/>
    </row>
    <row r="152" spans="1:4" hidden="1">
      <c r="A152" s="105"/>
      <c r="B152" s="110">
        <f t="shared" si="0"/>
        <v>2029</v>
      </c>
      <c r="C152" s="111">
        <f>[12]С2.5!$N$11</f>
        <v>0</v>
      </c>
      <c r="D152" s="89"/>
    </row>
    <row r="153" spans="1:4" hidden="1">
      <c r="A153" s="105"/>
      <c r="B153" s="110">
        <f t="shared" si="0"/>
        <v>2030</v>
      </c>
      <c r="C153" s="111">
        <f>[12]С2.5!$O$11</f>
        <v>0</v>
      </c>
      <c r="D153" s="89"/>
    </row>
    <row r="154" spans="1:4" hidden="1">
      <c r="A154" s="105"/>
      <c r="B154" s="110">
        <f t="shared" si="0"/>
        <v>2031</v>
      </c>
      <c r="C154" s="111">
        <f>[12]С2.5!$P$11</f>
        <v>0</v>
      </c>
      <c r="D154" s="89"/>
    </row>
    <row r="155" spans="1:4" hidden="1">
      <c r="A155" s="89"/>
      <c r="B155" s="110">
        <f t="shared" si="0"/>
        <v>2032</v>
      </c>
      <c r="C155" s="111">
        <f>[12]С2.5!$Q$11</f>
        <v>0</v>
      </c>
      <c r="D155" s="89"/>
    </row>
    <row r="156" spans="1:4" hidden="1">
      <c r="A156" s="89"/>
      <c r="B156" s="110">
        <f t="shared" si="0"/>
        <v>2033</v>
      </c>
      <c r="C156" s="111">
        <f>[12]С2.5!$R$11</f>
        <v>0</v>
      </c>
      <c r="D156" s="89"/>
    </row>
    <row r="157" spans="1:4" hidden="1">
      <c r="B157" s="110">
        <f t="shared" si="0"/>
        <v>2034</v>
      </c>
      <c r="C157" s="111">
        <f>[12]С2.5!$S$11</f>
        <v>0</v>
      </c>
    </row>
    <row r="158" spans="1:4" hidden="1">
      <c r="B158" s="110">
        <f t="shared" si="0"/>
        <v>2035</v>
      </c>
      <c r="C158" s="111">
        <f>[12]С2.5!$T$11</f>
        <v>0</v>
      </c>
    </row>
    <row r="159" spans="1:4" hidden="1">
      <c r="B159" s="110">
        <f t="shared" si="0"/>
        <v>2036</v>
      </c>
      <c r="C159" s="111">
        <f>[12]С2.5!$U$11</f>
        <v>0</v>
      </c>
    </row>
    <row r="160" spans="1:4" hidden="1">
      <c r="B160" s="110">
        <f t="shared" si="0"/>
        <v>2037</v>
      </c>
      <c r="C160" s="111">
        <f>[12]С2.5!$V$11</f>
        <v>0</v>
      </c>
    </row>
    <row r="161" spans="2:3" hidden="1">
      <c r="B161" s="110">
        <f t="shared" si="0"/>
        <v>2038</v>
      </c>
      <c r="C161" s="111">
        <f>[12]С2.5!$W$11</f>
        <v>0</v>
      </c>
    </row>
    <row r="162" spans="2:3" hidden="1">
      <c r="B162" s="110">
        <f t="shared" si="0"/>
        <v>2039</v>
      </c>
      <c r="C162" s="111">
        <f>[12]С2.5!$X$11</f>
        <v>0</v>
      </c>
    </row>
    <row r="163" spans="2:3" hidden="1">
      <c r="B163" s="110">
        <f t="shared" si="0"/>
        <v>2040</v>
      </c>
      <c r="C163" s="111">
        <f>[12]С2.5!$Y$11</f>
        <v>0</v>
      </c>
    </row>
    <row r="164" spans="2:3" hidden="1">
      <c r="B164" s="110">
        <f t="shared" si="0"/>
        <v>2041</v>
      </c>
      <c r="C164" s="111">
        <f>[12]С2.5!$Z$11</f>
        <v>0</v>
      </c>
    </row>
    <row r="165" spans="2:3" hidden="1">
      <c r="B165" s="110">
        <f t="shared" si="0"/>
        <v>2042</v>
      </c>
      <c r="C165" s="111">
        <f>[12]С2.5!$AA$11</f>
        <v>0</v>
      </c>
    </row>
    <row r="166" spans="2:3" hidden="1">
      <c r="B166" s="110">
        <f t="shared" si="0"/>
        <v>2043</v>
      </c>
      <c r="C166" s="111">
        <f>[12]С2.5!$AB$11</f>
        <v>0</v>
      </c>
    </row>
    <row r="167" spans="2:3" hidden="1">
      <c r="B167" s="110">
        <f t="shared" si="0"/>
        <v>2044</v>
      </c>
      <c r="C167" s="111">
        <f>[12]С2.5!$AC$11</f>
        <v>0</v>
      </c>
    </row>
    <row r="168" spans="2:3" hidden="1">
      <c r="B168" s="110">
        <f t="shared" si="0"/>
        <v>2045</v>
      </c>
      <c r="C168" s="111">
        <f>[12]С2.5!$AD$11</f>
        <v>0</v>
      </c>
    </row>
    <row r="169" spans="2:3" hidden="1">
      <c r="B169" s="110">
        <f t="shared" si="0"/>
        <v>2046</v>
      </c>
      <c r="C169" s="111">
        <f>[12]С2.5!$AE$11</f>
        <v>0</v>
      </c>
    </row>
    <row r="170" spans="2:3" hidden="1">
      <c r="B170" s="110">
        <f t="shared" si="0"/>
        <v>2047</v>
      </c>
      <c r="C170" s="111">
        <f>[12]С2.5!$AF$11</f>
        <v>0</v>
      </c>
    </row>
    <row r="171" spans="2:3" hidden="1">
      <c r="B171" s="110">
        <f t="shared" si="0"/>
        <v>2048</v>
      </c>
      <c r="C171" s="111">
        <f>[12]С2.5!$AG$11</f>
        <v>0</v>
      </c>
    </row>
    <row r="172" spans="2:3" hidden="1">
      <c r="B172" s="110">
        <f t="shared" si="0"/>
        <v>2049</v>
      </c>
      <c r="C172" s="111">
        <f>[12]С2.5!$AH$11</f>
        <v>0</v>
      </c>
    </row>
    <row r="173" spans="2:3" hidden="1">
      <c r="B173" s="110">
        <f t="shared" si="0"/>
        <v>2050</v>
      </c>
      <c r="C173" s="111">
        <f>[12]С2.5!$AI$11</f>
        <v>0</v>
      </c>
    </row>
    <row r="174" spans="2:3" hidden="1">
      <c r="B174" s="110">
        <f t="shared" si="0"/>
        <v>2051</v>
      </c>
      <c r="C174" s="111">
        <f>[12]С2.5!$AJ$11</f>
        <v>0</v>
      </c>
    </row>
    <row r="175" spans="2:3" hidden="1">
      <c r="B175" s="110">
        <f t="shared" si="0"/>
        <v>2052</v>
      </c>
      <c r="C175" s="111">
        <f>[12]С2.5!$AK$11</f>
        <v>0</v>
      </c>
    </row>
    <row r="176" spans="2:3" hidden="1">
      <c r="B176" s="110">
        <f t="shared" si="0"/>
        <v>2053</v>
      </c>
      <c r="C176" s="111">
        <f>[12]С2.5!$AL$11</f>
        <v>0</v>
      </c>
    </row>
    <row r="177" spans="2:3" hidden="1">
      <c r="B177" s="110">
        <f t="shared" si="0"/>
        <v>2054</v>
      </c>
      <c r="C177" s="111">
        <f>[12]С2.5!$AM$11</f>
        <v>0</v>
      </c>
    </row>
    <row r="178" spans="2:3" hidden="1">
      <c r="B178" s="110">
        <f t="shared" si="0"/>
        <v>2055</v>
      </c>
      <c r="C178" s="111">
        <f>[12]С2.5!$AN$11</f>
        <v>0</v>
      </c>
    </row>
    <row r="179" spans="2:3" hidden="1">
      <c r="B179" s="110">
        <f t="shared" si="0"/>
        <v>2056</v>
      </c>
      <c r="C179" s="111">
        <f>[12]С2.5!$AO$11</f>
        <v>0</v>
      </c>
    </row>
    <row r="180" spans="2:3" hidden="1">
      <c r="B180" s="110">
        <f t="shared" si="0"/>
        <v>2057</v>
      </c>
      <c r="C180" s="111">
        <f>[12]С2.5!$AP$11</f>
        <v>0</v>
      </c>
    </row>
    <row r="181" spans="2:3" hidden="1">
      <c r="B181" s="110">
        <f t="shared" si="0"/>
        <v>2058</v>
      </c>
      <c r="C181" s="111">
        <f>[12]С2.5!$AQ$11</f>
        <v>0</v>
      </c>
    </row>
    <row r="182" spans="2:3" hidden="1">
      <c r="B182" s="110">
        <f t="shared" si="0"/>
        <v>2059</v>
      </c>
      <c r="C182" s="111">
        <f>[12]С2.5!$AR$11</f>
        <v>0</v>
      </c>
    </row>
    <row r="183" spans="2:3" hidden="1">
      <c r="B183" s="110">
        <f t="shared" si="0"/>
        <v>2060</v>
      </c>
      <c r="C183" s="111">
        <f>[12]С2.5!$AS$11</f>
        <v>0</v>
      </c>
    </row>
    <row r="184" spans="2:3" hidden="1">
      <c r="B184" s="110">
        <f t="shared" si="0"/>
        <v>2061</v>
      </c>
      <c r="C184" s="111">
        <f>[12]С2.5!$AT$11</f>
        <v>0</v>
      </c>
    </row>
    <row r="185" spans="2:3" hidden="1">
      <c r="B185" s="110">
        <f t="shared" si="0"/>
        <v>2062</v>
      </c>
      <c r="C185" s="111">
        <f>[12]С2.5!$AU$11</f>
        <v>0</v>
      </c>
    </row>
    <row r="186" spans="2:3" hidden="1">
      <c r="B186" s="110">
        <f t="shared" si="0"/>
        <v>2063</v>
      </c>
      <c r="C186" s="111">
        <f>[12]С2.5!$AV$11</f>
        <v>0</v>
      </c>
    </row>
    <row r="187" spans="2:3" hidden="1">
      <c r="B187" s="110">
        <f t="shared" si="0"/>
        <v>2064</v>
      </c>
      <c r="C187" s="111">
        <f>[12]С2.5!$AW$11</f>
        <v>0</v>
      </c>
    </row>
    <row r="188" spans="2:3" hidden="1">
      <c r="B188" s="110">
        <f t="shared" si="0"/>
        <v>2065</v>
      </c>
      <c r="C188" s="111">
        <f>[12]С2.5!$AX$11</f>
        <v>0</v>
      </c>
    </row>
    <row r="189" spans="2:3" hidden="1">
      <c r="B189" s="110">
        <f t="shared" si="0"/>
        <v>2066</v>
      </c>
      <c r="C189" s="111">
        <f>[12]С2.5!$AY$11</f>
        <v>0</v>
      </c>
    </row>
    <row r="190" spans="2:3" hidden="1">
      <c r="B190" s="110">
        <f t="shared" si="0"/>
        <v>2067</v>
      </c>
      <c r="C190" s="111">
        <f>[12]С2.5!$AZ$11</f>
        <v>0</v>
      </c>
    </row>
    <row r="191" spans="2:3" hidden="1">
      <c r="B191" s="110">
        <f t="shared" si="0"/>
        <v>2068</v>
      </c>
      <c r="C191" s="111">
        <f>[12]С2.5!$BA$11</f>
        <v>0</v>
      </c>
    </row>
    <row r="192" spans="2:3" hidden="1">
      <c r="B192" s="110">
        <f t="shared" si="0"/>
        <v>2069</v>
      </c>
      <c r="C192" s="111">
        <f>[12]С2.5!$BB$11</f>
        <v>0</v>
      </c>
    </row>
    <row r="193" spans="2:3" hidden="1">
      <c r="B193" s="110">
        <f t="shared" si="0"/>
        <v>2070</v>
      </c>
      <c r="C193" s="111">
        <f>[12]С2.5!$BC$11</f>
        <v>0</v>
      </c>
    </row>
    <row r="194" spans="2:3" hidden="1">
      <c r="B194" s="110">
        <f t="shared" si="0"/>
        <v>2071</v>
      </c>
      <c r="C194" s="111">
        <f>[12]С2.5!$BD$11</f>
        <v>0</v>
      </c>
    </row>
    <row r="195" spans="2:3" hidden="1">
      <c r="B195" s="110">
        <f t="shared" si="0"/>
        <v>2072</v>
      </c>
      <c r="C195" s="111">
        <f>[12]С2.5!$BE$11</f>
        <v>0</v>
      </c>
    </row>
    <row r="196" spans="2:3" hidden="1">
      <c r="B196" s="110">
        <f t="shared" si="0"/>
        <v>2073</v>
      </c>
      <c r="C196" s="111">
        <f>[12]С2.5!$BF$11</f>
        <v>0</v>
      </c>
    </row>
    <row r="197" spans="2:3" hidden="1">
      <c r="B197" s="110">
        <f t="shared" si="0"/>
        <v>2074</v>
      </c>
      <c r="C197" s="111">
        <f>[12]С2.5!$BG$11</f>
        <v>0</v>
      </c>
    </row>
    <row r="198" spans="2:3" hidden="1">
      <c r="B198" s="110">
        <f t="shared" si="0"/>
        <v>2075</v>
      </c>
      <c r="C198" s="111">
        <f>[12]С2.5!$BH$11</f>
        <v>0</v>
      </c>
    </row>
    <row r="199" spans="2:3" hidden="1">
      <c r="B199" s="110">
        <f t="shared" si="0"/>
        <v>2076</v>
      </c>
      <c r="C199" s="111">
        <f>[12]С2.5!$BI$11</f>
        <v>0</v>
      </c>
    </row>
    <row r="200" spans="2:3" hidden="1">
      <c r="B200" s="110">
        <f t="shared" si="0"/>
        <v>2077</v>
      </c>
      <c r="C200" s="111">
        <f>[12]С2.5!$BJ$11</f>
        <v>0</v>
      </c>
    </row>
    <row r="201" spans="2:3" hidden="1">
      <c r="B201" s="110">
        <f t="shared" si="0"/>
        <v>2078</v>
      </c>
      <c r="C201" s="111">
        <f>[12]С2.5!$BK$11</f>
        <v>0</v>
      </c>
    </row>
    <row r="202" spans="2:3" hidden="1">
      <c r="B202" s="110">
        <f t="shared" si="0"/>
        <v>2079</v>
      </c>
      <c r="C202" s="111">
        <f>[12]С2.5!$BL$11</f>
        <v>0</v>
      </c>
    </row>
    <row r="203" spans="2:3" hidden="1">
      <c r="B203" s="110">
        <f t="shared" si="0"/>
        <v>2080</v>
      </c>
      <c r="C203" s="111">
        <f>[12]С2.5!$BM$11</f>
        <v>0</v>
      </c>
    </row>
    <row r="204" spans="2:3" hidden="1">
      <c r="B204" s="110">
        <f t="shared" si="0"/>
        <v>2081</v>
      </c>
      <c r="C204" s="111">
        <f>[12]С2.5!$BN$11</f>
        <v>0</v>
      </c>
    </row>
    <row r="205" spans="2:3" hidden="1">
      <c r="B205" s="110">
        <f t="shared" si="0"/>
        <v>2082</v>
      </c>
      <c r="C205" s="111">
        <f>[12]С2.5!$BO$11</f>
        <v>0</v>
      </c>
    </row>
    <row r="206" spans="2:3" hidden="1">
      <c r="B206" s="110">
        <f t="shared" si="0"/>
        <v>2083</v>
      </c>
      <c r="C206" s="111">
        <f>[12]С2.5!$BP$11</f>
        <v>0</v>
      </c>
    </row>
    <row r="207" spans="2:3" hidden="1">
      <c r="B207" s="110">
        <f t="shared" si="0"/>
        <v>2084</v>
      </c>
      <c r="C207" s="111">
        <f>[12]С2.5!$BQ$11</f>
        <v>0</v>
      </c>
    </row>
    <row r="208" spans="2:3" hidden="1">
      <c r="B208" s="110">
        <f t="shared" si="0"/>
        <v>2085</v>
      </c>
      <c r="C208" s="111">
        <f>[12]С2.5!$BR$11</f>
        <v>0</v>
      </c>
    </row>
    <row r="209" spans="2:3" hidden="1">
      <c r="B209" s="110">
        <f t="shared" ref="B209:B223" si="1">B208+1</f>
        <v>2086</v>
      </c>
      <c r="C209" s="111">
        <f>[12]С2.5!$BS$11</f>
        <v>0</v>
      </c>
    </row>
    <row r="210" spans="2:3" hidden="1">
      <c r="B210" s="110">
        <f t="shared" si="1"/>
        <v>2087</v>
      </c>
      <c r="C210" s="111">
        <f>[12]С2.5!$BT$11</f>
        <v>0</v>
      </c>
    </row>
    <row r="211" spans="2:3" hidden="1">
      <c r="B211" s="110">
        <f t="shared" si="1"/>
        <v>2088</v>
      </c>
      <c r="C211" s="111">
        <f>[12]С2.5!$BU$11</f>
        <v>0</v>
      </c>
    </row>
    <row r="212" spans="2:3" hidden="1">
      <c r="B212" s="110">
        <f t="shared" si="1"/>
        <v>2089</v>
      </c>
      <c r="C212" s="111">
        <f>[12]С2.5!$BV$11</f>
        <v>0</v>
      </c>
    </row>
    <row r="213" spans="2:3" hidden="1">
      <c r="B213" s="110">
        <f t="shared" si="1"/>
        <v>2090</v>
      </c>
      <c r="C213" s="111">
        <f>[12]С2.5!$BW$11</f>
        <v>0</v>
      </c>
    </row>
    <row r="214" spans="2:3" hidden="1">
      <c r="B214" s="110">
        <f t="shared" si="1"/>
        <v>2091</v>
      </c>
      <c r="C214" s="111">
        <f>[12]С2.5!$BX$11</f>
        <v>0</v>
      </c>
    </row>
    <row r="215" spans="2:3" hidden="1">
      <c r="B215" s="110">
        <f t="shared" si="1"/>
        <v>2092</v>
      </c>
      <c r="C215" s="111">
        <f>[12]С2.5!$BY$11</f>
        <v>0</v>
      </c>
    </row>
    <row r="216" spans="2:3" hidden="1">
      <c r="B216" s="110">
        <f t="shared" si="1"/>
        <v>2093</v>
      </c>
      <c r="C216" s="111">
        <f>[12]С2.5!$BZ$11</f>
        <v>0</v>
      </c>
    </row>
    <row r="217" spans="2:3" hidden="1">
      <c r="B217" s="110">
        <f t="shared" si="1"/>
        <v>2094</v>
      </c>
      <c r="C217" s="111">
        <f>[12]С2.5!$CA$11</f>
        <v>0</v>
      </c>
    </row>
    <row r="218" spans="2:3" hidden="1">
      <c r="B218" s="110">
        <f t="shared" si="1"/>
        <v>2095</v>
      </c>
      <c r="C218" s="111">
        <f>[12]С2.5!$CB$11</f>
        <v>0</v>
      </c>
    </row>
    <row r="219" spans="2:3" hidden="1">
      <c r="B219" s="110">
        <f t="shared" si="1"/>
        <v>2096</v>
      </c>
      <c r="C219" s="111">
        <f>[12]С2.5!$CC$11</f>
        <v>0</v>
      </c>
    </row>
    <row r="220" spans="2:3" hidden="1">
      <c r="B220" s="110">
        <f t="shared" si="1"/>
        <v>2097</v>
      </c>
      <c r="C220" s="111">
        <f>[12]С2.5!$CD$11</f>
        <v>0</v>
      </c>
    </row>
    <row r="221" spans="2:3" hidden="1">
      <c r="B221" s="110">
        <f t="shared" si="1"/>
        <v>2098</v>
      </c>
      <c r="C221" s="111">
        <f>[12]С2.5!$CE$11</f>
        <v>0</v>
      </c>
    </row>
    <row r="222" spans="2:3" hidden="1">
      <c r="B222" s="110">
        <f t="shared" si="1"/>
        <v>2099</v>
      </c>
      <c r="C222" s="111">
        <f>[12]С2.5!$CF$11</f>
        <v>0</v>
      </c>
    </row>
    <row r="223" spans="2:3" ht="13.5" hidden="1" thickBot="1">
      <c r="B223" s="112">
        <f t="shared" si="1"/>
        <v>2100</v>
      </c>
      <c r="C223" s="113">
        <f>[12]С2.5!$CG$11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[13]И1!D13</f>
        <v>Субъект Российской Федерации</v>
      </c>
      <c r="C4" s="10" t="str">
        <f>[13]И1!E13</f>
        <v>Новосибирская область</v>
      </c>
    </row>
    <row r="5" spans="1:3" ht="38.25">
      <c r="A5" s="8"/>
      <c r="B5" s="9" t="str">
        <f>[13]И1!D14</f>
        <v>Тип муниципального образования (выберите из списка)</v>
      </c>
      <c r="C5" s="10" t="str">
        <f>[13]И1!E14</f>
        <v>село Суздалка, Доволенский муниципальный район</v>
      </c>
    </row>
    <row r="6" spans="1:3">
      <c r="A6" s="8"/>
      <c r="B6" s="9" t="str">
        <f>IF([13]И1!E15="","",[13]И1!D15)</f>
        <v/>
      </c>
      <c r="C6" s="10" t="str">
        <f>IF([13]И1!E15="","",[13]И1!E15)</f>
        <v/>
      </c>
    </row>
    <row r="7" spans="1:3">
      <c r="A7" s="8"/>
      <c r="B7" s="9" t="str">
        <f>[13]И1!D16</f>
        <v>Код ОКТМО</v>
      </c>
      <c r="C7" s="11" t="str">
        <f>[13]И1!E16</f>
        <v>50610425101</v>
      </c>
    </row>
    <row r="8" spans="1:3">
      <c r="A8" s="8"/>
      <c r="B8" s="12" t="str">
        <f>[13]И1!D17</f>
        <v>Система теплоснабжения</v>
      </c>
      <c r="C8" s="13">
        <f>[13]И1!E17</f>
        <v>0</v>
      </c>
    </row>
    <row r="9" spans="1:3">
      <c r="A9" s="8"/>
      <c r="B9" s="9" t="str">
        <f>[13]И1!D8</f>
        <v>Период регулирования (i)-й</v>
      </c>
      <c r="C9" s="14">
        <f>[13]И1!E8</f>
        <v>2023</v>
      </c>
    </row>
    <row r="10" spans="1:3">
      <c r="A10" s="8"/>
      <c r="B10" s="9" t="str">
        <f>[13]И1!D9</f>
        <v>Период регулирования (i-1)-й</v>
      </c>
      <c r="C10" s="14">
        <f>[13]И1!E9</f>
        <v>2022</v>
      </c>
    </row>
    <row r="11" spans="1:3">
      <c r="A11" s="8"/>
      <c r="B11" s="9" t="str">
        <f>[13]И1!D10</f>
        <v>Период регулирования (i-2)-й</v>
      </c>
      <c r="C11" s="14">
        <f>[13]И1!E10</f>
        <v>2021</v>
      </c>
    </row>
    <row r="12" spans="1:3">
      <c r="A12" s="8"/>
      <c r="B12" s="9" t="str">
        <f>[13]И1!D11</f>
        <v>Базовый год (б)</v>
      </c>
      <c r="C12" s="14">
        <f>[13]И1!E11</f>
        <v>2019</v>
      </c>
    </row>
    <row r="13" spans="1:3" ht="38.25">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4139.652847273429</v>
      </c>
    </row>
    <row r="18" spans="1:3" ht="42.75">
      <c r="A18" s="22" t="s">
        <v>8</v>
      </c>
      <c r="B18" s="25" t="s">
        <v>9</v>
      </c>
      <c r="C18" s="26">
        <f>[13]С1!F12</f>
        <v>1030.1960459923912</v>
      </c>
    </row>
    <row r="19" spans="1:3" ht="42.75">
      <c r="A19" s="22" t="s">
        <v>10</v>
      </c>
      <c r="B19" s="25" t="s">
        <v>11</v>
      </c>
      <c r="C19" s="26">
        <f>[13]С2!F12</f>
        <v>2105.0745921739249</v>
      </c>
    </row>
    <row r="20" spans="1:3" ht="30">
      <c r="A20" s="22" t="s">
        <v>12</v>
      </c>
      <c r="B20" s="25" t="s">
        <v>13</v>
      </c>
      <c r="C20" s="26">
        <f>[13]С3!F12</f>
        <v>503.57282204972699</v>
      </c>
    </row>
    <row r="21" spans="1:3" ht="42.75">
      <c r="A21" s="22" t="s">
        <v>14</v>
      </c>
      <c r="B21" s="25" t="s">
        <v>15</v>
      </c>
      <c r="C21" s="26">
        <f>[13]С4!F12</f>
        <v>419.6397233853578</v>
      </c>
    </row>
    <row r="22" spans="1:3" ht="30">
      <c r="A22" s="22" t="s">
        <v>16</v>
      </c>
      <c r="B22" s="25" t="s">
        <v>17</v>
      </c>
      <c r="C22" s="26">
        <f>[13]С5!F12</f>
        <v>81.169663672028022</v>
      </c>
    </row>
    <row r="23" spans="1:3" ht="43.5" thickBot="1">
      <c r="A23" s="27" t="s">
        <v>18</v>
      </c>
      <c r="B23" s="117" t="s">
        <v>19</v>
      </c>
      <c r="C23" s="28" t="str">
        <f>[13]С6!F12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[13]С1.1!E16</f>
        <v>5100</v>
      </c>
    </row>
    <row r="29" spans="1:3" ht="42.75">
      <c r="A29" s="22" t="s">
        <v>10</v>
      </c>
      <c r="B29" s="33" t="s">
        <v>22</v>
      </c>
      <c r="C29" s="34">
        <f>[13]С1.1!E27</f>
        <v>2770.0250000000001</v>
      </c>
    </row>
    <row r="30" spans="1:3" ht="17.25">
      <c r="A30" s="22" t="s">
        <v>12</v>
      </c>
      <c r="B30" s="33" t="s">
        <v>23</v>
      </c>
      <c r="C30" s="35">
        <f>[13]С1.1!E19</f>
        <v>0.59499999999999997</v>
      </c>
    </row>
    <row r="31" spans="1:3" ht="17.25">
      <c r="A31" s="22" t="s">
        <v>14</v>
      </c>
      <c r="B31" s="33" t="s">
        <v>24</v>
      </c>
      <c r="C31" s="35">
        <f>[13]С1.1!E20</f>
        <v>-0.113</v>
      </c>
    </row>
    <row r="32" spans="1:3" ht="30">
      <c r="A32" s="22" t="s">
        <v>16</v>
      </c>
      <c r="B32" s="36" t="s">
        <v>25</v>
      </c>
      <c r="C32" s="37">
        <f>[13]С1!F13</f>
        <v>176.4</v>
      </c>
    </row>
    <row r="33" spans="1:3">
      <c r="A33" s="22" t="s">
        <v>18</v>
      </c>
      <c r="B33" s="36" t="s">
        <v>26</v>
      </c>
      <c r="C33" s="38">
        <f>[13]С1!F16</f>
        <v>7000</v>
      </c>
    </row>
    <row r="34" spans="1:3" ht="14.25">
      <c r="A34" s="22" t="s">
        <v>27</v>
      </c>
      <c r="B34" s="39" t="s">
        <v>28</v>
      </c>
      <c r="C34" s="40">
        <f>[13]С1!F17</f>
        <v>0.72857142857142854</v>
      </c>
    </row>
    <row r="35" spans="1:3" ht="15.75">
      <c r="A35" s="41" t="s">
        <v>29</v>
      </c>
      <c r="B35" s="42" t="s">
        <v>30</v>
      </c>
      <c r="C35" s="40">
        <f>[13]С1!F20</f>
        <v>21.588411179999994</v>
      </c>
    </row>
    <row r="36" spans="1:3" ht="15.75">
      <c r="A36" s="41" t="s">
        <v>31</v>
      </c>
      <c r="B36" s="43" t="s">
        <v>32</v>
      </c>
      <c r="C36" s="40">
        <f>[13]С1!F21</f>
        <v>20.818139999999996</v>
      </c>
    </row>
    <row r="37" spans="1:3" ht="14.25">
      <c r="A37" s="41" t="s">
        <v>33</v>
      </c>
      <c r="B37" s="44" t="s">
        <v>34</v>
      </c>
      <c r="C37" s="40">
        <f>[13]С1!F22</f>
        <v>1.0369999999999999</v>
      </c>
    </row>
    <row r="38" spans="1:3" ht="53.25" thickBot="1">
      <c r="A38" s="27" t="s">
        <v>35</v>
      </c>
      <c r="B38" s="45" t="s">
        <v>36</v>
      </c>
      <c r="C38" s="46">
        <f>[13]С1!F23</f>
        <v>1.0469999999999999</v>
      </c>
    </row>
    <row r="39" spans="1:3" ht="13.5" thickBot="1">
      <c r="A39" s="47"/>
      <c r="B39" s="48"/>
      <c r="C39" s="49"/>
    </row>
    <row r="40" spans="1:3" ht="30" customHeight="1">
      <c r="A40" s="50" t="s">
        <v>37</v>
      </c>
      <c r="B40" s="118" t="s">
        <v>38</v>
      </c>
      <c r="C40" s="118"/>
    </row>
    <row r="41" spans="1:3" ht="25.5">
      <c r="A41" s="22" t="s">
        <v>39</v>
      </c>
      <c r="B41" s="36" t="s">
        <v>40</v>
      </c>
      <c r="C41" s="51" t="str">
        <f>[13]С2.1!E12</f>
        <v>V</v>
      </c>
    </row>
    <row r="42" spans="1:3" ht="25.5">
      <c r="A42" s="22" t="s">
        <v>41</v>
      </c>
      <c r="B42" s="33" t="s">
        <v>42</v>
      </c>
      <c r="C42" s="51" t="str">
        <f>[13]С2.1!E13</f>
        <v>6 и менее баллов</v>
      </c>
    </row>
    <row r="43" spans="1:3" ht="25.5">
      <c r="A43" s="22" t="s">
        <v>43</v>
      </c>
      <c r="B43" s="33" t="s">
        <v>44</v>
      </c>
      <c r="C43" s="51" t="str">
        <f>[13]С2.1!E14</f>
        <v>от 200 до 500</v>
      </c>
    </row>
    <row r="44" spans="1:3" ht="25.5">
      <c r="A44" s="22" t="s">
        <v>45</v>
      </c>
      <c r="B44" s="33" t="s">
        <v>46</v>
      </c>
      <c r="C44" s="52" t="str">
        <f>[13]С2.1!E15</f>
        <v>нет</v>
      </c>
    </row>
    <row r="45" spans="1:3" ht="30">
      <c r="A45" s="22" t="s">
        <v>47</v>
      </c>
      <c r="B45" s="33" t="s">
        <v>48</v>
      </c>
      <c r="C45" s="34">
        <f>[13]С2!F18</f>
        <v>32402.627334033532</v>
      </c>
    </row>
    <row r="46" spans="1:3" ht="30">
      <c r="A46" s="22" t="s">
        <v>49</v>
      </c>
      <c r="B46" s="53" t="s">
        <v>50</v>
      </c>
      <c r="C46" s="34">
        <f>IF([13]С2!F19&gt;0,[13]С2!F19,[13]С2!F20)</f>
        <v>23441.524932855718</v>
      </c>
    </row>
    <row r="47" spans="1:3" ht="25.5">
      <c r="A47" s="22" t="s">
        <v>51</v>
      </c>
      <c r="B47" s="54" t="s">
        <v>52</v>
      </c>
      <c r="C47" s="34">
        <f>[13]С2.1!E19</f>
        <v>-38</v>
      </c>
    </row>
    <row r="48" spans="1:3" ht="25.5">
      <c r="A48" s="22" t="s">
        <v>53</v>
      </c>
      <c r="B48" s="54" t="s">
        <v>54</v>
      </c>
      <c r="C48" s="34" t="str">
        <f>[13]С2.1!E22</f>
        <v>нет</v>
      </c>
    </row>
    <row r="49" spans="1:3" ht="38.25">
      <c r="A49" s="22" t="s">
        <v>55</v>
      </c>
      <c r="B49" s="55" t="s">
        <v>56</v>
      </c>
      <c r="C49" s="34">
        <f>[13]С2.2!E10</f>
        <v>1287</v>
      </c>
    </row>
    <row r="50" spans="1:3" ht="25.5">
      <c r="A50" s="22" t="s">
        <v>57</v>
      </c>
      <c r="B50" s="56" t="s">
        <v>58</v>
      </c>
      <c r="C50" s="34">
        <f>[13]С2.2!E12</f>
        <v>5.97</v>
      </c>
    </row>
    <row r="51" spans="1:3" ht="52.5">
      <c r="A51" s="22" t="s">
        <v>59</v>
      </c>
      <c r="B51" s="57" t="s">
        <v>60</v>
      </c>
      <c r="C51" s="34">
        <f>[13]С2.2!E13</f>
        <v>1</v>
      </c>
    </row>
    <row r="52" spans="1:3" ht="27.75">
      <c r="A52" s="22" t="s">
        <v>61</v>
      </c>
      <c r="B52" s="56" t="s">
        <v>62</v>
      </c>
      <c r="C52" s="34">
        <f>[13]С2.2!E14</f>
        <v>12104</v>
      </c>
    </row>
    <row r="53" spans="1:3" ht="25.5">
      <c r="A53" s="22" t="s">
        <v>63</v>
      </c>
      <c r="B53" s="57" t="s">
        <v>64</v>
      </c>
      <c r="C53" s="35">
        <f>[13]С2.2!E15</f>
        <v>4.8000000000000001E-2</v>
      </c>
    </row>
    <row r="54" spans="1:3">
      <c r="A54" s="22" t="s">
        <v>65</v>
      </c>
      <c r="B54" s="57" t="s">
        <v>66</v>
      </c>
      <c r="C54" s="34">
        <f>[13]С2.2!E16</f>
        <v>1</v>
      </c>
    </row>
    <row r="55" spans="1:3" ht="15.75">
      <c r="A55" s="22" t="s">
        <v>67</v>
      </c>
      <c r="B55" s="58" t="s">
        <v>68</v>
      </c>
      <c r="C55" s="34">
        <f>[13]С2!F21</f>
        <v>1</v>
      </c>
    </row>
    <row r="56" spans="1:3" ht="30">
      <c r="A56" s="59" t="s">
        <v>69</v>
      </c>
      <c r="B56" s="33" t="s">
        <v>70</v>
      </c>
      <c r="C56" s="34">
        <f>[13]С2!F13</f>
        <v>169640.22915965237</v>
      </c>
    </row>
    <row r="57" spans="1:3" ht="30">
      <c r="A57" s="59" t="s">
        <v>71</v>
      </c>
      <c r="B57" s="58" t="s">
        <v>72</v>
      </c>
      <c r="C57" s="34">
        <f>[13]С2!F14</f>
        <v>113455</v>
      </c>
    </row>
    <row r="58" spans="1:3" ht="15.75">
      <c r="A58" s="59" t="s">
        <v>73</v>
      </c>
      <c r="B58" s="60" t="s">
        <v>74</v>
      </c>
      <c r="C58" s="40">
        <f>[13]С2!F15</f>
        <v>1.071</v>
      </c>
    </row>
    <row r="59" spans="1:3" ht="15.75">
      <c r="A59" s="59" t="s">
        <v>75</v>
      </c>
      <c r="B59" s="60" t="s">
        <v>76</v>
      </c>
      <c r="C59" s="40">
        <f>[13]С2!F16</f>
        <v>1</v>
      </c>
    </row>
    <row r="60" spans="1:3" ht="17.25">
      <c r="A60" s="59" t="s">
        <v>77</v>
      </c>
      <c r="B60" s="58" t="s">
        <v>78</v>
      </c>
      <c r="C60" s="34">
        <f>[13]С2!F17</f>
        <v>1.01</v>
      </c>
    </row>
    <row r="61" spans="1:3" s="63" customFormat="1" ht="14.25">
      <c r="A61" s="59" t="s">
        <v>79</v>
      </c>
      <c r="B61" s="61" t="s">
        <v>80</v>
      </c>
      <c r="C61" s="62">
        <f>[13]С2!F33</f>
        <v>10</v>
      </c>
    </row>
    <row r="62" spans="1:3" ht="30">
      <c r="A62" s="59" t="s">
        <v>81</v>
      </c>
      <c r="B62" s="64" t="s">
        <v>82</v>
      </c>
      <c r="C62" s="34">
        <f>[13]С2!F26</f>
        <v>1012.1091133444331</v>
      </c>
    </row>
    <row r="63" spans="1:3" ht="17.25">
      <c r="A63" s="59" t="s">
        <v>83</v>
      </c>
      <c r="B63" s="53" t="s">
        <v>84</v>
      </c>
      <c r="C63" s="34">
        <f>[13]С2!F27</f>
        <v>0.17433463600000002</v>
      </c>
    </row>
    <row r="64" spans="1:3" ht="17.25">
      <c r="A64" s="59" t="s">
        <v>85</v>
      </c>
      <c r="B64" s="58" t="s">
        <v>86</v>
      </c>
      <c r="C64" s="62">
        <f>[13]С2!F28</f>
        <v>4200</v>
      </c>
    </row>
    <row r="65" spans="1:3" ht="42.75">
      <c r="A65" s="59" t="s">
        <v>87</v>
      </c>
      <c r="B65" s="33" t="s">
        <v>88</v>
      </c>
      <c r="C65" s="34">
        <f>[13]С2!F22</f>
        <v>35717.748653137714</v>
      </c>
    </row>
    <row r="66" spans="1:3" ht="30">
      <c r="A66" s="59" t="s">
        <v>89</v>
      </c>
      <c r="B66" s="60" t="s">
        <v>90</v>
      </c>
      <c r="C66" s="34">
        <f>[13]С2!F23</f>
        <v>1990</v>
      </c>
    </row>
    <row r="67" spans="1:3" ht="30">
      <c r="A67" s="59" t="s">
        <v>91</v>
      </c>
      <c r="B67" s="53" t="s">
        <v>92</v>
      </c>
      <c r="C67" s="34">
        <f>[13]С2.1!E27</f>
        <v>14307.876789999998</v>
      </c>
    </row>
    <row r="68" spans="1:3" ht="38.25">
      <c r="A68" s="59" t="s">
        <v>93</v>
      </c>
      <c r="B68" s="65" t="s">
        <v>94</v>
      </c>
      <c r="C68" s="52">
        <f>[13]С2.3!E21</f>
        <v>0</v>
      </c>
    </row>
    <row r="69" spans="1:3" ht="25.5">
      <c r="A69" s="59" t="s">
        <v>95</v>
      </c>
      <c r="B69" s="66" t="s">
        <v>96</v>
      </c>
      <c r="C69" s="67">
        <f>[13]С2.3!E11</f>
        <v>9.89</v>
      </c>
    </row>
    <row r="70" spans="1:3" ht="25.5">
      <c r="A70" s="59" t="s">
        <v>97</v>
      </c>
      <c r="B70" s="66" t="s">
        <v>98</v>
      </c>
      <c r="C70" s="62">
        <f>[13]С2.3!E13</f>
        <v>300</v>
      </c>
    </row>
    <row r="71" spans="1:3" ht="25.5">
      <c r="A71" s="59" t="s">
        <v>99</v>
      </c>
      <c r="B71" s="65" t="s">
        <v>100</v>
      </c>
      <c r="C71" s="68">
        <f>IF([13]С2.3!E22&gt;0,[13]С2.3!E22,[13]С2.3!E14)</f>
        <v>61211</v>
      </c>
    </row>
    <row r="72" spans="1:3" ht="38.25">
      <c r="A72" s="59" t="s">
        <v>101</v>
      </c>
      <c r="B72" s="65" t="s">
        <v>102</v>
      </c>
      <c r="C72" s="68">
        <f>IF([13]С2.3!E23&gt;0,[13]С2.3!E23,[13]С2.3!E15)</f>
        <v>45675</v>
      </c>
    </row>
    <row r="73" spans="1:3" ht="30">
      <c r="A73" s="59" t="s">
        <v>103</v>
      </c>
      <c r="B73" s="53" t="s">
        <v>104</v>
      </c>
      <c r="C73" s="34">
        <f>[13]С2.1!E28</f>
        <v>9541.9567200000001</v>
      </c>
    </row>
    <row r="74" spans="1:3" ht="38.25">
      <c r="A74" s="59" t="s">
        <v>105</v>
      </c>
      <c r="B74" s="65" t="s">
        <v>106</v>
      </c>
      <c r="C74" s="52">
        <f>[13]С2.3!E25</f>
        <v>0</v>
      </c>
    </row>
    <row r="75" spans="1:3" ht="25.5">
      <c r="A75" s="59" t="s">
        <v>107</v>
      </c>
      <c r="B75" s="66" t="s">
        <v>108</v>
      </c>
      <c r="C75" s="67">
        <f>[13]С2.3!E12</f>
        <v>0.56000000000000005</v>
      </c>
    </row>
    <row r="76" spans="1:3" ht="25.5">
      <c r="A76" s="59" t="s">
        <v>109</v>
      </c>
      <c r="B76" s="66" t="s">
        <v>98</v>
      </c>
      <c r="C76" s="62">
        <f>[13]С2.3!E13</f>
        <v>300</v>
      </c>
    </row>
    <row r="77" spans="1:3" ht="25.5">
      <c r="A77" s="59" t="s">
        <v>110</v>
      </c>
      <c r="B77" s="69" t="s">
        <v>111</v>
      </c>
      <c r="C77" s="68">
        <f>IF([13]С2.3!E26&gt;0,[13]С2.3!E26,[13]С2.3!E16)</f>
        <v>65637</v>
      </c>
    </row>
    <row r="78" spans="1:3" ht="38.25">
      <c r="A78" s="59" t="s">
        <v>112</v>
      </c>
      <c r="B78" s="69" t="s">
        <v>113</v>
      </c>
      <c r="C78" s="68">
        <f>IF([13]С2.3!E27&gt;0,[13]С2.3!E27,[13]С2.3!E17)</f>
        <v>31684</v>
      </c>
    </row>
    <row r="79" spans="1:3" ht="17.25">
      <c r="A79" s="59" t="s">
        <v>114</v>
      </c>
      <c r="B79" s="33" t="s">
        <v>115</v>
      </c>
      <c r="C79" s="35">
        <f>[13]С2!F29</f>
        <v>0.128978033685065</v>
      </c>
    </row>
    <row r="80" spans="1:3" ht="30">
      <c r="A80" s="59" t="s">
        <v>116</v>
      </c>
      <c r="B80" s="53" t="s">
        <v>117</v>
      </c>
      <c r="C80" s="70">
        <f>[13]С2!F30</f>
        <v>0.11668498168498169</v>
      </c>
    </row>
    <row r="81" spans="1:3" ht="17.25">
      <c r="A81" s="59" t="s">
        <v>118</v>
      </c>
      <c r="B81" s="71" t="s">
        <v>119</v>
      </c>
      <c r="C81" s="35">
        <f>[13]С2!F31</f>
        <v>0.13880000000000001</v>
      </c>
    </row>
    <row r="82" spans="1:3" s="63" customFormat="1" ht="18" thickBot="1">
      <c r="A82" s="72" t="s">
        <v>120</v>
      </c>
      <c r="B82" s="73" t="s">
        <v>121</v>
      </c>
      <c r="C82" s="74">
        <f>[13]С2!F32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[13]С3!F14</f>
        <v>6993.2576401328561</v>
      </c>
    </row>
    <row r="86" spans="1:3" s="63" customFormat="1" ht="42.75">
      <c r="A86" s="77" t="s">
        <v>126</v>
      </c>
      <c r="B86" s="53" t="s">
        <v>127</v>
      </c>
      <c r="C86" s="78">
        <f>[13]С3!F15</f>
        <v>0.2</v>
      </c>
    </row>
    <row r="87" spans="1:3" s="63" customFormat="1" ht="14.25">
      <c r="A87" s="77" t="s">
        <v>128</v>
      </c>
      <c r="B87" s="79" t="s">
        <v>129</v>
      </c>
      <c r="C87" s="62">
        <f>[13]С3!F18</f>
        <v>15</v>
      </c>
    </row>
    <row r="88" spans="1:3" s="63" customFormat="1" ht="17.25">
      <c r="A88" s="77" t="s">
        <v>130</v>
      </c>
      <c r="B88" s="33" t="s">
        <v>131</v>
      </c>
      <c r="C88" s="34">
        <f>[13]С3!F19</f>
        <v>3487.1555421534131</v>
      </c>
    </row>
    <row r="89" spans="1:3" s="63" customFormat="1" ht="55.5">
      <c r="A89" s="77" t="s">
        <v>132</v>
      </c>
      <c r="B89" s="53" t="s">
        <v>133</v>
      </c>
      <c r="C89" s="80">
        <f>[13]С3!F20</f>
        <v>2.1999999999999999E-2</v>
      </c>
    </row>
    <row r="90" spans="1:3" s="63" customFormat="1" ht="14.25">
      <c r="A90" s="77" t="s">
        <v>134</v>
      </c>
      <c r="B90" s="58" t="s">
        <v>80</v>
      </c>
      <c r="C90" s="62">
        <f>[13]С3!F21</f>
        <v>10</v>
      </c>
    </row>
    <row r="91" spans="1:3" s="63" customFormat="1" ht="17.25">
      <c r="A91" s="77" t="s">
        <v>135</v>
      </c>
      <c r="B91" s="33" t="s">
        <v>136</v>
      </c>
      <c r="C91" s="34">
        <f>[13]С3!F22</f>
        <v>3.0363273400332993</v>
      </c>
    </row>
    <row r="92" spans="1:3" s="63" customFormat="1" ht="55.5">
      <c r="A92" s="77" t="s">
        <v>137</v>
      </c>
      <c r="B92" s="53" t="s">
        <v>138</v>
      </c>
      <c r="C92" s="80">
        <f>[13]С3!F23</f>
        <v>3.0000000000000001E-3</v>
      </c>
    </row>
    <row r="93" spans="1:3" s="63" customFormat="1" ht="27.75" thickBot="1">
      <c r="A93" s="81" t="s">
        <v>139</v>
      </c>
      <c r="B93" s="82" t="s">
        <v>140</v>
      </c>
      <c r="C93" s="83">
        <f>[13]С3!F24</f>
        <v>1012.1091133444331</v>
      </c>
    </row>
    <row r="94" spans="1:3" ht="13.5" thickBot="1">
      <c r="A94" s="47"/>
      <c r="B94" s="75"/>
      <c r="C94" s="15"/>
    </row>
    <row r="95" spans="1:3" ht="30" customHeight="1">
      <c r="A95" s="84" t="s">
        <v>141</v>
      </c>
      <c r="B95" s="118" t="s">
        <v>142</v>
      </c>
      <c r="C95" s="118"/>
    </row>
    <row r="96" spans="1:3" ht="30">
      <c r="A96" s="59" t="s">
        <v>143</v>
      </c>
      <c r="B96" s="33" t="s">
        <v>144</v>
      </c>
      <c r="C96" s="34">
        <f>[13]С4!F16</f>
        <v>1652.5</v>
      </c>
    </row>
    <row r="97" spans="1:3" ht="30">
      <c r="A97" s="59" t="s">
        <v>145</v>
      </c>
      <c r="B97" s="58" t="s">
        <v>146</v>
      </c>
      <c r="C97" s="34">
        <f>[13]С4!F17</f>
        <v>73547</v>
      </c>
    </row>
    <row r="98" spans="1:3" ht="17.25">
      <c r="A98" s="59" t="s">
        <v>147</v>
      </c>
      <c r="B98" s="58" t="s">
        <v>148</v>
      </c>
      <c r="C98" s="40">
        <f>[13]С4!F18</f>
        <v>0.02</v>
      </c>
    </row>
    <row r="99" spans="1:3" ht="30">
      <c r="A99" s="59" t="s">
        <v>149</v>
      </c>
      <c r="B99" s="58" t="s">
        <v>150</v>
      </c>
      <c r="C99" s="34">
        <f>[13]С4!F19</f>
        <v>12104</v>
      </c>
    </row>
    <row r="100" spans="1:3" ht="31.5">
      <c r="A100" s="59" t="s">
        <v>151</v>
      </c>
      <c r="B100" s="58" t="s">
        <v>152</v>
      </c>
      <c r="C100" s="40">
        <f>[13]С4!F20</f>
        <v>1.4999999999999999E-2</v>
      </c>
    </row>
    <row r="101" spans="1:3" ht="30">
      <c r="A101" s="59" t="s">
        <v>153</v>
      </c>
      <c r="B101" s="33" t="s">
        <v>154</v>
      </c>
      <c r="C101" s="34">
        <f>[13]С4!F21</f>
        <v>1933.1949342509995</v>
      </c>
    </row>
    <row r="102" spans="1:3" ht="24" customHeight="1">
      <c r="A102" s="59" t="s">
        <v>155</v>
      </c>
      <c r="B102" s="53" t="s">
        <v>156</v>
      </c>
      <c r="C102" s="85">
        <f>IF([13]С4.2!F8="да",[13]С4.2!D21,[13]С4.2!D15)</f>
        <v>0</v>
      </c>
    </row>
    <row r="103" spans="1:3" ht="68.25">
      <c r="A103" s="59" t="s">
        <v>157</v>
      </c>
      <c r="B103" s="53" t="s">
        <v>158</v>
      </c>
      <c r="C103" s="34">
        <f>[13]С4!F22</f>
        <v>3.6112641666666665</v>
      </c>
    </row>
    <row r="104" spans="1:3" ht="30">
      <c r="A104" s="59" t="s">
        <v>159</v>
      </c>
      <c r="B104" s="58" t="s">
        <v>160</v>
      </c>
      <c r="C104" s="34">
        <f>[13]С4!F23</f>
        <v>180</v>
      </c>
    </row>
    <row r="105" spans="1:3" ht="14.25">
      <c r="A105" s="59" t="s">
        <v>161</v>
      </c>
      <c r="B105" s="53" t="s">
        <v>162</v>
      </c>
      <c r="C105" s="34">
        <f>[13]С4!F24</f>
        <v>8497.1999999999989</v>
      </c>
    </row>
    <row r="106" spans="1:3" ht="14.25">
      <c r="A106" s="59" t="s">
        <v>163</v>
      </c>
      <c r="B106" s="58" t="s">
        <v>164</v>
      </c>
      <c r="C106" s="40">
        <f>[13]С4!F25</f>
        <v>0.35</v>
      </c>
    </row>
    <row r="107" spans="1:3" ht="17.25">
      <c r="A107" s="59" t="s">
        <v>165</v>
      </c>
      <c r="B107" s="33" t="s">
        <v>166</v>
      </c>
      <c r="C107" s="34">
        <f>[13]С4!F26</f>
        <v>77.357790000000008</v>
      </c>
    </row>
    <row r="108" spans="1:3" ht="25.5">
      <c r="A108" s="59" t="s">
        <v>167</v>
      </c>
      <c r="B108" s="53" t="s">
        <v>94</v>
      </c>
      <c r="C108" s="85">
        <f>[13]С4.3!E16</f>
        <v>0</v>
      </c>
    </row>
    <row r="109" spans="1:3" ht="25.5">
      <c r="A109" s="59" t="s">
        <v>168</v>
      </c>
      <c r="B109" s="53" t="s">
        <v>169</v>
      </c>
      <c r="C109" s="34">
        <f>[13]С4.3!E17</f>
        <v>20.53</v>
      </c>
    </row>
    <row r="110" spans="1:3" ht="38.25">
      <c r="A110" s="59" t="s">
        <v>170</v>
      </c>
      <c r="B110" s="53" t="s">
        <v>106</v>
      </c>
      <c r="C110" s="85">
        <f>[13]С4.3!E18</f>
        <v>0</v>
      </c>
    </row>
    <row r="111" spans="1:3">
      <c r="A111" s="59" t="s">
        <v>171</v>
      </c>
      <c r="B111" s="53" t="s">
        <v>172</v>
      </c>
      <c r="C111" s="34">
        <f>[13]С4.3!E19</f>
        <v>26.27</v>
      </c>
    </row>
    <row r="112" spans="1:3">
      <c r="A112" s="59" t="s">
        <v>173</v>
      </c>
      <c r="B112" s="58" t="s">
        <v>174</v>
      </c>
      <c r="C112" s="34">
        <f>[13]С4.3!E11</f>
        <v>1871</v>
      </c>
    </row>
    <row r="113" spans="1:3">
      <c r="A113" s="59" t="s">
        <v>175</v>
      </c>
      <c r="B113" s="58" t="s">
        <v>176</v>
      </c>
      <c r="C113" s="52">
        <f>[13]С4.3!E12</f>
        <v>1636</v>
      </c>
    </row>
    <row r="114" spans="1:3">
      <c r="A114" s="59" t="s">
        <v>177</v>
      </c>
      <c r="B114" s="58" t="s">
        <v>178</v>
      </c>
      <c r="C114" s="52">
        <f>[13]С4.3!E13</f>
        <v>204</v>
      </c>
    </row>
    <row r="115" spans="1:3" ht="30">
      <c r="A115" s="59" t="s">
        <v>179</v>
      </c>
      <c r="B115" s="33" t="s">
        <v>180</v>
      </c>
      <c r="C115" s="34">
        <f>[13]С4!F27</f>
        <v>1040.8858115370676</v>
      </c>
    </row>
    <row r="116" spans="1:3" ht="25.5">
      <c r="A116" s="59" t="s">
        <v>181</v>
      </c>
      <c r="B116" s="53" t="s">
        <v>182</v>
      </c>
      <c r="C116" s="34">
        <f>[13]С4!F28</f>
        <v>799.45146815442979</v>
      </c>
    </row>
    <row r="117" spans="1:3" ht="42.75">
      <c r="A117" s="59" t="s">
        <v>183</v>
      </c>
      <c r="B117" s="53" t="s">
        <v>184</v>
      </c>
      <c r="C117" s="34">
        <f>[13]С4!F29</f>
        <v>241.43434338263785</v>
      </c>
    </row>
    <row r="118" spans="1:3" ht="30">
      <c r="A118" s="59" t="s">
        <v>185</v>
      </c>
      <c r="B118" s="39" t="s">
        <v>186</v>
      </c>
      <c r="C118" s="34">
        <f>[13]С4!F30</f>
        <v>2233.983184310443</v>
      </c>
    </row>
    <row r="119" spans="1:3" ht="42.75">
      <c r="A119" s="59" t="s">
        <v>187</v>
      </c>
      <c r="B119" s="86" t="s">
        <v>188</v>
      </c>
      <c r="C119" s="34">
        <f>[13]С4!F33</f>
        <v>1518.3142669041224</v>
      </c>
    </row>
    <row r="120" spans="1:3" ht="30">
      <c r="A120" s="59" t="s">
        <v>189</v>
      </c>
      <c r="B120" s="87" t="s">
        <v>190</v>
      </c>
      <c r="C120" s="34">
        <f>[13]С4!F35</f>
        <v>17.040680999999999</v>
      </c>
    </row>
    <row r="121" spans="1:3" ht="14.25">
      <c r="A121" s="59" t="s">
        <v>191</v>
      </c>
      <c r="B121" s="56" t="s">
        <v>192</v>
      </c>
      <c r="C121" s="34">
        <f>[13]С4!F36</f>
        <v>14319.9</v>
      </c>
    </row>
    <row r="122" spans="1:3" ht="28.5" thickBot="1">
      <c r="A122" s="72" t="s">
        <v>193</v>
      </c>
      <c r="B122" s="88" t="s">
        <v>194</v>
      </c>
      <c r="C122" s="83">
        <f>[13]С4!F37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[13]С5!F17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[13]С2!F37</f>
        <v>20.818139999999996</v>
      </c>
    </row>
    <row r="136" spans="1:4" ht="14.25">
      <c r="A136" s="59" t="s">
        <v>216</v>
      </c>
      <c r="B136" s="101" t="s">
        <v>217</v>
      </c>
      <c r="C136" s="34">
        <f>[13]С2!F38</f>
        <v>7</v>
      </c>
    </row>
    <row r="137" spans="1:4" ht="17.25">
      <c r="A137" s="59" t="s">
        <v>218</v>
      </c>
      <c r="B137" s="101" t="s">
        <v>219</v>
      </c>
      <c r="C137" s="34">
        <f>[13]С2!F40</f>
        <v>0.97</v>
      </c>
    </row>
    <row r="138" spans="1:4" ht="15" thickBot="1">
      <c r="A138" s="72" t="s">
        <v>220</v>
      </c>
      <c r="B138" s="102" t="s">
        <v>221</v>
      </c>
      <c r="C138" s="46">
        <f>[13]С2!F42</f>
        <v>0.35</v>
      </c>
    </row>
    <row r="139" spans="1:4" s="89" customFormat="1" ht="13.5" thickBot="1">
      <c r="A139" s="47"/>
      <c r="B139" s="75"/>
      <c r="C139" s="15"/>
    </row>
    <row r="140" spans="1:4" ht="30">
      <c r="A140" s="84" t="s">
        <v>222</v>
      </c>
      <c r="B140" s="103" t="s">
        <v>223</v>
      </c>
      <c r="C140" s="104">
        <f>[13]С2!F35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[13]С2.5!$E$11</f>
        <v>-2.9000000000000026E-2</v>
      </c>
      <c r="D143" s="89"/>
    </row>
    <row r="144" spans="1:4">
      <c r="A144" s="105"/>
      <c r="B144" s="110">
        <f>B143+1</f>
        <v>2021</v>
      </c>
      <c r="C144" s="111">
        <f>[13]С2.5!$F$11</f>
        <v>0.245</v>
      </c>
      <c r="D144" s="89"/>
    </row>
    <row r="145" spans="1:4">
      <c r="A145" s="105"/>
      <c r="B145" s="110">
        <f t="shared" ref="B145:B208" si="0">B144+1</f>
        <v>2022</v>
      </c>
      <c r="C145" s="111">
        <f>[13]С2.5!$G$11</f>
        <v>0.121</v>
      </c>
      <c r="D145" s="89"/>
    </row>
    <row r="146" spans="1:4" ht="13.5" thickBot="1">
      <c r="A146" s="105"/>
      <c r="B146" s="112">
        <f t="shared" si="0"/>
        <v>2023</v>
      </c>
      <c r="C146" s="113">
        <f>[13]С2.5!$H$11</f>
        <v>0.02</v>
      </c>
      <c r="D146" s="89"/>
    </row>
    <row r="147" spans="1:4" hidden="1">
      <c r="A147" s="105"/>
      <c r="B147" s="114">
        <f t="shared" si="0"/>
        <v>2024</v>
      </c>
      <c r="C147" s="115">
        <f>[13]С2.5!$I$11</f>
        <v>-2.93E-2</v>
      </c>
      <c r="D147" s="89"/>
    </row>
    <row r="148" spans="1:4" hidden="1">
      <c r="A148" s="105"/>
      <c r="B148" s="110">
        <f t="shared" si="0"/>
        <v>2025</v>
      </c>
      <c r="C148" s="111">
        <f>[13]С2.5!$J$11</f>
        <v>0.21215960863291</v>
      </c>
      <c r="D148" s="89"/>
    </row>
    <row r="149" spans="1:4" hidden="1">
      <c r="A149" s="105"/>
      <c r="B149" s="110">
        <f t="shared" si="0"/>
        <v>2026</v>
      </c>
      <c r="C149" s="111">
        <f>[13]С2.5!$K$11</f>
        <v>3.5813361771260002E-2</v>
      </c>
      <c r="D149" s="89"/>
    </row>
    <row r="150" spans="1:4" hidden="1">
      <c r="A150" s="105"/>
      <c r="B150" s="110">
        <f t="shared" si="0"/>
        <v>2027</v>
      </c>
      <c r="C150" s="111">
        <f>[13]С2.5!$L$11</f>
        <v>3.2682303599220003E-2</v>
      </c>
      <c r="D150" s="89"/>
    </row>
    <row r="151" spans="1:4" hidden="1">
      <c r="A151" s="105"/>
      <c r="B151" s="110">
        <f t="shared" si="0"/>
        <v>2028</v>
      </c>
      <c r="C151" s="111">
        <f>[13]С2.5!$M$11</f>
        <v>0</v>
      </c>
      <c r="D151" s="89"/>
    </row>
    <row r="152" spans="1:4" hidden="1">
      <c r="A152" s="105"/>
      <c r="B152" s="110">
        <f t="shared" si="0"/>
        <v>2029</v>
      </c>
      <c r="C152" s="111">
        <f>[13]С2.5!$N$11</f>
        <v>0</v>
      </c>
      <c r="D152" s="89"/>
    </row>
    <row r="153" spans="1:4" hidden="1">
      <c r="A153" s="105"/>
      <c r="B153" s="110">
        <f t="shared" si="0"/>
        <v>2030</v>
      </c>
      <c r="C153" s="111">
        <f>[13]С2.5!$O$11</f>
        <v>0</v>
      </c>
      <c r="D153" s="89"/>
    </row>
    <row r="154" spans="1:4" hidden="1">
      <c r="A154" s="105"/>
      <c r="B154" s="110">
        <f t="shared" si="0"/>
        <v>2031</v>
      </c>
      <c r="C154" s="111">
        <f>[13]С2.5!$P$11</f>
        <v>0</v>
      </c>
      <c r="D154" s="89"/>
    </row>
    <row r="155" spans="1:4" hidden="1">
      <c r="A155" s="89"/>
      <c r="B155" s="110">
        <f t="shared" si="0"/>
        <v>2032</v>
      </c>
      <c r="C155" s="111">
        <f>[13]С2.5!$Q$11</f>
        <v>0</v>
      </c>
      <c r="D155" s="89"/>
    </row>
    <row r="156" spans="1:4" hidden="1">
      <c r="A156" s="89"/>
      <c r="B156" s="110">
        <f t="shared" si="0"/>
        <v>2033</v>
      </c>
      <c r="C156" s="111">
        <f>[13]С2.5!$R$11</f>
        <v>0</v>
      </c>
      <c r="D156" s="89"/>
    </row>
    <row r="157" spans="1:4" hidden="1">
      <c r="B157" s="110">
        <f t="shared" si="0"/>
        <v>2034</v>
      </c>
      <c r="C157" s="111">
        <f>[13]С2.5!$S$11</f>
        <v>0</v>
      </c>
    </row>
    <row r="158" spans="1:4" hidden="1">
      <c r="B158" s="110">
        <f t="shared" si="0"/>
        <v>2035</v>
      </c>
      <c r="C158" s="111">
        <f>[13]С2.5!$T$11</f>
        <v>0</v>
      </c>
    </row>
    <row r="159" spans="1:4" hidden="1">
      <c r="B159" s="110">
        <f t="shared" si="0"/>
        <v>2036</v>
      </c>
      <c r="C159" s="111">
        <f>[13]С2.5!$U$11</f>
        <v>0</v>
      </c>
    </row>
    <row r="160" spans="1:4" hidden="1">
      <c r="B160" s="110">
        <f t="shared" si="0"/>
        <v>2037</v>
      </c>
      <c r="C160" s="111">
        <f>[13]С2.5!$V$11</f>
        <v>0</v>
      </c>
    </row>
    <row r="161" spans="2:3" hidden="1">
      <c r="B161" s="110">
        <f t="shared" si="0"/>
        <v>2038</v>
      </c>
      <c r="C161" s="111">
        <f>[13]С2.5!$W$11</f>
        <v>0</v>
      </c>
    </row>
    <row r="162" spans="2:3" hidden="1">
      <c r="B162" s="110">
        <f t="shared" si="0"/>
        <v>2039</v>
      </c>
      <c r="C162" s="111">
        <f>[13]С2.5!$X$11</f>
        <v>0</v>
      </c>
    </row>
    <row r="163" spans="2:3" hidden="1">
      <c r="B163" s="110">
        <f t="shared" si="0"/>
        <v>2040</v>
      </c>
      <c r="C163" s="111">
        <f>[13]С2.5!$Y$11</f>
        <v>0</v>
      </c>
    </row>
    <row r="164" spans="2:3" hidden="1">
      <c r="B164" s="110">
        <f t="shared" si="0"/>
        <v>2041</v>
      </c>
      <c r="C164" s="111">
        <f>[13]С2.5!$Z$11</f>
        <v>0</v>
      </c>
    </row>
    <row r="165" spans="2:3" hidden="1">
      <c r="B165" s="110">
        <f t="shared" si="0"/>
        <v>2042</v>
      </c>
      <c r="C165" s="111">
        <f>[13]С2.5!$AA$11</f>
        <v>0</v>
      </c>
    </row>
    <row r="166" spans="2:3" hidden="1">
      <c r="B166" s="110">
        <f t="shared" si="0"/>
        <v>2043</v>
      </c>
      <c r="C166" s="111">
        <f>[13]С2.5!$AB$11</f>
        <v>0</v>
      </c>
    </row>
    <row r="167" spans="2:3" hidden="1">
      <c r="B167" s="110">
        <f t="shared" si="0"/>
        <v>2044</v>
      </c>
      <c r="C167" s="111">
        <f>[13]С2.5!$AC$11</f>
        <v>0</v>
      </c>
    </row>
    <row r="168" spans="2:3" hidden="1">
      <c r="B168" s="110">
        <f t="shared" si="0"/>
        <v>2045</v>
      </c>
      <c r="C168" s="111">
        <f>[13]С2.5!$AD$11</f>
        <v>0</v>
      </c>
    </row>
    <row r="169" spans="2:3" hidden="1">
      <c r="B169" s="110">
        <f t="shared" si="0"/>
        <v>2046</v>
      </c>
      <c r="C169" s="111">
        <f>[13]С2.5!$AE$11</f>
        <v>0</v>
      </c>
    </row>
    <row r="170" spans="2:3" hidden="1">
      <c r="B170" s="110">
        <f t="shared" si="0"/>
        <v>2047</v>
      </c>
      <c r="C170" s="111">
        <f>[13]С2.5!$AF$11</f>
        <v>0</v>
      </c>
    </row>
    <row r="171" spans="2:3" hidden="1">
      <c r="B171" s="110">
        <f t="shared" si="0"/>
        <v>2048</v>
      </c>
      <c r="C171" s="111">
        <f>[13]С2.5!$AG$11</f>
        <v>0</v>
      </c>
    </row>
    <row r="172" spans="2:3" hidden="1">
      <c r="B172" s="110">
        <f t="shared" si="0"/>
        <v>2049</v>
      </c>
      <c r="C172" s="111">
        <f>[13]С2.5!$AH$11</f>
        <v>0</v>
      </c>
    </row>
    <row r="173" spans="2:3" hidden="1">
      <c r="B173" s="110">
        <f t="shared" si="0"/>
        <v>2050</v>
      </c>
      <c r="C173" s="111">
        <f>[13]С2.5!$AI$11</f>
        <v>0</v>
      </c>
    </row>
    <row r="174" spans="2:3" hidden="1">
      <c r="B174" s="110">
        <f t="shared" si="0"/>
        <v>2051</v>
      </c>
      <c r="C174" s="111">
        <f>[13]С2.5!$AJ$11</f>
        <v>0</v>
      </c>
    </row>
    <row r="175" spans="2:3" hidden="1">
      <c r="B175" s="110">
        <f t="shared" si="0"/>
        <v>2052</v>
      </c>
      <c r="C175" s="111">
        <f>[13]С2.5!$AK$11</f>
        <v>0</v>
      </c>
    </row>
    <row r="176" spans="2:3" hidden="1">
      <c r="B176" s="110">
        <f t="shared" si="0"/>
        <v>2053</v>
      </c>
      <c r="C176" s="111">
        <f>[13]С2.5!$AL$11</f>
        <v>0</v>
      </c>
    </row>
    <row r="177" spans="2:3" hidden="1">
      <c r="B177" s="110">
        <f t="shared" si="0"/>
        <v>2054</v>
      </c>
      <c r="C177" s="111">
        <f>[13]С2.5!$AM$11</f>
        <v>0</v>
      </c>
    </row>
    <row r="178" spans="2:3" hidden="1">
      <c r="B178" s="110">
        <f t="shared" si="0"/>
        <v>2055</v>
      </c>
      <c r="C178" s="111">
        <f>[13]С2.5!$AN$11</f>
        <v>0</v>
      </c>
    </row>
    <row r="179" spans="2:3" hidden="1">
      <c r="B179" s="110">
        <f t="shared" si="0"/>
        <v>2056</v>
      </c>
      <c r="C179" s="111">
        <f>[13]С2.5!$AO$11</f>
        <v>0</v>
      </c>
    </row>
    <row r="180" spans="2:3" hidden="1">
      <c r="B180" s="110">
        <f t="shared" si="0"/>
        <v>2057</v>
      </c>
      <c r="C180" s="111">
        <f>[13]С2.5!$AP$11</f>
        <v>0</v>
      </c>
    </row>
    <row r="181" spans="2:3" hidden="1">
      <c r="B181" s="110">
        <f t="shared" si="0"/>
        <v>2058</v>
      </c>
      <c r="C181" s="111">
        <f>[13]С2.5!$AQ$11</f>
        <v>0</v>
      </c>
    </row>
    <row r="182" spans="2:3" hidden="1">
      <c r="B182" s="110">
        <f t="shared" si="0"/>
        <v>2059</v>
      </c>
      <c r="C182" s="111">
        <f>[13]С2.5!$AR$11</f>
        <v>0</v>
      </c>
    </row>
    <row r="183" spans="2:3" hidden="1">
      <c r="B183" s="110">
        <f t="shared" si="0"/>
        <v>2060</v>
      </c>
      <c r="C183" s="111">
        <f>[13]С2.5!$AS$11</f>
        <v>0</v>
      </c>
    </row>
    <row r="184" spans="2:3" hidden="1">
      <c r="B184" s="110">
        <f t="shared" si="0"/>
        <v>2061</v>
      </c>
      <c r="C184" s="111">
        <f>[13]С2.5!$AT$11</f>
        <v>0</v>
      </c>
    </row>
    <row r="185" spans="2:3" hidden="1">
      <c r="B185" s="110">
        <f t="shared" si="0"/>
        <v>2062</v>
      </c>
      <c r="C185" s="111">
        <f>[13]С2.5!$AU$11</f>
        <v>0</v>
      </c>
    </row>
    <row r="186" spans="2:3" hidden="1">
      <c r="B186" s="110">
        <f t="shared" si="0"/>
        <v>2063</v>
      </c>
      <c r="C186" s="111">
        <f>[13]С2.5!$AV$11</f>
        <v>0</v>
      </c>
    </row>
    <row r="187" spans="2:3" hidden="1">
      <c r="B187" s="110">
        <f t="shared" si="0"/>
        <v>2064</v>
      </c>
      <c r="C187" s="111">
        <f>[13]С2.5!$AW$11</f>
        <v>0</v>
      </c>
    </row>
    <row r="188" spans="2:3" hidden="1">
      <c r="B188" s="110">
        <f t="shared" si="0"/>
        <v>2065</v>
      </c>
      <c r="C188" s="111">
        <f>[13]С2.5!$AX$11</f>
        <v>0</v>
      </c>
    </row>
    <row r="189" spans="2:3" hidden="1">
      <c r="B189" s="110">
        <f t="shared" si="0"/>
        <v>2066</v>
      </c>
      <c r="C189" s="111">
        <f>[13]С2.5!$AY$11</f>
        <v>0</v>
      </c>
    </row>
    <row r="190" spans="2:3" hidden="1">
      <c r="B190" s="110">
        <f t="shared" si="0"/>
        <v>2067</v>
      </c>
      <c r="C190" s="111">
        <f>[13]С2.5!$AZ$11</f>
        <v>0</v>
      </c>
    </row>
    <row r="191" spans="2:3" hidden="1">
      <c r="B191" s="110">
        <f t="shared" si="0"/>
        <v>2068</v>
      </c>
      <c r="C191" s="111">
        <f>[13]С2.5!$BA$11</f>
        <v>0</v>
      </c>
    </row>
    <row r="192" spans="2:3" hidden="1">
      <c r="B192" s="110">
        <f t="shared" si="0"/>
        <v>2069</v>
      </c>
      <c r="C192" s="111">
        <f>[13]С2.5!$BB$11</f>
        <v>0</v>
      </c>
    </row>
    <row r="193" spans="2:3" hidden="1">
      <c r="B193" s="110">
        <f t="shared" si="0"/>
        <v>2070</v>
      </c>
      <c r="C193" s="111">
        <f>[13]С2.5!$BC$11</f>
        <v>0</v>
      </c>
    </row>
    <row r="194" spans="2:3" hidden="1">
      <c r="B194" s="110">
        <f t="shared" si="0"/>
        <v>2071</v>
      </c>
      <c r="C194" s="111">
        <f>[13]С2.5!$BD$11</f>
        <v>0</v>
      </c>
    </row>
    <row r="195" spans="2:3" hidden="1">
      <c r="B195" s="110">
        <f t="shared" si="0"/>
        <v>2072</v>
      </c>
      <c r="C195" s="111">
        <f>[13]С2.5!$BE$11</f>
        <v>0</v>
      </c>
    </row>
    <row r="196" spans="2:3" hidden="1">
      <c r="B196" s="110">
        <f t="shared" si="0"/>
        <v>2073</v>
      </c>
      <c r="C196" s="111">
        <f>[13]С2.5!$BF$11</f>
        <v>0</v>
      </c>
    </row>
    <row r="197" spans="2:3" hidden="1">
      <c r="B197" s="110">
        <f t="shared" si="0"/>
        <v>2074</v>
      </c>
      <c r="C197" s="111">
        <f>[13]С2.5!$BG$11</f>
        <v>0</v>
      </c>
    </row>
    <row r="198" spans="2:3" hidden="1">
      <c r="B198" s="110">
        <f t="shared" si="0"/>
        <v>2075</v>
      </c>
      <c r="C198" s="111">
        <f>[13]С2.5!$BH$11</f>
        <v>0</v>
      </c>
    </row>
    <row r="199" spans="2:3" hidden="1">
      <c r="B199" s="110">
        <f t="shared" si="0"/>
        <v>2076</v>
      </c>
      <c r="C199" s="111">
        <f>[13]С2.5!$BI$11</f>
        <v>0</v>
      </c>
    </row>
    <row r="200" spans="2:3" hidden="1">
      <c r="B200" s="110">
        <f t="shared" si="0"/>
        <v>2077</v>
      </c>
      <c r="C200" s="111">
        <f>[13]С2.5!$BJ$11</f>
        <v>0</v>
      </c>
    </row>
    <row r="201" spans="2:3" hidden="1">
      <c r="B201" s="110">
        <f t="shared" si="0"/>
        <v>2078</v>
      </c>
      <c r="C201" s="111">
        <f>[13]С2.5!$BK$11</f>
        <v>0</v>
      </c>
    </row>
    <row r="202" spans="2:3" hidden="1">
      <c r="B202" s="110">
        <f t="shared" si="0"/>
        <v>2079</v>
      </c>
      <c r="C202" s="111">
        <f>[13]С2.5!$BL$11</f>
        <v>0</v>
      </c>
    </row>
    <row r="203" spans="2:3" hidden="1">
      <c r="B203" s="110">
        <f t="shared" si="0"/>
        <v>2080</v>
      </c>
      <c r="C203" s="111">
        <f>[13]С2.5!$BM$11</f>
        <v>0</v>
      </c>
    </row>
    <row r="204" spans="2:3" hidden="1">
      <c r="B204" s="110">
        <f t="shared" si="0"/>
        <v>2081</v>
      </c>
      <c r="C204" s="111">
        <f>[13]С2.5!$BN$11</f>
        <v>0</v>
      </c>
    </row>
    <row r="205" spans="2:3" hidden="1">
      <c r="B205" s="110">
        <f t="shared" si="0"/>
        <v>2082</v>
      </c>
      <c r="C205" s="111">
        <f>[13]С2.5!$BO$11</f>
        <v>0</v>
      </c>
    </row>
    <row r="206" spans="2:3" hidden="1">
      <c r="B206" s="110">
        <f t="shared" si="0"/>
        <v>2083</v>
      </c>
      <c r="C206" s="111">
        <f>[13]С2.5!$BP$11</f>
        <v>0</v>
      </c>
    </row>
    <row r="207" spans="2:3" hidden="1">
      <c r="B207" s="110">
        <f t="shared" si="0"/>
        <v>2084</v>
      </c>
      <c r="C207" s="111">
        <f>[13]С2.5!$BQ$11</f>
        <v>0</v>
      </c>
    </row>
    <row r="208" spans="2:3" hidden="1">
      <c r="B208" s="110">
        <f t="shared" si="0"/>
        <v>2085</v>
      </c>
      <c r="C208" s="111">
        <f>[13]С2.5!$BR$11</f>
        <v>0</v>
      </c>
    </row>
    <row r="209" spans="2:3" hidden="1">
      <c r="B209" s="110">
        <f t="shared" ref="B209:B223" si="1">B208+1</f>
        <v>2086</v>
      </c>
      <c r="C209" s="111">
        <f>[13]С2.5!$BS$11</f>
        <v>0</v>
      </c>
    </row>
    <row r="210" spans="2:3" hidden="1">
      <c r="B210" s="110">
        <f t="shared" si="1"/>
        <v>2087</v>
      </c>
      <c r="C210" s="111">
        <f>[13]С2.5!$BT$11</f>
        <v>0</v>
      </c>
    </row>
    <row r="211" spans="2:3" hidden="1">
      <c r="B211" s="110">
        <f t="shared" si="1"/>
        <v>2088</v>
      </c>
      <c r="C211" s="111">
        <f>[13]С2.5!$BU$11</f>
        <v>0</v>
      </c>
    </row>
    <row r="212" spans="2:3" hidden="1">
      <c r="B212" s="110">
        <f t="shared" si="1"/>
        <v>2089</v>
      </c>
      <c r="C212" s="111">
        <f>[13]С2.5!$BV$11</f>
        <v>0</v>
      </c>
    </row>
    <row r="213" spans="2:3" hidden="1">
      <c r="B213" s="110">
        <f t="shared" si="1"/>
        <v>2090</v>
      </c>
      <c r="C213" s="111">
        <f>[13]С2.5!$BW$11</f>
        <v>0</v>
      </c>
    </row>
    <row r="214" spans="2:3" hidden="1">
      <c r="B214" s="110">
        <f t="shared" si="1"/>
        <v>2091</v>
      </c>
      <c r="C214" s="111">
        <f>[13]С2.5!$BX$11</f>
        <v>0</v>
      </c>
    </row>
    <row r="215" spans="2:3" hidden="1">
      <c r="B215" s="110">
        <f t="shared" si="1"/>
        <v>2092</v>
      </c>
      <c r="C215" s="111">
        <f>[13]С2.5!$BY$11</f>
        <v>0</v>
      </c>
    </row>
    <row r="216" spans="2:3" hidden="1">
      <c r="B216" s="110">
        <f t="shared" si="1"/>
        <v>2093</v>
      </c>
      <c r="C216" s="111">
        <f>[13]С2.5!$BZ$11</f>
        <v>0</v>
      </c>
    </row>
    <row r="217" spans="2:3" hidden="1">
      <c r="B217" s="110">
        <f t="shared" si="1"/>
        <v>2094</v>
      </c>
      <c r="C217" s="111">
        <f>[13]С2.5!$CA$11</f>
        <v>0</v>
      </c>
    </row>
    <row r="218" spans="2:3" hidden="1">
      <c r="B218" s="110">
        <f t="shared" si="1"/>
        <v>2095</v>
      </c>
      <c r="C218" s="111">
        <f>[13]С2.5!$CB$11</f>
        <v>0</v>
      </c>
    </row>
    <row r="219" spans="2:3" hidden="1">
      <c r="B219" s="110">
        <f t="shared" si="1"/>
        <v>2096</v>
      </c>
      <c r="C219" s="111">
        <f>[13]С2.5!$CC$11</f>
        <v>0</v>
      </c>
    </row>
    <row r="220" spans="2:3" hidden="1">
      <c r="B220" s="110">
        <f t="shared" si="1"/>
        <v>2097</v>
      </c>
      <c r="C220" s="111">
        <f>[13]С2.5!$CD$11</f>
        <v>0</v>
      </c>
    </row>
    <row r="221" spans="2:3" hidden="1">
      <c r="B221" s="110">
        <f t="shared" si="1"/>
        <v>2098</v>
      </c>
      <c r="C221" s="111">
        <f>[13]С2.5!$CE$11</f>
        <v>0</v>
      </c>
    </row>
    <row r="222" spans="2:3" hidden="1">
      <c r="B222" s="110">
        <f t="shared" si="1"/>
        <v>2099</v>
      </c>
      <c r="C222" s="111">
        <f>[13]С2.5!$CF$11</f>
        <v>0</v>
      </c>
    </row>
    <row r="223" spans="2:3" ht="13.5" hidden="1" thickBot="1">
      <c r="B223" s="112">
        <f t="shared" si="1"/>
        <v>2100</v>
      </c>
      <c r="C223" s="113">
        <f>[13]С2.5!$CG$11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1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[14]И1!D13</f>
        <v>Субъект Российской Федерации</v>
      </c>
      <c r="C4" s="10" t="str">
        <f>[14]И1!E13</f>
        <v>Новосибирская область</v>
      </c>
    </row>
    <row r="5" spans="1:3" ht="38.25">
      <c r="A5" s="8"/>
      <c r="B5" s="9" t="str">
        <f>[14]И1!D14</f>
        <v>Тип муниципального образования (выберите из списка)</v>
      </c>
      <c r="C5" s="10" t="str">
        <f>[14]И1!E14</f>
        <v>село Травное, Доволенский муниципальный район</v>
      </c>
    </row>
    <row r="6" spans="1:3">
      <c r="A6" s="8"/>
      <c r="B6" s="9" t="str">
        <f>IF([14]И1!E15="","",[14]И1!D15)</f>
        <v/>
      </c>
      <c r="C6" s="10" t="str">
        <f>IF([14]И1!E15="","",[14]И1!E15)</f>
        <v/>
      </c>
    </row>
    <row r="7" spans="1:3">
      <c r="A7" s="8"/>
      <c r="B7" s="9" t="str">
        <f>[14]И1!D16</f>
        <v>Код ОКТМО</v>
      </c>
      <c r="C7" s="11" t="str">
        <f>[14]И1!E16</f>
        <v>50610428101</v>
      </c>
    </row>
    <row r="8" spans="1:3">
      <c r="A8" s="8"/>
      <c r="B8" s="12" t="str">
        <f>[14]И1!D17</f>
        <v>Система теплоснабжения</v>
      </c>
      <c r="C8" s="13">
        <f>[14]И1!E17</f>
        <v>0</v>
      </c>
    </row>
    <row r="9" spans="1:3">
      <c r="A9" s="8"/>
      <c r="B9" s="9" t="str">
        <f>[14]И1!D8</f>
        <v>Период регулирования (i)-й</v>
      </c>
      <c r="C9" s="14">
        <f>[14]И1!E8</f>
        <v>2023</v>
      </c>
    </row>
    <row r="10" spans="1:3">
      <c r="A10" s="8"/>
      <c r="B10" s="9" t="str">
        <f>[14]И1!D9</f>
        <v>Период регулирования (i-1)-й</v>
      </c>
      <c r="C10" s="14">
        <f>[14]И1!E9</f>
        <v>2022</v>
      </c>
    </row>
    <row r="11" spans="1:3">
      <c r="A11" s="8"/>
      <c r="B11" s="9" t="str">
        <f>[14]И1!D10</f>
        <v>Период регулирования (i-2)-й</v>
      </c>
      <c r="C11" s="14">
        <f>[14]И1!E10</f>
        <v>2021</v>
      </c>
    </row>
    <row r="12" spans="1:3">
      <c r="A12" s="8"/>
      <c r="B12" s="9" t="str">
        <f>[14]И1!D11</f>
        <v>Базовый год (б)</v>
      </c>
      <c r="C12" s="14">
        <f>[14]И1!E11</f>
        <v>2019</v>
      </c>
    </row>
    <row r="13" spans="1:3" ht="38.25">
      <c r="A13" s="8"/>
      <c r="B13" s="9" t="str">
        <f>[14]И1!D18</f>
        <v>Вид топлива, использование которого преобладает в системе теплоснабжения</v>
      </c>
      <c r="C13" s="15" t="str">
        <f>[14]С1.1!E13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4079.4831471982147</v>
      </c>
    </row>
    <row r="18" spans="1:3" ht="42.75">
      <c r="A18" s="22" t="s">
        <v>8</v>
      </c>
      <c r="B18" s="25" t="s">
        <v>9</v>
      </c>
      <c r="C18" s="26">
        <f>[14]С1!F12</f>
        <v>976.46145561439812</v>
      </c>
    </row>
    <row r="19" spans="1:3" ht="42.75">
      <c r="A19" s="22" t="s">
        <v>10</v>
      </c>
      <c r="B19" s="25" t="s">
        <v>11</v>
      </c>
      <c r="C19" s="26">
        <f>[14]С2!F12</f>
        <v>2105.0745921739249</v>
      </c>
    </row>
    <row r="20" spans="1:3" ht="30">
      <c r="A20" s="22" t="s">
        <v>12</v>
      </c>
      <c r="B20" s="25" t="s">
        <v>13</v>
      </c>
      <c r="C20" s="26">
        <f>[14]С3!F12</f>
        <v>503.57282204972699</v>
      </c>
    </row>
    <row r="21" spans="1:3" ht="42.75">
      <c r="A21" s="22" t="s">
        <v>14</v>
      </c>
      <c r="B21" s="25" t="s">
        <v>15</v>
      </c>
      <c r="C21" s="26">
        <f>[14]С4!F12</f>
        <v>414.38441172882682</v>
      </c>
    </row>
    <row r="22" spans="1:3" ht="30">
      <c r="A22" s="22" t="s">
        <v>16</v>
      </c>
      <c r="B22" s="25" t="s">
        <v>17</v>
      </c>
      <c r="C22" s="26">
        <f>[14]С5!F12</f>
        <v>79.989865631337551</v>
      </c>
    </row>
    <row r="23" spans="1:3" ht="43.5" thickBot="1">
      <c r="A23" s="27" t="s">
        <v>18</v>
      </c>
      <c r="B23" s="117" t="s">
        <v>19</v>
      </c>
      <c r="C23" s="28" t="str">
        <f>[14]С6!F12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[14]С1.1!E16</f>
        <v>5100</v>
      </c>
    </row>
    <row r="29" spans="1:3" ht="42.75">
      <c r="A29" s="22" t="s">
        <v>10</v>
      </c>
      <c r="B29" s="33" t="s">
        <v>22</v>
      </c>
      <c r="C29" s="34">
        <f>[14]С1.1!E27</f>
        <v>2625.541666666667</v>
      </c>
    </row>
    <row r="30" spans="1:3" ht="17.25">
      <c r="A30" s="22" t="s">
        <v>12</v>
      </c>
      <c r="B30" s="33" t="s">
        <v>23</v>
      </c>
      <c r="C30" s="35">
        <f>[14]С1.1!E19</f>
        <v>0.59499999999999997</v>
      </c>
    </row>
    <row r="31" spans="1:3" ht="17.25">
      <c r="A31" s="22" t="s">
        <v>14</v>
      </c>
      <c r="B31" s="33" t="s">
        <v>24</v>
      </c>
      <c r="C31" s="35">
        <f>[14]С1.1!E20</f>
        <v>-0.113</v>
      </c>
    </row>
    <row r="32" spans="1:3" ht="30">
      <c r="A32" s="22" t="s">
        <v>16</v>
      </c>
      <c r="B32" s="36" t="s">
        <v>25</v>
      </c>
      <c r="C32" s="37">
        <f>[14]С1!F13</f>
        <v>176.4</v>
      </c>
    </row>
    <row r="33" spans="1:3">
      <c r="A33" s="22" t="s">
        <v>18</v>
      </c>
      <c r="B33" s="36" t="s">
        <v>26</v>
      </c>
      <c r="C33" s="38">
        <f>[14]С1!F16</f>
        <v>7000</v>
      </c>
    </row>
    <row r="34" spans="1:3" ht="14.25">
      <c r="A34" s="22" t="s">
        <v>27</v>
      </c>
      <c r="B34" s="39" t="s">
        <v>28</v>
      </c>
      <c r="C34" s="40">
        <f>[14]С1!F17</f>
        <v>0.72857142857142854</v>
      </c>
    </row>
    <row r="35" spans="1:3" ht="15.75">
      <c r="A35" s="41" t="s">
        <v>29</v>
      </c>
      <c r="B35" s="42" t="s">
        <v>30</v>
      </c>
      <c r="C35" s="40">
        <f>[14]С1!F20</f>
        <v>21.588411179999994</v>
      </c>
    </row>
    <row r="36" spans="1:3" ht="15.75">
      <c r="A36" s="41" t="s">
        <v>31</v>
      </c>
      <c r="B36" s="43" t="s">
        <v>32</v>
      </c>
      <c r="C36" s="40">
        <f>[14]С1!F21</f>
        <v>20.818139999999996</v>
      </c>
    </row>
    <row r="37" spans="1:3" ht="14.25">
      <c r="A37" s="41" t="s">
        <v>33</v>
      </c>
      <c r="B37" s="44" t="s">
        <v>34</v>
      </c>
      <c r="C37" s="40">
        <f>[14]С1!F22</f>
        <v>1.0369999999999999</v>
      </c>
    </row>
    <row r="38" spans="1:3" ht="53.25" thickBot="1">
      <c r="A38" s="27" t="s">
        <v>35</v>
      </c>
      <c r="B38" s="45" t="s">
        <v>36</v>
      </c>
      <c r="C38" s="46">
        <f>[14]С1!F23</f>
        <v>1.0469999999999999</v>
      </c>
    </row>
    <row r="39" spans="1:3" ht="13.5" thickBot="1">
      <c r="A39" s="47"/>
      <c r="B39" s="48"/>
      <c r="C39" s="49"/>
    </row>
    <row r="40" spans="1:3" ht="30" customHeight="1">
      <c r="A40" s="50" t="s">
        <v>37</v>
      </c>
      <c r="B40" s="118" t="s">
        <v>38</v>
      </c>
      <c r="C40" s="118"/>
    </row>
    <row r="41" spans="1:3" ht="25.5">
      <c r="A41" s="22" t="s">
        <v>39</v>
      </c>
      <c r="B41" s="36" t="s">
        <v>40</v>
      </c>
      <c r="C41" s="51" t="str">
        <f>[14]С2.1!E12</f>
        <v>V</v>
      </c>
    </row>
    <row r="42" spans="1:3" ht="25.5">
      <c r="A42" s="22" t="s">
        <v>41</v>
      </c>
      <c r="B42" s="33" t="s">
        <v>42</v>
      </c>
      <c r="C42" s="51" t="str">
        <f>[14]С2.1!E13</f>
        <v>6 и менее баллов</v>
      </c>
    </row>
    <row r="43" spans="1:3" ht="25.5">
      <c r="A43" s="22" t="s">
        <v>43</v>
      </c>
      <c r="B43" s="33" t="s">
        <v>44</v>
      </c>
      <c r="C43" s="51" t="str">
        <f>[14]С2.1!E14</f>
        <v>от 200 до 500</v>
      </c>
    </row>
    <row r="44" spans="1:3" ht="25.5">
      <c r="A44" s="22" t="s">
        <v>45</v>
      </c>
      <c r="B44" s="33" t="s">
        <v>46</v>
      </c>
      <c r="C44" s="52" t="str">
        <f>[14]С2.1!E15</f>
        <v>нет</v>
      </c>
    </row>
    <row r="45" spans="1:3" ht="30">
      <c r="A45" s="22" t="s">
        <v>47</v>
      </c>
      <c r="B45" s="33" t="s">
        <v>48</v>
      </c>
      <c r="C45" s="34">
        <f>[14]С2!F18</f>
        <v>32402.627334033532</v>
      </c>
    </row>
    <row r="46" spans="1:3" ht="30">
      <c r="A46" s="22" t="s">
        <v>49</v>
      </c>
      <c r="B46" s="53" t="s">
        <v>50</v>
      </c>
      <c r="C46" s="34">
        <f>IF([14]С2!F19&gt;0,[14]С2!F19,[14]С2!F20)</f>
        <v>23441.524932855718</v>
      </c>
    </row>
    <row r="47" spans="1:3" ht="25.5">
      <c r="A47" s="22" t="s">
        <v>51</v>
      </c>
      <c r="B47" s="54" t="s">
        <v>52</v>
      </c>
      <c r="C47" s="34">
        <f>[14]С2.1!E19</f>
        <v>-38</v>
      </c>
    </row>
    <row r="48" spans="1:3" ht="25.5">
      <c r="A48" s="22" t="s">
        <v>53</v>
      </c>
      <c r="B48" s="54" t="s">
        <v>54</v>
      </c>
      <c r="C48" s="34" t="str">
        <f>[14]С2.1!E22</f>
        <v>нет</v>
      </c>
    </row>
    <row r="49" spans="1:3" ht="38.25">
      <c r="A49" s="22" t="s">
        <v>55</v>
      </c>
      <c r="B49" s="55" t="s">
        <v>56</v>
      </c>
      <c r="C49" s="34">
        <f>[14]С2.2!E10</f>
        <v>1287</v>
      </c>
    </row>
    <row r="50" spans="1:3" ht="25.5">
      <c r="A50" s="22" t="s">
        <v>57</v>
      </c>
      <c r="B50" s="56" t="s">
        <v>58</v>
      </c>
      <c r="C50" s="34">
        <f>[14]С2.2!E12</f>
        <v>5.97</v>
      </c>
    </row>
    <row r="51" spans="1:3" ht="52.5">
      <c r="A51" s="22" t="s">
        <v>59</v>
      </c>
      <c r="B51" s="57" t="s">
        <v>60</v>
      </c>
      <c r="C51" s="34">
        <f>[14]С2.2!E13</f>
        <v>1</v>
      </c>
    </row>
    <row r="52" spans="1:3" ht="27.75">
      <c r="A52" s="22" t="s">
        <v>61</v>
      </c>
      <c r="B52" s="56" t="s">
        <v>62</v>
      </c>
      <c r="C52" s="34">
        <f>[14]С2.2!E14</f>
        <v>12104</v>
      </c>
    </row>
    <row r="53" spans="1:3" ht="25.5">
      <c r="A53" s="22" t="s">
        <v>63</v>
      </c>
      <c r="B53" s="57" t="s">
        <v>64</v>
      </c>
      <c r="C53" s="35">
        <f>[14]С2.2!E15</f>
        <v>4.8000000000000001E-2</v>
      </c>
    </row>
    <row r="54" spans="1:3">
      <c r="A54" s="22" t="s">
        <v>65</v>
      </c>
      <c r="B54" s="57" t="s">
        <v>66</v>
      </c>
      <c r="C54" s="34">
        <f>[14]С2.2!E16</f>
        <v>1</v>
      </c>
    </row>
    <row r="55" spans="1:3" ht="15.75">
      <c r="A55" s="22" t="s">
        <v>67</v>
      </c>
      <c r="B55" s="58" t="s">
        <v>68</v>
      </c>
      <c r="C55" s="34">
        <f>[14]С2!F21</f>
        <v>1</v>
      </c>
    </row>
    <row r="56" spans="1:3" ht="30">
      <c r="A56" s="59" t="s">
        <v>69</v>
      </c>
      <c r="B56" s="33" t="s">
        <v>70</v>
      </c>
      <c r="C56" s="34">
        <f>[14]С2!F13</f>
        <v>169640.22915965237</v>
      </c>
    </row>
    <row r="57" spans="1:3" ht="30">
      <c r="A57" s="59" t="s">
        <v>71</v>
      </c>
      <c r="B57" s="58" t="s">
        <v>72</v>
      </c>
      <c r="C57" s="34">
        <f>[14]С2!F14</f>
        <v>113455</v>
      </c>
    </row>
    <row r="58" spans="1:3" ht="15.75">
      <c r="A58" s="59" t="s">
        <v>73</v>
      </c>
      <c r="B58" s="60" t="s">
        <v>74</v>
      </c>
      <c r="C58" s="40">
        <f>[14]С2!F15</f>
        <v>1.071</v>
      </c>
    </row>
    <row r="59" spans="1:3" ht="15.75">
      <c r="A59" s="59" t="s">
        <v>75</v>
      </c>
      <c r="B59" s="60" t="s">
        <v>76</v>
      </c>
      <c r="C59" s="40">
        <f>[14]С2!F16</f>
        <v>1</v>
      </c>
    </row>
    <row r="60" spans="1:3" ht="17.25">
      <c r="A60" s="59" t="s">
        <v>77</v>
      </c>
      <c r="B60" s="58" t="s">
        <v>78</v>
      </c>
      <c r="C60" s="34">
        <f>[14]С2!F17</f>
        <v>1.01</v>
      </c>
    </row>
    <row r="61" spans="1:3" s="63" customFormat="1" ht="14.25">
      <c r="A61" s="59" t="s">
        <v>79</v>
      </c>
      <c r="B61" s="61" t="s">
        <v>80</v>
      </c>
      <c r="C61" s="62">
        <f>[14]С2!F33</f>
        <v>10</v>
      </c>
    </row>
    <row r="62" spans="1:3" ht="30">
      <c r="A62" s="59" t="s">
        <v>81</v>
      </c>
      <c r="B62" s="64" t="s">
        <v>82</v>
      </c>
      <c r="C62" s="34">
        <f>[14]С2!F26</f>
        <v>1012.1091133444331</v>
      </c>
    </row>
    <row r="63" spans="1:3" ht="17.25">
      <c r="A63" s="59" t="s">
        <v>83</v>
      </c>
      <c r="B63" s="53" t="s">
        <v>84</v>
      </c>
      <c r="C63" s="34">
        <f>[14]С2!F27</f>
        <v>0.17433463600000002</v>
      </c>
    </row>
    <row r="64" spans="1:3" ht="17.25">
      <c r="A64" s="59" t="s">
        <v>85</v>
      </c>
      <c r="B64" s="58" t="s">
        <v>86</v>
      </c>
      <c r="C64" s="62">
        <f>[14]С2!F28</f>
        <v>4200</v>
      </c>
    </row>
    <row r="65" spans="1:3" ht="42.75">
      <c r="A65" s="59" t="s">
        <v>87</v>
      </c>
      <c r="B65" s="33" t="s">
        <v>88</v>
      </c>
      <c r="C65" s="34">
        <f>[14]С2!F22</f>
        <v>35717.748653137714</v>
      </c>
    </row>
    <row r="66" spans="1:3" ht="30">
      <c r="A66" s="59" t="s">
        <v>89</v>
      </c>
      <c r="B66" s="60" t="s">
        <v>90</v>
      </c>
      <c r="C66" s="34">
        <f>[14]С2!F23</f>
        <v>1990</v>
      </c>
    </row>
    <row r="67" spans="1:3" ht="30">
      <c r="A67" s="59" t="s">
        <v>91</v>
      </c>
      <c r="B67" s="53" t="s">
        <v>92</v>
      </c>
      <c r="C67" s="34">
        <f>[14]С2.1!E27</f>
        <v>14307.876789999998</v>
      </c>
    </row>
    <row r="68" spans="1:3" ht="38.25">
      <c r="A68" s="59" t="s">
        <v>93</v>
      </c>
      <c r="B68" s="65" t="s">
        <v>94</v>
      </c>
      <c r="C68" s="52">
        <f>[14]С2.3!E21</f>
        <v>0</v>
      </c>
    </row>
    <row r="69" spans="1:3" ht="25.5">
      <c r="A69" s="59" t="s">
        <v>95</v>
      </c>
      <c r="B69" s="66" t="s">
        <v>96</v>
      </c>
      <c r="C69" s="67">
        <f>[14]С2.3!E11</f>
        <v>9.89</v>
      </c>
    </row>
    <row r="70" spans="1:3" ht="25.5">
      <c r="A70" s="59" t="s">
        <v>97</v>
      </c>
      <c r="B70" s="66" t="s">
        <v>98</v>
      </c>
      <c r="C70" s="62">
        <f>[14]С2.3!E13</f>
        <v>300</v>
      </c>
    </row>
    <row r="71" spans="1:3" ht="25.5">
      <c r="A71" s="59" t="s">
        <v>99</v>
      </c>
      <c r="B71" s="65" t="s">
        <v>100</v>
      </c>
      <c r="C71" s="68">
        <f>IF([14]С2.3!E22&gt;0,[14]С2.3!E22,[14]С2.3!E14)</f>
        <v>61211</v>
      </c>
    </row>
    <row r="72" spans="1:3" ht="38.25">
      <c r="A72" s="59" t="s">
        <v>101</v>
      </c>
      <c r="B72" s="65" t="s">
        <v>102</v>
      </c>
      <c r="C72" s="68">
        <f>IF([14]С2.3!E23&gt;0,[14]С2.3!E23,[14]С2.3!E15)</f>
        <v>45675</v>
      </c>
    </row>
    <row r="73" spans="1:3" ht="30">
      <c r="A73" s="59" t="s">
        <v>103</v>
      </c>
      <c r="B73" s="53" t="s">
        <v>104</v>
      </c>
      <c r="C73" s="34">
        <f>[14]С2.1!E28</f>
        <v>9541.9567200000001</v>
      </c>
    </row>
    <row r="74" spans="1:3" ht="38.25">
      <c r="A74" s="59" t="s">
        <v>105</v>
      </c>
      <c r="B74" s="65" t="s">
        <v>106</v>
      </c>
      <c r="C74" s="52">
        <f>[14]С2.3!E25</f>
        <v>0</v>
      </c>
    </row>
    <row r="75" spans="1:3" ht="25.5">
      <c r="A75" s="59" t="s">
        <v>107</v>
      </c>
      <c r="B75" s="66" t="s">
        <v>108</v>
      </c>
      <c r="C75" s="67">
        <f>[14]С2.3!E12</f>
        <v>0.56000000000000005</v>
      </c>
    </row>
    <row r="76" spans="1:3" ht="25.5">
      <c r="A76" s="59" t="s">
        <v>109</v>
      </c>
      <c r="B76" s="66" t="s">
        <v>98</v>
      </c>
      <c r="C76" s="62">
        <f>[14]С2.3!E13</f>
        <v>300</v>
      </c>
    </row>
    <row r="77" spans="1:3" ht="25.5">
      <c r="A77" s="59" t="s">
        <v>110</v>
      </c>
      <c r="B77" s="69" t="s">
        <v>111</v>
      </c>
      <c r="C77" s="68">
        <f>IF([14]С2.3!E26&gt;0,[14]С2.3!E26,[14]С2.3!E16)</f>
        <v>65637</v>
      </c>
    </row>
    <row r="78" spans="1:3" ht="38.25">
      <c r="A78" s="59" t="s">
        <v>112</v>
      </c>
      <c r="B78" s="69" t="s">
        <v>113</v>
      </c>
      <c r="C78" s="68">
        <f>IF([14]С2.3!E27&gt;0,[14]С2.3!E27,[14]С2.3!E17)</f>
        <v>31684</v>
      </c>
    </row>
    <row r="79" spans="1:3" ht="17.25">
      <c r="A79" s="59" t="s">
        <v>114</v>
      </c>
      <c r="B79" s="33" t="s">
        <v>115</v>
      </c>
      <c r="C79" s="35">
        <f>[14]С2!F29</f>
        <v>0.128978033685065</v>
      </c>
    </row>
    <row r="80" spans="1:3" ht="30">
      <c r="A80" s="59" t="s">
        <v>116</v>
      </c>
      <c r="B80" s="53" t="s">
        <v>117</v>
      </c>
      <c r="C80" s="70">
        <f>[14]С2!F30</f>
        <v>0.11668498168498169</v>
      </c>
    </row>
    <row r="81" spans="1:3" ht="17.25">
      <c r="A81" s="59" t="s">
        <v>118</v>
      </c>
      <c r="B81" s="71" t="s">
        <v>119</v>
      </c>
      <c r="C81" s="35">
        <f>[14]С2!F31</f>
        <v>0.13880000000000001</v>
      </c>
    </row>
    <row r="82" spans="1:3" s="63" customFormat="1" ht="18" thickBot="1">
      <c r="A82" s="72" t="s">
        <v>120</v>
      </c>
      <c r="B82" s="73" t="s">
        <v>121</v>
      </c>
      <c r="C82" s="74">
        <f>[14]С2!F32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[14]С3!F14</f>
        <v>6993.2576401328561</v>
      </c>
    </row>
    <row r="86" spans="1:3" s="63" customFormat="1" ht="42.75">
      <c r="A86" s="77" t="s">
        <v>126</v>
      </c>
      <c r="B86" s="53" t="s">
        <v>127</v>
      </c>
      <c r="C86" s="78">
        <f>[14]С3!F15</f>
        <v>0.2</v>
      </c>
    </row>
    <row r="87" spans="1:3" s="63" customFormat="1" ht="14.25">
      <c r="A87" s="77" t="s">
        <v>128</v>
      </c>
      <c r="B87" s="79" t="s">
        <v>129</v>
      </c>
      <c r="C87" s="62">
        <f>[14]С3!F18</f>
        <v>15</v>
      </c>
    </row>
    <row r="88" spans="1:3" s="63" customFormat="1" ht="17.25">
      <c r="A88" s="77" t="s">
        <v>130</v>
      </c>
      <c r="B88" s="33" t="s">
        <v>131</v>
      </c>
      <c r="C88" s="34">
        <f>[14]С3!F19</f>
        <v>3487.1555421534131</v>
      </c>
    </row>
    <row r="89" spans="1:3" s="63" customFormat="1" ht="55.5">
      <c r="A89" s="77" t="s">
        <v>132</v>
      </c>
      <c r="B89" s="53" t="s">
        <v>133</v>
      </c>
      <c r="C89" s="80">
        <f>[14]С3!F20</f>
        <v>2.1999999999999999E-2</v>
      </c>
    </row>
    <row r="90" spans="1:3" s="63" customFormat="1" ht="14.25">
      <c r="A90" s="77" t="s">
        <v>134</v>
      </c>
      <c r="B90" s="58" t="s">
        <v>80</v>
      </c>
      <c r="C90" s="62">
        <f>[14]С3!F21</f>
        <v>10</v>
      </c>
    </row>
    <row r="91" spans="1:3" s="63" customFormat="1" ht="17.25">
      <c r="A91" s="77" t="s">
        <v>135</v>
      </c>
      <c r="B91" s="33" t="s">
        <v>136</v>
      </c>
      <c r="C91" s="34">
        <f>[14]С3!F22</f>
        <v>3.0363273400332993</v>
      </c>
    </row>
    <row r="92" spans="1:3" s="63" customFormat="1" ht="55.5">
      <c r="A92" s="77" t="s">
        <v>137</v>
      </c>
      <c r="B92" s="53" t="s">
        <v>138</v>
      </c>
      <c r="C92" s="80">
        <f>[14]С3!F23</f>
        <v>3.0000000000000001E-3</v>
      </c>
    </row>
    <row r="93" spans="1:3" s="63" customFormat="1" ht="27.75" thickBot="1">
      <c r="A93" s="81" t="s">
        <v>139</v>
      </c>
      <c r="B93" s="82" t="s">
        <v>140</v>
      </c>
      <c r="C93" s="83">
        <f>[14]С3!F24</f>
        <v>1012.1091133444331</v>
      </c>
    </row>
    <row r="94" spans="1:3" ht="13.5" thickBot="1">
      <c r="A94" s="47"/>
      <c r="B94" s="75"/>
      <c r="C94" s="15"/>
    </row>
    <row r="95" spans="1:3" ht="30" customHeight="1">
      <c r="A95" s="84" t="s">
        <v>141</v>
      </c>
      <c r="B95" s="118" t="s">
        <v>142</v>
      </c>
      <c r="C95" s="118"/>
    </row>
    <row r="96" spans="1:3" ht="30">
      <c r="A96" s="59" t="s">
        <v>143</v>
      </c>
      <c r="B96" s="33" t="s">
        <v>144</v>
      </c>
      <c r="C96" s="34">
        <f>[14]С4!F16</f>
        <v>1652.5</v>
      </c>
    </row>
    <row r="97" spans="1:3" ht="30">
      <c r="A97" s="59" t="s">
        <v>145</v>
      </c>
      <c r="B97" s="58" t="s">
        <v>146</v>
      </c>
      <c r="C97" s="34">
        <f>[14]С4!F17</f>
        <v>73547</v>
      </c>
    </row>
    <row r="98" spans="1:3" ht="17.25">
      <c r="A98" s="59" t="s">
        <v>147</v>
      </c>
      <c r="B98" s="58" t="s">
        <v>148</v>
      </c>
      <c r="C98" s="40">
        <f>[14]С4!F18</f>
        <v>0.02</v>
      </c>
    </row>
    <row r="99" spans="1:3" ht="30">
      <c r="A99" s="59" t="s">
        <v>149</v>
      </c>
      <c r="B99" s="58" t="s">
        <v>150</v>
      </c>
      <c r="C99" s="34">
        <f>[14]С4!F19</f>
        <v>12104</v>
      </c>
    </row>
    <row r="100" spans="1:3" ht="31.5">
      <c r="A100" s="59" t="s">
        <v>151</v>
      </c>
      <c r="B100" s="58" t="s">
        <v>152</v>
      </c>
      <c r="C100" s="40">
        <f>[14]С4!F20</f>
        <v>1.4999999999999999E-2</v>
      </c>
    </row>
    <row r="101" spans="1:3" ht="30">
      <c r="A101" s="59" t="s">
        <v>153</v>
      </c>
      <c r="B101" s="33" t="s">
        <v>154</v>
      </c>
      <c r="C101" s="34">
        <f>[14]С4!F21</f>
        <v>1933.1949342509995</v>
      </c>
    </row>
    <row r="102" spans="1:3" ht="24" customHeight="1">
      <c r="A102" s="59" t="s">
        <v>155</v>
      </c>
      <c r="B102" s="53" t="s">
        <v>156</v>
      </c>
      <c r="C102" s="85">
        <f>IF([14]С4.2!F8="да",[14]С4.2!D21,[14]С4.2!D15)</f>
        <v>0</v>
      </c>
    </row>
    <row r="103" spans="1:3" ht="68.25">
      <c r="A103" s="59" t="s">
        <v>157</v>
      </c>
      <c r="B103" s="53" t="s">
        <v>158</v>
      </c>
      <c r="C103" s="34">
        <f>[14]С4!F22</f>
        <v>3.6112641666666665</v>
      </c>
    </row>
    <row r="104" spans="1:3" ht="30">
      <c r="A104" s="59" t="s">
        <v>159</v>
      </c>
      <c r="B104" s="58" t="s">
        <v>160</v>
      </c>
      <c r="C104" s="34">
        <f>[14]С4!F23</f>
        <v>180</v>
      </c>
    </row>
    <row r="105" spans="1:3" ht="14.25">
      <c r="A105" s="59" t="s">
        <v>161</v>
      </c>
      <c r="B105" s="53" t="s">
        <v>162</v>
      </c>
      <c r="C105" s="34">
        <f>[14]С4!F24</f>
        <v>8497.1999999999989</v>
      </c>
    </row>
    <row r="106" spans="1:3" ht="14.25">
      <c r="A106" s="59" t="s">
        <v>163</v>
      </c>
      <c r="B106" s="58" t="s">
        <v>164</v>
      </c>
      <c r="C106" s="40">
        <f>[14]С4!F25</f>
        <v>0.35</v>
      </c>
    </row>
    <row r="107" spans="1:3" ht="17.25">
      <c r="A107" s="59" t="s">
        <v>165</v>
      </c>
      <c r="B107" s="33" t="s">
        <v>166</v>
      </c>
      <c r="C107" s="34">
        <f>[14]С4!F26</f>
        <v>55.930020000000006</v>
      </c>
    </row>
    <row r="108" spans="1:3" ht="25.5">
      <c r="A108" s="59" t="s">
        <v>167</v>
      </c>
      <c r="B108" s="53" t="s">
        <v>94</v>
      </c>
      <c r="C108" s="85">
        <f>[14]С4.3!E16</f>
        <v>0</v>
      </c>
    </row>
    <row r="109" spans="1:3" ht="25.5">
      <c r="A109" s="59" t="s">
        <v>168</v>
      </c>
      <c r="B109" s="53" t="s">
        <v>169</v>
      </c>
      <c r="C109" s="34">
        <f>[14]С4.3!E17</f>
        <v>14.42</v>
      </c>
    </row>
    <row r="110" spans="1:3" ht="38.25">
      <c r="A110" s="59" t="s">
        <v>170</v>
      </c>
      <c r="B110" s="53" t="s">
        <v>106</v>
      </c>
      <c r="C110" s="85">
        <f>[14]С4.3!E18</f>
        <v>0</v>
      </c>
    </row>
    <row r="111" spans="1:3">
      <c r="A111" s="59" t="s">
        <v>171</v>
      </c>
      <c r="B111" s="53" t="s">
        <v>172</v>
      </c>
      <c r="C111" s="34">
        <f>[14]С4.3!E19</f>
        <v>26.27</v>
      </c>
    </row>
    <row r="112" spans="1:3">
      <c r="A112" s="59" t="s">
        <v>173</v>
      </c>
      <c r="B112" s="58" t="s">
        <v>174</v>
      </c>
      <c r="C112" s="34">
        <f>[14]С4.3!E11</f>
        <v>1871</v>
      </c>
    </row>
    <row r="113" spans="1:3">
      <c r="A113" s="59" t="s">
        <v>175</v>
      </c>
      <c r="B113" s="58" t="s">
        <v>176</v>
      </c>
      <c r="C113" s="52">
        <f>[14]С4.3!E12</f>
        <v>1636</v>
      </c>
    </row>
    <row r="114" spans="1:3">
      <c r="A114" s="59" t="s">
        <v>177</v>
      </c>
      <c r="B114" s="58" t="s">
        <v>178</v>
      </c>
      <c r="C114" s="52">
        <f>[14]С4.3!E13</f>
        <v>204</v>
      </c>
    </row>
    <row r="115" spans="1:3" ht="30">
      <c r="A115" s="59" t="s">
        <v>179</v>
      </c>
      <c r="B115" s="33" t="s">
        <v>180</v>
      </c>
      <c r="C115" s="34">
        <f>[14]С4!F27</f>
        <v>1040.8858115370676</v>
      </c>
    </row>
    <row r="116" spans="1:3" ht="25.5">
      <c r="A116" s="59" t="s">
        <v>181</v>
      </c>
      <c r="B116" s="53" t="s">
        <v>182</v>
      </c>
      <c r="C116" s="34">
        <f>[14]С4!F28</f>
        <v>799.45146815442979</v>
      </c>
    </row>
    <row r="117" spans="1:3" ht="42.75">
      <c r="A117" s="59" t="s">
        <v>183</v>
      </c>
      <c r="B117" s="53" t="s">
        <v>184</v>
      </c>
      <c r="C117" s="34">
        <f>[14]С4!F29</f>
        <v>241.43434338263785</v>
      </c>
    </row>
    <row r="118" spans="1:3" ht="30">
      <c r="A118" s="59" t="s">
        <v>185</v>
      </c>
      <c r="B118" s="39" t="s">
        <v>186</v>
      </c>
      <c r="C118" s="34">
        <f>[14]С4!F30</f>
        <v>2154.1964352974105</v>
      </c>
    </row>
    <row r="119" spans="1:3" ht="42.75">
      <c r="A119" s="59" t="s">
        <v>187</v>
      </c>
      <c r="B119" s="86" t="s">
        <v>188</v>
      </c>
      <c r="C119" s="34">
        <f>[14]С4!F33</f>
        <v>1440.0084711309028</v>
      </c>
    </row>
    <row r="120" spans="1:3" ht="30">
      <c r="A120" s="59" t="s">
        <v>189</v>
      </c>
      <c r="B120" s="87" t="s">
        <v>190</v>
      </c>
      <c r="C120" s="34">
        <f>[14]С4!F35</f>
        <v>17.040680999999999</v>
      </c>
    </row>
    <row r="121" spans="1:3" ht="14.25">
      <c r="A121" s="59" t="s">
        <v>191</v>
      </c>
      <c r="B121" s="56" t="s">
        <v>192</v>
      </c>
      <c r="C121" s="34">
        <f>[14]С4!F36</f>
        <v>14319.9</v>
      </c>
    </row>
    <row r="122" spans="1:3" ht="28.5" thickBot="1">
      <c r="A122" s="72" t="s">
        <v>193</v>
      </c>
      <c r="B122" s="88" t="s">
        <v>194</v>
      </c>
      <c r="C122" s="83">
        <f>[14]С4!F37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[14]С5!F17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[14]С2!F37</f>
        <v>20.818139999999996</v>
      </c>
    </row>
    <row r="136" spans="1:4" ht="14.25">
      <c r="A136" s="59" t="s">
        <v>216</v>
      </c>
      <c r="B136" s="101" t="s">
        <v>217</v>
      </c>
      <c r="C136" s="34">
        <f>[14]С2!F38</f>
        <v>7</v>
      </c>
    </row>
    <row r="137" spans="1:4" ht="17.25">
      <c r="A137" s="59" t="s">
        <v>218</v>
      </c>
      <c r="B137" s="101" t="s">
        <v>219</v>
      </c>
      <c r="C137" s="34">
        <f>[14]С2!F40</f>
        <v>0.97</v>
      </c>
    </row>
    <row r="138" spans="1:4" ht="15" thickBot="1">
      <c r="A138" s="72" t="s">
        <v>220</v>
      </c>
      <c r="B138" s="102" t="s">
        <v>221</v>
      </c>
      <c r="C138" s="46">
        <f>[14]С2!F42</f>
        <v>0.35</v>
      </c>
    </row>
    <row r="139" spans="1:4" s="89" customFormat="1" ht="13.5" thickBot="1">
      <c r="A139" s="47"/>
      <c r="B139" s="75"/>
      <c r="C139" s="15"/>
    </row>
    <row r="140" spans="1:4" ht="30">
      <c r="A140" s="84" t="s">
        <v>222</v>
      </c>
      <c r="B140" s="103" t="s">
        <v>223</v>
      </c>
      <c r="C140" s="104">
        <f>[14]С2!F35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[14]С2.5!$E$11</f>
        <v>-2.9000000000000026E-2</v>
      </c>
      <c r="D143" s="89"/>
    </row>
    <row r="144" spans="1:4">
      <c r="A144" s="105"/>
      <c r="B144" s="110">
        <f>B143+1</f>
        <v>2021</v>
      </c>
      <c r="C144" s="111">
        <f>[14]С2.5!$F$11</f>
        <v>0.245</v>
      </c>
      <c r="D144" s="89"/>
    </row>
    <row r="145" spans="1:4">
      <c r="A145" s="105"/>
      <c r="B145" s="110">
        <f t="shared" ref="B145:B208" si="0">B144+1</f>
        <v>2022</v>
      </c>
      <c r="C145" s="111">
        <f>[14]С2.5!$G$11</f>
        <v>0.121</v>
      </c>
      <c r="D145" s="89"/>
    </row>
    <row r="146" spans="1:4" ht="13.5" thickBot="1">
      <c r="A146" s="105"/>
      <c r="B146" s="112">
        <f t="shared" si="0"/>
        <v>2023</v>
      </c>
      <c r="C146" s="113">
        <f>[14]С2.5!$H$11</f>
        <v>0.02</v>
      </c>
      <c r="D146" s="89"/>
    </row>
    <row r="147" spans="1:4" hidden="1">
      <c r="A147" s="105"/>
      <c r="B147" s="114">
        <f t="shared" si="0"/>
        <v>2024</v>
      </c>
      <c r="C147" s="115">
        <f>[14]С2.5!$I$11</f>
        <v>-2.93E-2</v>
      </c>
      <c r="D147" s="89"/>
    </row>
    <row r="148" spans="1:4" hidden="1">
      <c r="A148" s="105"/>
      <c r="B148" s="110">
        <f t="shared" si="0"/>
        <v>2025</v>
      </c>
      <c r="C148" s="111">
        <f>[14]С2.5!$J$11</f>
        <v>0.21215960863291</v>
      </c>
      <c r="D148" s="89"/>
    </row>
    <row r="149" spans="1:4" hidden="1">
      <c r="A149" s="105"/>
      <c r="B149" s="110">
        <f t="shared" si="0"/>
        <v>2026</v>
      </c>
      <c r="C149" s="111">
        <f>[14]С2.5!$K$11</f>
        <v>3.5813361771260002E-2</v>
      </c>
      <c r="D149" s="89"/>
    </row>
    <row r="150" spans="1:4" hidden="1">
      <c r="A150" s="105"/>
      <c r="B150" s="110">
        <f t="shared" si="0"/>
        <v>2027</v>
      </c>
      <c r="C150" s="111">
        <f>[14]С2.5!$L$11</f>
        <v>3.2682303599220003E-2</v>
      </c>
      <c r="D150" s="89"/>
    </row>
    <row r="151" spans="1:4" hidden="1">
      <c r="A151" s="105"/>
      <c r="B151" s="110">
        <f t="shared" si="0"/>
        <v>2028</v>
      </c>
      <c r="C151" s="111">
        <f>[14]С2.5!$M$11</f>
        <v>0</v>
      </c>
      <c r="D151" s="89"/>
    </row>
    <row r="152" spans="1:4" hidden="1">
      <c r="A152" s="105"/>
      <c r="B152" s="110">
        <f t="shared" si="0"/>
        <v>2029</v>
      </c>
      <c r="C152" s="111">
        <f>[14]С2.5!$N$11</f>
        <v>0</v>
      </c>
      <c r="D152" s="89"/>
    </row>
    <row r="153" spans="1:4" hidden="1">
      <c r="A153" s="105"/>
      <c r="B153" s="110">
        <f t="shared" si="0"/>
        <v>2030</v>
      </c>
      <c r="C153" s="111">
        <f>[14]С2.5!$O$11</f>
        <v>0</v>
      </c>
      <c r="D153" s="89"/>
    </row>
    <row r="154" spans="1:4" hidden="1">
      <c r="A154" s="105"/>
      <c r="B154" s="110">
        <f t="shared" si="0"/>
        <v>2031</v>
      </c>
      <c r="C154" s="111">
        <f>[14]С2.5!$P$11</f>
        <v>0</v>
      </c>
      <c r="D154" s="89"/>
    </row>
    <row r="155" spans="1:4" hidden="1">
      <c r="A155" s="89"/>
      <c r="B155" s="110">
        <f t="shared" si="0"/>
        <v>2032</v>
      </c>
      <c r="C155" s="111">
        <f>[14]С2.5!$Q$11</f>
        <v>0</v>
      </c>
      <c r="D155" s="89"/>
    </row>
    <row r="156" spans="1:4" hidden="1">
      <c r="A156" s="89"/>
      <c r="B156" s="110">
        <f t="shared" si="0"/>
        <v>2033</v>
      </c>
      <c r="C156" s="111">
        <f>[14]С2.5!$R$11</f>
        <v>0</v>
      </c>
      <c r="D156" s="89"/>
    </row>
    <row r="157" spans="1:4" hidden="1">
      <c r="B157" s="110">
        <f t="shared" si="0"/>
        <v>2034</v>
      </c>
      <c r="C157" s="111">
        <f>[14]С2.5!$S$11</f>
        <v>0</v>
      </c>
    </row>
    <row r="158" spans="1:4" hidden="1">
      <c r="B158" s="110">
        <f t="shared" si="0"/>
        <v>2035</v>
      </c>
      <c r="C158" s="111">
        <f>[14]С2.5!$T$11</f>
        <v>0</v>
      </c>
    </row>
    <row r="159" spans="1:4" hidden="1">
      <c r="B159" s="110">
        <f t="shared" si="0"/>
        <v>2036</v>
      </c>
      <c r="C159" s="111">
        <f>[14]С2.5!$U$11</f>
        <v>0</v>
      </c>
    </row>
    <row r="160" spans="1:4" hidden="1">
      <c r="B160" s="110">
        <f t="shared" si="0"/>
        <v>2037</v>
      </c>
      <c r="C160" s="111">
        <f>[14]С2.5!$V$11</f>
        <v>0</v>
      </c>
    </row>
    <row r="161" spans="2:3" hidden="1">
      <c r="B161" s="110">
        <f t="shared" si="0"/>
        <v>2038</v>
      </c>
      <c r="C161" s="111">
        <f>[14]С2.5!$W$11</f>
        <v>0</v>
      </c>
    </row>
    <row r="162" spans="2:3" hidden="1">
      <c r="B162" s="110">
        <f t="shared" si="0"/>
        <v>2039</v>
      </c>
      <c r="C162" s="111">
        <f>[14]С2.5!$X$11</f>
        <v>0</v>
      </c>
    </row>
    <row r="163" spans="2:3" hidden="1">
      <c r="B163" s="110">
        <f t="shared" si="0"/>
        <v>2040</v>
      </c>
      <c r="C163" s="111">
        <f>[14]С2.5!$Y$11</f>
        <v>0</v>
      </c>
    </row>
    <row r="164" spans="2:3" hidden="1">
      <c r="B164" s="110">
        <f t="shared" si="0"/>
        <v>2041</v>
      </c>
      <c r="C164" s="111">
        <f>[14]С2.5!$Z$11</f>
        <v>0</v>
      </c>
    </row>
    <row r="165" spans="2:3" hidden="1">
      <c r="B165" s="110">
        <f t="shared" si="0"/>
        <v>2042</v>
      </c>
      <c r="C165" s="111">
        <f>[14]С2.5!$AA$11</f>
        <v>0</v>
      </c>
    </row>
    <row r="166" spans="2:3" hidden="1">
      <c r="B166" s="110">
        <f t="shared" si="0"/>
        <v>2043</v>
      </c>
      <c r="C166" s="111">
        <f>[14]С2.5!$AB$11</f>
        <v>0</v>
      </c>
    </row>
    <row r="167" spans="2:3" hidden="1">
      <c r="B167" s="110">
        <f t="shared" si="0"/>
        <v>2044</v>
      </c>
      <c r="C167" s="111">
        <f>[14]С2.5!$AC$11</f>
        <v>0</v>
      </c>
    </row>
    <row r="168" spans="2:3" hidden="1">
      <c r="B168" s="110">
        <f t="shared" si="0"/>
        <v>2045</v>
      </c>
      <c r="C168" s="111">
        <f>[14]С2.5!$AD$11</f>
        <v>0</v>
      </c>
    </row>
    <row r="169" spans="2:3" hidden="1">
      <c r="B169" s="110">
        <f t="shared" si="0"/>
        <v>2046</v>
      </c>
      <c r="C169" s="111">
        <f>[14]С2.5!$AE$11</f>
        <v>0</v>
      </c>
    </row>
    <row r="170" spans="2:3" hidden="1">
      <c r="B170" s="110">
        <f t="shared" si="0"/>
        <v>2047</v>
      </c>
      <c r="C170" s="111">
        <f>[14]С2.5!$AF$11</f>
        <v>0</v>
      </c>
    </row>
    <row r="171" spans="2:3" hidden="1">
      <c r="B171" s="110">
        <f t="shared" si="0"/>
        <v>2048</v>
      </c>
      <c r="C171" s="111">
        <f>[14]С2.5!$AG$11</f>
        <v>0</v>
      </c>
    </row>
    <row r="172" spans="2:3" hidden="1">
      <c r="B172" s="110">
        <f t="shared" si="0"/>
        <v>2049</v>
      </c>
      <c r="C172" s="111">
        <f>[14]С2.5!$AH$11</f>
        <v>0</v>
      </c>
    </row>
    <row r="173" spans="2:3" hidden="1">
      <c r="B173" s="110">
        <f t="shared" si="0"/>
        <v>2050</v>
      </c>
      <c r="C173" s="111">
        <f>[14]С2.5!$AI$11</f>
        <v>0</v>
      </c>
    </row>
    <row r="174" spans="2:3" hidden="1">
      <c r="B174" s="110">
        <f t="shared" si="0"/>
        <v>2051</v>
      </c>
      <c r="C174" s="111">
        <f>[14]С2.5!$AJ$11</f>
        <v>0</v>
      </c>
    </row>
    <row r="175" spans="2:3" hidden="1">
      <c r="B175" s="110">
        <f t="shared" si="0"/>
        <v>2052</v>
      </c>
      <c r="C175" s="111">
        <f>[14]С2.5!$AK$11</f>
        <v>0</v>
      </c>
    </row>
    <row r="176" spans="2:3" hidden="1">
      <c r="B176" s="110">
        <f t="shared" si="0"/>
        <v>2053</v>
      </c>
      <c r="C176" s="111">
        <f>[14]С2.5!$AL$11</f>
        <v>0</v>
      </c>
    </row>
    <row r="177" spans="2:3" hidden="1">
      <c r="B177" s="110">
        <f t="shared" si="0"/>
        <v>2054</v>
      </c>
      <c r="C177" s="111">
        <f>[14]С2.5!$AM$11</f>
        <v>0</v>
      </c>
    </row>
    <row r="178" spans="2:3" hidden="1">
      <c r="B178" s="110">
        <f t="shared" si="0"/>
        <v>2055</v>
      </c>
      <c r="C178" s="111">
        <f>[14]С2.5!$AN$11</f>
        <v>0</v>
      </c>
    </row>
    <row r="179" spans="2:3" hidden="1">
      <c r="B179" s="110">
        <f t="shared" si="0"/>
        <v>2056</v>
      </c>
      <c r="C179" s="111">
        <f>[14]С2.5!$AO$11</f>
        <v>0</v>
      </c>
    </row>
    <row r="180" spans="2:3" hidden="1">
      <c r="B180" s="110">
        <f t="shared" si="0"/>
        <v>2057</v>
      </c>
      <c r="C180" s="111">
        <f>[14]С2.5!$AP$11</f>
        <v>0</v>
      </c>
    </row>
    <row r="181" spans="2:3" hidden="1">
      <c r="B181" s="110">
        <f t="shared" si="0"/>
        <v>2058</v>
      </c>
      <c r="C181" s="111">
        <f>[14]С2.5!$AQ$11</f>
        <v>0</v>
      </c>
    </row>
    <row r="182" spans="2:3" hidden="1">
      <c r="B182" s="110">
        <f t="shared" si="0"/>
        <v>2059</v>
      </c>
      <c r="C182" s="111">
        <f>[14]С2.5!$AR$11</f>
        <v>0</v>
      </c>
    </row>
    <row r="183" spans="2:3" hidden="1">
      <c r="B183" s="110">
        <f t="shared" si="0"/>
        <v>2060</v>
      </c>
      <c r="C183" s="111">
        <f>[14]С2.5!$AS$11</f>
        <v>0</v>
      </c>
    </row>
    <row r="184" spans="2:3" hidden="1">
      <c r="B184" s="110">
        <f t="shared" si="0"/>
        <v>2061</v>
      </c>
      <c r="C184" s="111">
        <f>[14]С2.5!$AT$11</f>
        <v>0</v>
      </c>
    </row>
    <row r="185" spans="2:3" hidden="1">
      <c r="B185" s="110">
        <f t="shared" si="0"/>
        <v>2062</v>
      </c>
      <c r="C185" s="111">
        <f>[14]С2.5!$AU$11</f>
        <v>0</v>
      </c>
    </row>
    <row r="186" spans="2:3" hidden="1">
      <c r="B186" s="110">
        <f t="shared" si="0"/>
        <v>2063</v>
      </c>
      <c r="C186" s="111">
        <f>[14]С2.5!$AV$11</f>
        <v>0</v>
      </c>
    </row>
    <row r="187" spans="2:3" hidden="1">
      <c r="B187" s="110">
        <f t="shared" si="0"/>
        <v>2064</v>
      </c>
      <c r="C187" s="111">
        <f>[14]С2.5!$AW$11</f>
        <v>0</v>
      </c>
    </row>
    <row r="188" spans="2:3" hidden="1">
      <c r="B188" s="110">
        <f t="shared" si="0"/>
        <v>2065</v>
      </c>
      <c r="C188" s="111">
        <f>[14]С2.5!$AX$11</f>
        <v>0</v>
      </c>
    </row>
    <row r="189" spans="2:3" hidden="1">
      <c r="B189" s="110">
        <f t="shared" si="0"/>
        <v>2066</v>
      </c>
      <c r="C189" s="111">
        <f>[14]С2.5!$AY$11</f>
        <v>0</v>
      </c>
    </row>
    <row r="190" spans="2:3" hidden="1">
      <c r="B190" s="110">
        <f t="shared" si="0"/>
        <v>2067</v>
      </c>
      <c r="C190" s="111">
        <f>[14]С2.5!$AZ$11</f>
        <v>0</v>
      </c>
    </row>
    <row r="191" spans="2:3" hidden="1">
      <c r="B191" s="110">
        <f t="shared" si="0"/>
        <v>2068</v>
      </c>
      <c r="C191" s="111">
        <f>[14]С2.5!$BA$11</f>
        <v>0</v>
      </c>
    </row>
    <row r="192" spans="2:3" hidden="1">
      <c r="B192" s="110">
        <f t="shared" si="0"/>
        <v>2069</v>
      </c>
      <c r="C192" s="111">
        <f>[14]С2.5!$BB$11</f>
        <v>0</v>
      </c>
    </row>
    <row r="193" spans="2:3" hidden="1">
      <c r="B193" s="110">
        <f t="shared" si="0"/>
        <v>2070</v>
      </c>
      <c r="C193" s="111">
        <f>[14]С2.5!$BC$11</f>
        <v>0</v>
      </c>
    </row>
    <row r="194" spans="2:3" hidden="1">
      <c r="B194" s="110">
        <f t="shared" si="0"/>
        <v>2071</v>
      </c>
      <c r="C194" s="111">
        <f>[14]С2.5!$BD$11</f>
        <v>0</v>
      </c>
    </row>
    <row r="195" spans="2:3" hidden="1">
      <c r="B195" s="110">
        <f t="shared" si="0"/>
        <v>2072</v>
      </c>
      <c r="C195" s="111">
        <f>[14]С2.5!$BE$11</f>
        <v>0</v>
      </c>
    </row>
    <row r="196" spans="2:3" hidden="1">
      <c r="B196" s="110">
        <f t="shared" si="0"/>
        <v>2073</v>
      </c>
      <c r="C196" s="111">
        <f>[14]С2.5!$BF$11</f>
        <v>0</v>
      </c>
    </row>
    <row r="197" spans="2:3" hidden="1">
      <c r="B197" s="110">
        <f t="shared" si="0"/>
        <v>2074</v>
      </c>
      <c r="C197" s="111">
        <f>[14]С2.5!$BG$11</f>
        <v>0</v>
      </c>
    </row>
    <row r="198" spans="2:3" hidden="1">
      <c r="B198" s="110">
        <f t="shared" si="0"/>
        <v>2075</v>
      </c>
      <c r="C198" s="111">
        <f>[14]С2.5!$BH$11</f>
        <v>0</v>
      </c>
    </row>
    <row r="199" spans="2:3" hidden="1">
      <c r="B199" s="110">
        <f t="shared" si="0"/>
        <v>2076</v>
      </c>
      <c r="C199" s="111">
        <f>[14]С2.5!$BI$11</f>
        <v>0</v>
      </c>
    </row>
    <row r="200" spans="2:3" hidden="1">
      <c r="B200" s="110">
        <f t="shared" si="0"/>
        <v>2077</v>
      </c>
      <c r="C200" s="111">
        <f>[14]С2.5!$BJ$11</f>
        <v>0</v>
      </c>
    </row>
    <row r="201" spans="2:3" hidden="1">
      <c r="B201" s="110">
        <f t="shared" si="0"/>
        <v>2078</v>
      </c>
      <c r="C201" s="111">
        <f>[14]С2.5!$BK$11</f>
        <v>0</v>
      </c>
    </row>
    <row r="202" spans="2:3" hidden="1">
      <c r="B202" s="110">
        <f t="shared" si="0"/>
        <v>2079</v>
      </c>
      <c r="C202" s="111">
        <f>[14]С2.5!$BL$11</f>
        <v>0</v>
      </c>
    </row>
    <row r="203" spans="2:3" hidden="1">
      <c r="B203" s="110">
        <f t="shared" si="0"/>
        <v>2080</v>
      </c>
      <c r="C203" s="111">
        <f>[14]С2.5!$BM$11</f>
        <v>0</v>
      </c>
    </row>
    <row r="204" spans="2:3" hidden="1">
      <c r="B204" s="110">
        <f t="shared" si="0"/>
        <v>2081</v>
      </c>
      <c r="C204" s="111">
        <f>[14]С2.5!$BN$11</f>
        <v>0</v>
      </c>
    </row>
    <row r="205" spans="2:3" hidden="1">
      <c r="B205" s="110">
        <f t="shared" si="0"/>
        <v>2082</v>
      </c>
      <c r="C205" s="111">
        <f>[14]С2.5!$BO$11</f>
        <v>0</v>
      </c>
    </row>
    <row r="206" spans="2:3" hidden="1">
      <c r="B206" s="110">
        <f t="shared" si="0"/>
        <v>2083</v>
      </c>
      <c r="C206" s="111">
        <f>[14]С2.5!$BP$11</f>
        <v>0</v>
      </c>
    </row>
    <row r="207" spans="2:3" hidden="1">
      <c r="B207" s="110">
        <f t="shared" si="0"/>
        <v>2084</v>
      </c>
      <c r="C207" s="111">
        <f>[14]С2.5!$BQ$11</f>
        <v>0</v>
      </c>
    </row>
    <row r="208" spans="2:3" hidden="1">
      <c r="B208" s="110">
        <f t="shared" si="0"/>
        <v>2085</v>
      </c>
      <c r="C208" s="111">
        <f>[14]С2.5!$BR$11</f>
        <v>0</v>
      </c>
    </row>
    <row r="209" spans="2:3" hidden="1">
      <c r="B209" s="110">
        <f t="shared" ref="B209:B223" si="1">B208+1</f>
        <v>2086</v>
      </c>
      <c r="C209" s="111">
        <f>[14]С2.5!$BS$11</f>
        <v>0</v>
      </c>
    </row>
    <row r="210" spans="2:3" hidden="1">
      <c r="B210" s="110">
        <f t="shared" si="1"/>
        <v>2087</v>
      </c>
      <c r="C210" s="111">
        <f>[14]С2.5!$BT$11</f>
        <v>0</v>
      </c>
    </row>
    <row r="211" spans="2:3" hidden="1">
      <c r="B211" s="110">
        <f t="shared" si="1"/>
        <v>2088</v>
      </c>
      <c r="C211" s="111">
        <f>[14]С2.5!$BU$11</f>
        <v>0</v>
      </c>
    </row>
    <row r="212" spans="2:3" hidden="1">
      <c r="B212" s="110">
        <f t="shared" si="1"/>
        <v>2089</v>
      </c>
      <c r="C212" s="111">
        <f>[14]С2.5!$BV$11</f>
        <v>0</v>
      </c>
    </row>
    <row r="213" spans="2:3" hidden="1">
      <c r="B213" s="110">
        <f t="shared" si="1"/>
        <v>2090</v>
      </c>
      <c r="C213" s="111">
        <f>[14]С2.5!$BW$11</f>
        <v>0</v>
      </c>
    </row>
    <row r="214" spans="2:3" hidden="1">
      <c r="B214" s="110">
        <f t="shared" si="1"/>
        <v>2091</v>
      </c>
      <c r="C214" s="111">
        <f>[14]С2.5!$BX$11</f>
        <v>0</v>
      </c>
    </row>
    <row r="215" spans="2:3" hidden="1">
      <c r="B215" s="110">
        <f t="shared" si="1"/>
        <v>2092</v>
      </c>
      <c r="C215" s="111">
        <f>[14]С2.5!$BY$11</f>
        <v>0</v>
      </c>
    </row>
    <row r="216" spans="2:3" hidden="1">
      <c r="B216" s="110">
        <f t="shared" si="1"/>
        <v>2093</v>
      </c>
      <c r="C216" s="111">
        <f>[14]С2.5!$BZ$11</f>
        <v>0</v>
      </c>
    </row>
    <row r="217" spans="2:3" hidden="1">
      <c r="B217" s="110">
        <f t="shared" si="1"/>
        <v>2094</v>
      </c>
      <c r="C217" s="111">
        <f>[14]С2.5!$CA$11</f>
        <v>0</v>
      </c>
    </row>
    <row r="218" spans="2:3" hidden="1">
      <c r="B218" s="110">
        <f t="shared" si="1"/>
        <v>2095</v>
      </c>
      <c r="C218" s="111">
        <f>[14]С2.5!$CB$11</f>
        <v>0</v>
      </c>
    </row>
    <row r="219" spans="2:3" hidden="1">
      <c r="B219" s="110">
        <f t="shared" si="1"/>
        <v>2096</v>
      </c>
      <c r="C219" s="111">
        <f>[14]С2.5!$CC$11</f>
        <v>0</v>
      </c>
    </row>
    <row r="220" spans="2:3" hidden="1">
      <c r="B220" s="110">
        <f t="shared" si="1"/>
        <v>2097</v>
      </c>
      <c r="C220" s="111">
        <f>[14]С2.5!$CD$11</f>
        <v>0</v>
      </c>
    </row>
    <row r="221" spans="2:3" hidden="1">
      <c r="B221" s="110">
        <f t="shared" si="1"/>
        <v>2098</v>
      </c>
      <c r="C221" s="111">
        <f>[14]С2.5!$CE$11</f>
        <v>0</v>
      </c>
    </row>
    <row r="222" spans="2:3" hidden="1">
      <c r="B222" s="110">
        <f t="shared" si="1"/>
        <v>2099</v>
      </c>
      <c r="C222" s="111">
        <f>[14]С2.5!$CF$11</f>
        <v>0</v>
      </c>
    </row>
    <row r="223" spans="2:3" ht="13.5" hidden="1" thickBot="1">
      <c r="B223" s="112">
        <f t="shared" si="1"/>
        <v>2100</v>
      </c>
      <c r="C223" s="113">
        <f>[14]С2.5!$CG$11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Button 1">
              <controlPr defaultSize="0" print="0" autoFill="0" autoPict="0" macro="[1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[15]И1!D13</f>
        <v>Субъект Российской Федерации</v>
      </c>
      <c r="C4" s="10" t="str">
        <f>[15]И1!E13</f>
        <v>Новосибирская область</v>
      </c>
    </row>
    <row r="5" spans="1:3" ht="38.25">
      <c r="A5" s="8"/>
      <c r="B5" s="9" t="str">
        <f>[15]И1!D14</f>
        <v>Тип муниципального образования (выберите из списка)</v>
      </c>
      <c r="C5" s="10" t="str">
        <f>[15]И1!E14</f>
        <v>село Утянка, Доволенский муниципальный район</v>
      </c>
    </row>
    <row r="6" spans="1:3">
      <c r="A6" s="8"/>
      <c r="B6" s="9" t="str">
        <f>IF([15]И1!E15="","",[15]И1!D15)</f>
        <v/>
      </c>
      <c r="C6" s="10" t="str">
        <f>IF([15]И1!E15="","",[15]И1!E15)</f>
        <v/>
      </c>
    </row>
    <row r="7" spans="1:3">
      <c r="A7" s="8"/>
      <c r="B7" s="9" t="str">
        <f>[15]И1!D16</f>
        <v>Код ОКТМО</v>
      </c>
      <c r="C7" s="11" t="str">
        <f>[15]И1!E16</f>
        <v>50610431101</v>
      </c>
    </row>
    <row r="8" spans="1:3">
      <c r="A8" s="8"/>
      <c r="B8" s="12" t="str">
        <f>[15]И1!D17</f>
        <v>Система теплоснабжения</v>
      </c>
      <c r="C8" s="13">
        <f>[15]И1!E17</f>
        <v>0</v>
      </c>
    </row>
    <row r="9" spans="1:3">
      <c r="A9" s="8"/>
      <c r="B9" s="9" t="str">
        <f>[15]И1!D8</f>
        <v>Период регулирования (i)-й</v>
      </c>
      <c r="C9" s="14">
        <f>[15]И1!E8</f>
        <v>2023</v>
      </c>
    </row>
    <row r="10" spans="1:3">
      <c r="A10" s="8"/>
      <c r="B10" s="9" t="str">
        <f>[15]И1!D9</f>
        <v>Период регулирования (i-1)-й</v>
      </c>
      <c r="C10" s="14">
        <f>[15]И1!E9</f>
        <v>2022</v>
      </c>
    </row>
    <row r="11" spans="1:3">
      <c r="A11" s="8"/>
      <c r="B11" s="9" t="str">
        <f>[15]И1!D10</f>
        <v>Период регулирования (i-2)-й</v>
      </c>
      <c r="C11" s="14">
        <f>[15]И1!E10</f>
        <v>2021</v>
      </c>
    </row>
    <row r="12" spans="1:3">
      <c r="A12" s="8"/>
      <c r="B12" s="9" t="str">
        <f>[15]И1!D11</f>
        <v>Базовый год (б)</v>
      </c>
      <c r="C12" s="14">
        <f>[15]И1!E11</f>
        <v>2019</v>
      </c>
    </row>
    <row r="13" spans="1:3" ht="38.25">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4092.2473503697079</v>
      </c>
    </row>
    <row r="18" spans="1:3" ht="42.75">
      <c r="A18" s="22" t="s">
        <v>8</v>
      </c>
      <c r="B18" s="25" t="s">
        <v>9</v>
      </c>
      <c r="C18" s="26">
        <f>[15]С1!F12</f>
        <v>986.48749090525087</v>
      </c>
    </row>
    <row r="19" spans="1:3" ht="42.75">
      <c r="A19" s="22" t="s">
        <v>10</v>
      </c>
      <c r="B19" s="25" t="s">
        <v>11</v>
      </c>
      <c r="C19" s="26">
        <f>[15]С2!F12</f>
        <v>2105.0745921739249</v>
      </c>
    </row>
    <row r="20" spans="1:3" ht="30">
      <c r="A20" s="22" t="s">
        <v>12</v>
      </c>
      <c r="B20" s="25" t="s">
        <v>13</v>
      </c>
      <c r="C20" s="26">
        <f>[15]С3!F12</f>
        <v>503.57282204972699</v>
      </c>
    </row>
    <row r="21" spans="1:3" ht="42.75">
      <c r="A21" s="22" t="s">
        <v>14</v>
      </c>
      <c r="B21" s="25" t="s">
        <v>15</v>
      </c>
      <c r="C21" s="26">
        <f>[15]С4!F12</f>
        <v>416.87230111590861</v>
      </c>
    </row>
    <row r="22" spans="1:3" ht="30">
      <c r="A22" s="22" t="s">
        <v>16</v>
      </c>
      <c r="B22" s="25" t="s">
        <v>17</v>
      </c>
      <c r="C22" s="26">
        <f>[15]С5!F12</f>
        <v>80.240144124896233</v>
      </c>
    </row>
    <row r="23" spans="1:3" ht="43.5" thickBot="1">
      <c r="A23" s="27" t="s">
        <v>18</v>
      </c>
      <c r="B23" s="117" t="s">
        <v>19</v>
      </c>
      <c r="C23" s="28" t="str">
        <f>[15]С6!F12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[15]С1.1!E16</f>
        <v>5100</v>
      </c>
    </row>
    <row r="29" spans="1:3" ht="42.75">
      <c r="A29" s="22" t="s">
        <v>10</v>
      </c>
      <c r="B29" s="33" t="s">
        <v>22</v>
      </c>
      <c r="C29" s="34">
        <f>[15]С1.1!E27</f>
        <v>2652.5</v>
      </c>
    </row>
    <row r="30" spans="1:3" ht="17.25">
      <c r="A30" s="22" t="s">
        <v>12</v>
      </c>
      <c r="B30" s="33" t="s">
        <v>23</v>
      </c>
      <c r="C30" s="35">
        <f>[15]С1.1!E19</f>
        <v>0.59499999999999997</v>
      </c>
    </row>
    <row r="31" spans="1:3" ht="17.25">
      <c r="A31" s="22" t="s">
        <v>14</v>
      </c>
      <c r="B31" s="33" t="s">
        <v>24</v>
      </c>
      <c r="C31" s="35">
        <f>[15]С1.1!E20</f>
        <v>-0.113</v>
      </c>
    </row>
    <row r="32" spans="1:3" ht="30">
      <c r="A32" s="22" t="s">
        <v>16</v>
      </c>
      <c r="B32" s="36" t="s">
        <v>25</v>
      </c>
      <c r="C32" s="37">
        <f>[15]С1!F13</f>
        <v>176.4</v>
      </c>
    </row>
    <row r="33" spans="1:3">
      <c r="A33" s="22" t="s">
        <v>18</v>
      </c>
      <c r="B33" s="36" t="s">
        <v>26</v>
      </c>
      <c r="C33" s="38">
        <f>[15]С1!F16</f>
        <v>7000</v>
      </c>
    </row>
    <row r="34" spans="1:3" ht="14.25">
      <c r="A34" s="22" t="s">
        <v>27</v>
      </c>
      <c r="B34" s="39" t="s">
        <v>28</v>
      </c>
      <c r="C34" s="40">
        <f>[15]С1!F17</f>
        <v>0.72857142857142854</v>
      </c>
    </row>
    <row r="35" spans="1:3" ht="15.75">
      <c r="A35" s="41" t="s">
        <v>29</v>
      </c>
      <c r="B35" s="42" t="s">
        <v>30</v>
      </c>
      <c r="C35" s="40">
        <f>[15]С1!F20</f>
        <v>21.588411179999994</v>
      </c>
    </row>
    <row r="36" spans="1:3" ht="15.75">
      <c r="A36" s="41" t="s">
        <v>31</v>
      </c>
      <c r="B36" s="43" t="s">
        <v>32</v>
      </c>
      <c r="C36" s="40">
        <f>[15]С1!F21</f>
        <v>20.818139999999996</v>
      </c>
    </row>
    <row r="37" spans="1:3" ht="14.25">
      <c r="A37" s="41" t="s">
        <v>33</v>
      </c>
      <c r="B37" s="44" t="s">
        <v>34</v>
      </c>
      <c r="C37" s="40">
        <f>[15]С1!F22</f>
        <v>1.0369999999999999</v>
      </c>
    </row>
    <row r="38" spans="1:3" ht="53.25" thickBot="1">
      <c r="A38" s="27" t="s">
        <v>35</v>
      </c>
      <c r="B38" s="45" t="s">
        <v>36</v>
      </c>
      <c r="C38" s="46">
        <f>[15]С1!F23</f>
        <v>1.0469999999999999</v>
      </c>
    </row>
    <row r="39" spans="1:3" ht="13.5" thickBot="1">
      <c r="A39" s="47"/>
      <c r="B39" s="48"/>
      <c r="C39" s="49"/>
    </row>
    <row r="40" spans="1:3" ht="30" customHeight="1">
      <c r="A40" s="50" t="s">
        <v>37</v>
      </c>
      <c r="B40" s="118" t="s">
        <v>38</v>
      </c>
      <c r="C40" s="118"/>
    </row>
    <row r="41" spans="1:3" ht="25.5">
      <c r="A41" s="22" t="s">
        <v>39</v>
      </c>
      <c r="B41" s="36" t="s">
        <v>40</v>
      </c>
      <c r="C41" s="51" t="str">
        <f>[15]С2.1!E12</f>
        <v>V</v>
      </c>
    </row>
    <row r="42" spans="1:3" ht="25.5">
      <c r="A42" s="22" t="s">
        <v>41</v>
      </c>
      <c r="B42" s="33" t="s">
        <v>42</v>
      </c>
      <c r="C42" s="51" t="str">
        <f>[15]С2.1!E13</f>
        <v>6 и менее баллов</v>
      </c>
    </row>
    <row r="43" spans="1:3" ht="25.5">
      <c r="A43" s="22" t="s">
        <v>43</v>
      </c>
      <c r="B43" s="33" t="s">
        <v>44</v>
      </c>
      <c r="C43" s="51" t="str">
        <f>[15]С2.1!E14</f>
        <v>от 200 до 500</v>
      </c>
    </row>
    <row r="44" spans="1:3" ht="25.5">
      <c r="A44" s="22" t="s">
        <v>45</v>
      </c>
      <c r="B44" s="33" t="s">
        <v>46</v>
      </c>
      <c r="C44" s="52" t="str">
        <f>[15]С2.1!E15</f>
        <v>нет</v>
      </c>
    </row>
    <row r="45" spans="1:3" ht="30">
      <c r="A45" s="22" t="s">
        <v>47</v>
      </c>
      <c r="B45" s="33" t="s">
        <v>48</v>
      </c>
      <c r="C45" s="34">
        <f>[15]С2!F18</f>
        <v>32402.627334033532</v>
      </c>
    </row>
    <row r="46" spans="1:3" ht="30">
      <c r="A46" s="22" t="s">
        <v>49</v>
      </c>
      <c r="B46" s="53" t="s">
        <v>50</v>
      </c>
      <c r="C46" s="34">
        <f>IF([15]С2!F19&gt;0,[15]С2!F19,[15]С2!F20)</f>
        <v>23441.524932855718</v>
      </c>
    </row>
    <row r="47" spans="1:3" ht="25.5">
      <c r="A47" s="22" t="s">
        <v>51</v>
      </c>
      <c r="B47" s="54" t="s">
        <v>52</v>
      </c>
      <c r="C47" s="34">
        <f>[15]С2.1!E19</f>
        <v>-38</v>
      </c>
    </row>
    <row r="48" spans="1:3" ht="25.5">
      <c r="A48" s="22" t="s">
        <v>53</v>
      </c>
      <c r="B48" s="54" t="s">
        <v>54</v>
      </c>
      <c r="C48" s="34" t="str">
        <f>[15]С2.1!E22</f>
        <v>нет</v>
      </c>
    </row>
    <row r="49" spans="1:3" ht="38.25">
      <c r="A49" s="22" t="s">
        <v>55</v>
      </c>
      <c r="B49" s="55" t="s">
        <v>56</v>
      </c>
      <c r="C49" s="34">
        <f>[15]С2.2!E10</f>
        <v>1287</v>
      </c>
    </row>
    <row r="50" spans="1:3" ht="25.5">
      <c r="A50" s="22" t="s">
        <v>57</v>
      </c>
      <c r="B50" s="56" t="s">
        <v>58</v>
      </c>
      <c r="C50" s="34">
        <f>[15]С2.2!E12</f>
        <v>5.97</v>
      </c>
    </row>
    <row r="51" spans="1:3" ht="52.5">
      <c r="A51" s="22" t="s">
        <v>59</v>
      </c>
      <c r="B51" s="57" t="s">
        <v>60</v>
      </c>
      <c r="C51" s="34">
        <f>[15]С2.2!E13</f>
        <v>1</v>
      </c>
    </row>
    <row r="52" spans="1:3" ht="27.75">
      <c r="A52" s="22" t="s">
        <v>61</v>
      </c>
      <c r="B52" s="56" t="s">
        <v>62</v>
      </c>
      <c r="C52" s="34">
        <f>[15]С2.2!E14</f>
        <v>12104</v>
      </c>
    </row>
    <row r="53" spans="1:3" ht="25.5">
      <c r="A53" s="22" t="s">
        <v>63</v>
      </c>
      <c r="B53" s="57" t="s">
        <v>64</v>
      </c>
      <c r="C53" s="35">
        <f>[15]С2.2!E15</f>
        <v>4.8000000000000001E-2</v>
      </c>
    </row>
    <row r="54" spans="1:3">
      <c r="A54" s="22" t="s">
        <v>65</v>
      </c>
      <c r="B54" s="57" t="s">
        <v>66</v>
      </c>
      <c r="C54" s="34">
        <f>[15]С2.2!E16</f>
        <v>1</v>
      </c>
    </row>
    <row r="55" spans="1:3" ht="15.75">
      <c r="A55" s="22" t="s">
        <v>67</v>
      </c>
      <c r="B55" s="58" t="s">
        <v>68</v>
      </c>
      <c r="C55" s="34">
        <f>[15]С2!F21</f>
        <v>1</v>
      </c>
    </row>
    <row r="56" spans="1:3" ht="30">
      <c r="A56" s="59" t="s">
        <v>69</v>
      </c>
      <c r="B56" s="33" t="s">
        <v>70</v>
      </c>
      <c r="C56" s="34">
        <f>[15]С2!F13</f>
        <v>169640.22915965237</v>
      </c>
    </row>
    <row r="57" spans="1:3" ht="30">
      <c r="A57" s="59" t="s">
        <v>71</v>
      </c>
      <c r="B57" s="58" t="s">
        <v>72</v>
      </c>
      <c r="C57" s="34">
        <f>[15]С2!F14</f>
        <v>113455</v>
      </c>
    </row>
    <row r="58" spans="1:3" ht="15.75">
      <c r="A58" s="59" t="s">
        <v>73</v>
      </c>
      <c r="B58" s="60" t="s">
        <v>74</v>
      </c>
      <c r="C58" s="40">
        <f>[15]С2!F15</f>
        <v>1.071</v>
      </c>
    </row>
    <row r="59" spans="1:3" ht="15.75">
      <c r="A59" s="59" t="s">
        <v>75</v>
      </c>
      <c r="B59" s="60" t="s">
        <v>76</v>
      </c>
      <c r="C59" s="40">
        <f>[15]С2!F16</f>
        <v>1</v>
      </c>
    </row>
    <row r="60" spans="1:3" ht="17.25">
      <c r="A60" s="59" t="s">
        <v>77</v>
      </c>
      <c r="B60" s="58" t="s">
        <v>78</v>
      </c>
      <c r="C60" s="34">
        <f>[15]С2!F17</f>
        <v>1.01</v>
      </c>
    </row>
    <row r="61" spans="1:3" s="63" customFormat="1" ht="14.25">
      <c r="A61" s="59" t="s">
        <v>79</v>
      </c>
      <c r="B61" s="61" t="s">
        <v>80</v>
      </c>
      <c r="C61" s="62">
        <f>[15]С2!F33</f>
        <v>10</v>
      </c>
    </row>
    <row r="62" spans="1:3" ht="30">
      <c r="A62" s="59" t="s">
        <v>81</v>
      </c>
      <c r="B62" s="64" t="s">
        <v>82</v>
      </c>
      <c r="C62" s="34">
        <f>[15]С2!F26</f>
        <v>1012.1091133444331</v>
      </c>
    </row>
    <row r="63" spans="1:3" ht="17.25">
      <c r="A63" s="59" t="s">
        <v>83</v>
      </c>
      <c r="B63" s="53" t="s">
        <v>84</v>
      </c>
      <c r="C63" s="34">
        <f>[15]С2!F27</f>
        <v>0.17433463600000002</v>
      </c>
    </row>
    <row r="64" spans="1:3" ht="17.25">
      <c r="A64" s="59" t="s">
        <v>85</v>
      </c>
      <c r="B64" s="58" t="s">
        <v>86</v>
      </c>
      <c r="C64" s="62">
        <f>[15]С2!F28</f>
        <v>4200</v>
      </c>
    </row>
    <row r="65" spans="1:3" ht="42.75">
      <c r="A65" s="59" t="s">
        <v>87</v>
      </c>
      <c r="B65" s="33" t="s">
        <v>88</v>
      </c>
      <c r="C65" s="34">
        <f>[15]С2!F22</f>
        <v>35717.748653137714</v>
      </c>
    </row>
    <row r="66" spans="1:3" ht="30">
      <c r="A66" s="59" t="s">
        <v>89</v>
      </c>
      <c r="B66" s="60" t="s">
        <v>90</v>
      </c>
      <c r="C66" s="34">
        <f>[15]С2!F23</f>
        <v>1990</v>
      </c>
    </row>
    <row r="67" spans="1:3" ht="30">
      <c r="A67" s="59" t="s">
        <v>91</v>
      </c>
      <c r="B67" s="53" t="s">
        <v>92</v>
      </c>
      <c r="C67" s="34">
        <f>[15]С2.1!E27</f>
        <v>14307.876789999998</v>
      </c>
    </row>
    <row r="68" spans="1:3" ht="38.25">
      <c r="A68" s="59" t="s">
        <v>93</v>
      </c>
      <c r="B68" s="65" t="s">
        <v>94</v>
      </c>
      <c r="C68" s="52">
        <f>[15]С2.3!E21</f>
        <v>0</v>
      </c>
    </row>
    <row r="69" spans="1:3" ht="25.5">
      <c r="A69" s="59" t="s">
        <v>95</v>
      </c>
      <c r="B69" s="66" t="s">
        <v>96</v>
      </c>
      <c r="C69" s="67">
        <f>[15]С2.3!E11</f>
        <v>9.89</v>
      </c>
    </row>
    <row r="70" spans="1:3" ht="25.5">
      <c r="A70" s="59" t="s">
        <v>97</v>
      </c>
      <c r="B70" s="66" t="s">
        <v>98</v>
      </c>
      <c r="C70" s="62">
        <f>[15]С2.3!E13</f>
        <v>300</v>
      </c>
    </row>
    <row r="71" spans="1:3" ht="25.5">
      <c r="A71" s="59" t="s">
        <v>99</v>
      </c>
      <c r="B71" s="65" t="s">
        <v>100</v>
      </c>
      <c r="C71" s="68">
        <f>IF([15]С2.3!E22&gt;0,[15]С2.3!E22,[15]С2.3!E14)</f>
        <v>61211</v>
      </c>
    </row>
    <row r="72" spans="1:3" ht="38.25">
      <c r="A72" s="59" t="s">
        <v>101</v>
      </c>
      <c r="B72" s="65" t="s">
        <v>102</v>
      </c>
      <c r="C72" s="68">
        <f>IF([15]С2.3!E23&gt;0,[15]С2.3!E23,[15]С2.3!E15)</f>
        <v>45675</v>
      </c>
    </row>
    <row r="73" spans="1:3" ht="30">
      <c r="A73" s="59" t="s">
        <v>103</v>
      </c>
      <c r="B73" s="53" t="s">
        <v>104</v>
      </c>
      <c r="C73" s="34">
        <f>[15]С2.1!E28</f>
        <v>9541.9567200000001</v>
      </c>
    </row>
    <row r="74" spans="1:3" ht="38.25">
      <c r="A74" s="59" t="s">
        <v>105</v>
      </c>
      <c r="B74" s="65" t="s">
        <v>106</v>
      </c>
      <c r="C74" s="52">
        <f>[15]С2.3!E25</f>
        <v>0</v>
      </c>
    </row>
    <row r="75" spans="1:3" ht="25.5">
      <c r="A75" s="59" t="s">
        <v>107</v>
      </c>
      <c r="B75" s="66" t="s">
        <v>108</v>
      </c>
      <c r="C75" s="67">
        <f>[15]С2.3!E12</f>
        <v>0.56000000000000005</v>
      </c>
    </row>
    <row r="76" spans="1:3" ht="25.5">
      <c r="A76" s="59" t="s">
        <v>109</v>
      </c>
      <c r="B76" s="66" t="s">
        <v>98</v>
      </c>
      <c r="C76" s="62">
        <f>[15]С2.3!E13</f>
        <v>300</v>
      </c>
    </row>
    <row r="77" spans="1:3" ht="25.5">
      <c r="A77" s="59" t="s">
        <v>110</v>
      </c>
      <c r="B77" s="69" t="s">
        <v>111</v>
      </c>
      <c r="C77" s="68">
        <f>IF([15]С2.3!E26&gt;0,[15]С2.3!E26,[15]С2.3!E16)</f>
        <v>65637</v>
      </c>
    </row>
    <row r="78" spans="1:3" ht="38.25">
      <c r="A78" s="59" t="s">
        <v>112</v>
      </c>
      <c r="B78" s="69" t="s">
        <v>113</v>
      </c>
      <c r="C78" s="68">
        <f>IF([15]С2.3!E27&gt;0,[15]С2.3!E27,[15]С2.3!E17)</f>
        <v>31684</v>
      </c>
    </row>
    <row r="79" spans="1:3" ht="17.25">
      <c r="A79" s="59" t="s">
        <v>114</v>
      </c>
      <c r="B79" s="33" t="s">
        <v>115</v>
      </c>
      <c r="C79" s="35">
        <f>[15]С2!F29</f>
        <v>0.128978033685065</v>
      </c>
    </row>
    <row r="80" spans="1:3" ht="30">
      <c r="A80" s="59" t="s">
        <v>116</v>
      </c>
      <c r="B80" s="53" t="s">
        <v>117</v>
      </c>
      <c r="C80" s="70">
        <f>[15]С2!F30</f>
        <v>0.11668498168498169</v>
      </c>
    </row>
    <row r="81" spans="1:3" ht="17.25">
      <c r="A81" s="59" t="s">
        <v>118</v>
      </c>
      <c r="B81" s="71" t="s">
        <v>119</v>
      </c>
      <c r="C81" s="35">
        <f>[15]С2!F31</f>
        <v>0.13880000000000001</v>
      </c>
    </row>
    <row r="82" spans="1:3" s="63" customFormat="1" ht="18" thickBot="1">
      <c r="A82" s="72" t="s">
        <v>120</v>
      </c>
      <c r="B82" s="73" t="s">
        <v>121</v>
      </c>
      <c r="C82" s="74">
        <f>[15]С2!F32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[15]С3!F14</f>
        <v>6993.2576401328561</v>
      </c>
    </row>
    <row r="86" spans="1:3" s="63" customFormat="1" ht="42.75">
      <c r="A86" s="77" t="s">
        <v>126</v>
      </c>
      <c r="B86" s="53" t="s">
        <v>127</v>
      </c>
      <c r="C86" s="78">
        <f>[15]С3!F15</f>
        <v>0.2</v>
      </c>
    </row>
    <row r="87" spans="1:3" s="63" customFormat="1" ht="14.25">
      <c r="A87" s="77" t="s">
        <v>128</v>
      </c>
      <c r="B87" s="79" t="s">
        <v>129</v>
      </c>
      <c r="C87" s="62">
        <f>[15]С3!F18</f>
        <v>15</v>
      </c>
    </row>
    <row r="88" spans="1:3" s="63" customFormat="1" ht="17.25">
      <c r="A88" s="77" t="s">
        <v>130</v>
      </c>
      <c r="B88" s="33" t="s">
        <v>131</v>
      </c>
      <c r="C88" s="34">
        <f>[15]С3!F19</f>
        <v>3487.1555421534131</v>
      </c>
    </row>
    <row r="89" spans="1:3" s="63" customFormat="1" ht="55.5">
      <c r="A89" s="77" t="s">
        <v>132</v>
      </c>
      <c r="B89" s="53" t="s">
        <v>133</v>
      </c>
      <c r="C89" s="80">
        <f>[15]С3!F20</f>
        <v>2.1999999999999999E-2</v>
      </c>
    </row>
    <row r="90" spans="1:3" s="63" customFormat="1" ht="14.25">
      <c r="A90" s="77" t="s">
        <v>134</v>
      </c>
      <c r="B90" s="58" t="s">
        <v>80</v>
      </c>
      <c r="C90" s="62">
        <f>[15]С3!F21</f>
        <v>10</v>
      </c>
    </row>
    <row r="91" spans="1:3" s="63" customFormat="1" ht="17.25">
      <c r="A91" s="77" t="s">
        <v>135</v>
      </c>
      <c r="B91" s="33" t="s">
        <v>136</v>
      </c>
      <c r="C91" s="34">
        <f>[15]С3!F22</f>
        <v>3.0363273400332993</v>
      </c>
    </row>
    <row r="92" spans="1:3" s="63" customFormat="1" ht="55.5">
      <c r="A92" s="77" t="s">
        <v>137</v>
      </c>
      <c r="B92" s="53" t="s">
        <v>138</v>
      </c>
      <c r="C92" s="80">
        <f>[15]С3!F23</f>
        <v>3.0000000000000001E-3</v>
      </c>
    </row>
    <row r="93" spans="1:3" s="63" customFormat="1" ht="27.75" thickBot="1">
      <c r="A93" s="81" t="s">
        <v>139</v>
      </c>
      <c r="B93" s="82" t="s">
        <v>140</v>
      </c>
      <c r="C93" s="83">
        <f>[15]С3!F24</f>
        <v>1012.1091133444331</v>
      </c>
    </row>
    <row r="94" spans="1:3" ht="13.5" thickBot="1">
      <c r="A94" s="47"/>
      <c r="B94" s="75"/>
      <c r="C94" s="15"/>
    </row>
    <row r="95" spans="1:3" ht="30" customHeight="1">
      <c r="A95" s="84" t="s">
        <v>141</v>
      </c>
      <c r="B95" s="118" t="s">
        <v>142</v>
      </c>
      <c r="C95" s="118"/>
    </row>
    <row r="96" spans="1:3" ht="30">
      <c r="A96" s="59" t="s">
        <v>143</v>
      </c>
      <c r="B96" s="33" t="s">
        <v>144</v>
      </c>
      <c r="C96" s="34">
        <f>[15]С4!F16</f>
        <v>1652.5</v>
      </c>
    </row>
    <row r="97" spans="1:3" ht="30">
      <c r="A97" s="59" t="s">
        <v>145</v>
      </c>
      <c r="B97" s="58" t="s">
        <v>146</v>
      </c>
      <c r="C97" s="34">
        <f>[15]С4!F17</f>
        <v>73547</v>
      </c>
    </row>
    <row r="98" spans="1:3" ht="17.25">
      <c r="A98" s="59" t="s">
        <v>147</v>
      </c>
      <c r="B98" s="58" t="s">
        <v>148</v>
      </c>
      <c r="C98" s="40">
        <f>[15]С4!F18</f>
        <v>0.02</v>
      </c>
    </row>
    <row r="99" spans="1:3" ht="30">
      <c r="A99" s="59" t="s">
        <v>149</v>
      </c>
      <c r="B99" s="58" t="s">
        <v>150</v>
      </c>
      <c r="C99" s="34">
        <f>[15]С4!F19</f>
        <v>12104</v>
      </c>
    </row>
    <row r="100" spans="1:3" ht="31.5">
      <c r="A100" s="59" t="s">
        <v>151</v>
      </c>
      <c r="B100" s="58" t="s">
        <v>152</v>
      </c>
      <c r="C100" s="40">
        <f>[15]С4!F20</f>
        <v>1.4999999999999999E-2</v>
      </c>
    </row>
    <row r="101" spans="1:3" ht="30">
      <c r="A101" s="59" t="s">
        <v>153</v>
      </c>
      <c r="B101" s="33" t="s">
        <v>154</v>
      </c>
      <c r="C101" s="34">
        <f>[15]С4!F21</f>
        <v>1933.1949342509995</v>
      </c>
    </row>
    <row r="102" spans="1:3" ht="24" customHeight="1">
      <c r="A102" s="59" t="s">
        <v>155</v>
      </c>
      <c r="B102" s="53" t="s">
        <v>156</v>
      </c>
      <c r="C102" s="85">
        <f>IF([15]С4.2!F8="да",[15]С4.2!D21,[15]С4.2!D15)</f>
        <v>0</v>
      </c>
    </row>
    <row r="103" spans="1:3" ht="68.25">
      <c r="A103" s="59" t="s">
        <v>157</v>
      </c>
      <c r="B103" s="53" t="s">
        <v>158</v>
      </c>
      <c r="C103" s="34">
        <f>[15]С4!F22</f>
        <v>3.6112641666666665</v>
      </c>
    </row>
    <row r="104" spans="1:3" ht="30">
      <c r="A104" s="59" t="s">
        <v>159</v>
      </c>
      <c r="B104" s="58" t="s">
        <v>160</v>
      </c>
      <c r="C104" s="34">
        <f>[15]С4!F23</f>
        <v>180</v>
      </c>
    </row>
    <row r="105" spans="1:3" ht="14.25">
      <c r="A105" s="59" t="s">
        <v>161</v>
      </c>
      <c r="B105" s="53" t="s">
        <v>162</v>
      </c>
      <c r="C105" s="34">
        <f>[15]С4!F24</f>
        <v>8497.1999999999989</v>
      </c>
    </row>
    <row r="106" spans="1:3" ht="14.25">
      <c r="A106" s="59" t="s">
        <v>163</v>
      </c>
      <c r="B106" s="58" t="s">
        <v>164</v>
      </c>
      <c r="C106" s="40">
        <f>[15]С4!F25</f>
        <v>0.35</v>
      </c>
    </row>
    <row r="107" spans="1:3" ht="17.25">
      <c r="A107" s="59" t="s">
        <v>165</v>
      </c>
      <c r="B107" s="33" t="s">
        <v>166</v>
      </c>
      <c r="C107" s="34">
        <f>[15]С4!F26</f>
        <v>81.548655000000011</v>
      </c>
    </row>
    <row r="108" spans="1:3" ht="25.5">
      <c r="A108" s="59" t="s">
        <v>167</v>
      </c>
      <c r="B108" s="53" t="s">
        <v>94</v>
      </c>
      <c r="C108" s="85">
        <f>[15]С4.3!E16</f>
        <v>0</v>
      </c>
    </row>
    <row r="109" spans="1:3" ht="25.5">
      <c r="A109" s="59" t="s">
        <v>168</v>
      </c>
      <c r="B109" s="53" t="s">
        <v>169</v>
      </c>
      <c r="C109" s="34">
        <f>[15]С4.3!E17</f>
        <v>21.725000000000001</v>
      </c>
    </row>
    <row r="110" spans="1:3" ht="38.25">
      <c r="A110" s="59" t="s">
        <v>170</v>
      </c>
      <c r="B110" s="53" t="s">
        <v>106</v>
      </c>
      <c r="C110" s="85">
        <f>[15]С4.3!E18</f>
        <v>0</v>
      </c>
    </row>
    <row r="111" spans="1:3">
      <c r="A111" s="59" t="s">
        <v>171</v>
      </c>
      <c r="B111" s="53" t="s">
        <v>172</v>
      </c>
      <c r="C111" s="34">
        <f>[15]С4.3!E19</f>
        <v>26.27</v>
      </c>
    </row>
    <row r="112" spans="1:3">
      <c r="A112" s="59" t="s">
        <v>173</v>
      </c>
      <c r="B112" s="58" t="s">
        <v>174</v>
      </c>
      <c r="C112" s="34">
        <f>[15]С4.3!E11</f>
        <v>1871</v>
      </c>
    </row>
    <row r="113" spans="1:3">
      <c r="A113" s="59" t="s">
        <v>175</v>
      </c>
      <c r="B113" s="58" t="s">
        <v>176</v>
      </c>
      <c r="C113" s="52">
        <f>[15]С4.3!E12</f>
        <v>1636</v>
      </c>
    </row>
    <row r="114" spans="1:3">
      <c r="A114" s="59" t="s">
        <v>177</v>
      </c>
      <c r="B114" s="58" t="s">
        <v>178</v>
      </c>
      <c r="C114" s="52">
        <f>[15]С4.3!E13</f>
        <v>204</v>
      </c>
    </row>
    <row r="115" spans="1:3" ht="30">
      <c r="A115" s="59" t="s">
        <v>179</v>
      </c>
      <c r="B115" s="33" t="s">
        <v>180</v>
      </c>
      <c r="C115" s="34">
        <f>[15]С4!F27</f>
        <v>1040.8858115370676</v>
      </c>
    </row>
    <row r="116" spans="1:3" ht="25.5">
      <c r="A116" s="59" t="s">
        <v>181</v>
      </c>
      <c r="B116" s="53" t="s">
        <v>182</v>
      </c>
      <c r="C116" s="34">
        <f>[15]С4!F28</f>
        <v>799.45146815442979</v>
      </c>
    </row>
    <row r="117" spans="1:3" ht="42.75">
      <c r="A117" s="59" t="s">
        <v>183</v>
      </c>
      <c r="B117" s="53" t="s">
        <v>184</v>
      </c>
      <c r="C117" s="34">
        <f>[15]С4!F29</f>
        <v>241.43434338263785</v>
      </c>
    </row>
    <row r="118" spans="1:3" ht="30">
      <c r="A118" s="59" t="s">
        <v>185</v>
      </c>
      <c r="B118" s="39" t="s">
        <v>186</v>
      </c>
      <c r="C118" s="34">
        <f>[15]С4!F30</f>
        <v>2170.5776733177272</v>
      </c>
    </row>
    <row r="119" spans="1:3" ht="42.75">
      <c r="A119" s="59" t="s">
        <v>187</v>
      </c>
      <c r="B119" s="86" t="s">
        <v>188</v>
      </c>
      <c r="C119" s="34">
        <f>[15]С4!F33</f>
        <v>1454.6191095739964</v>
      </c>
    </row>
    <row r="120" spans="1:3" ht="30">
      <c r="A120" s="59" t="s">
        <v>189</v>
      </c>
      <c r="B120" s="87" t="s">
        <v>190</v>
      </c>
      <c r="C120" s="34">
        <f>[15]С4!F35</f>
        <v>17.040680999999999</v>
      </c>
    </row>
    <row r="121" spans="1:3" ht="14.25">
      <c r="A121" s="59" t="s">
        <v>191</v>
      </c>
      <c r="B121" s="56" t="s">
        <v>192</v>
      </c>
      <c r="C121" s="34">
        <f>[15]С4!F36</f>
        <v>14319.9</v>
      </c>
    </row>
    <row r="122" spans="1:3" ht="28.5" thickBot="1">
      <c r="A122" s="72" t="s">
        <v>193</v>
      </c>
      <c r="B122" s="88" t="s">
        <v>194</v>
      </c>
      <c r="C122" s="83">
        <f>[15]С4!F37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[15]С5!F17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[15]С2!F37</f>
        <v>20.818139999999996</v>
      </c>
    </row>
    <row r="136" spans="1:4" ht="14.25">
      <c r="A136" s="59" t="s">
        <v>216</v>
      </c>
      <c r="B136" s="101" t="s">
        <v>217</v>
      </c>
      <c r="C136" s="34">
        <f>[15]С2!F38</f>
        <v>7</v>
      </c>
    </row>
    <row r="137" spans="1:4" ht="17.25">
      <c r="A137" s="59" t="s">
        <v>218</v>
      </c>
      <c r="B137" s="101" t="s">
        <v>219</v>
      </c>
      <c r="C137" s="34">
        <f>[15]С2!F40</f>
        <v>0.97</v>
      </c>
    </row>
    <row r="138" spans="1:4" ht="15" thickBot="1">
      <c r="A138" s="72" t="s">
        <v>220</v>
      </c>
      <c r="B138" s="102" t="s">
        <v>221</v>
      </c>
      <c r="C138" s="46">
        <f>[15]С2!F42</f>
        <v>0.35</v>
      </c>
    </row>
    <row r="139" spans="1:4" s="89" customFormat="1" ht="13.5" thickBot="1">
      <c r="A139" s="47"/>
      <c r="B139" s="75"/>
      <c r="C139" s="15"/>
    </row>
    <row r="140" spans="1:4" ht="30">
      <c r="A140" s="84" t="s">
        <v>222</v>
      </c>
      <c r="B140" s="103" t="s">
        <v>223</v>
      </c>
      <c r="C140" s="104">
        <f>[15]С2!F35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[15]С2.5!$E$11</f>
        <v>-2.9000000000000026E-2</v>
      </c>
      <c r="D143" s="89"/>
    </row>
    <row r="144" spans="1:4">
      <c r="A144" s="105"/>
      <c r="B144" s="110">
        <f>B143+1</f>
        <v>2021</v>
      </c>
      <c r="C144" s="111">
        <f>[15]С2.5!$F$11</f>
        <v>0.245</v>
      </c>
      <c r="D144" s="89"/>
    </row>
    <row r="145" spans="1:4">
      <c r="A145" s="105"/>
      <c r="B145" s="110">
        <f t="shared" ref="B145:B208" si="0">B144+1</f>
        <v>2022</v>
      </c>
      <c r="C145" s="111">
        <f>[15]С2.5!$G$11</f>
        <v>0.121</v>
      </c>
      <c r="D145" s="89"/>
    </row>
    <row r="146" spans="1:4" ht="13.5" thickBot="1">
      <c r="A146" s="105"/>
      <c r="B146" s="112">
        <f t="shared" si="0"/>
        <v>2023</v>
      </c>
      <c r="C146" s="113">
        <f>[15]С2.5!$H$11</f>
        <v>0.02</v>
      </c>
      <c r="D146" s="89"/>
    </row>
    <row r="147" spans="1:4" hidden="1">
      <c r="A147" s="105"/>
      <c r="B147" s="114">
        <f t="shared" si="0"/>
        <v>2024</v>
      </c>
      <c r="C147" s="115">
        <f>[15]С2.5!$I$11</f>
        <v>-2.93E-2</v>
      </c>
      <c r="D147" s="89"/>
    </row>
    <row r="148" spans="1:4" hidden="1">
      <c r="A148" s="105"/>
      <c r="B148" s="110">
        <f t="shared" si="0"/>
        <v>2025</v>
      </c>
      <c r="C148" s="111">
        <f>[15]С2.5!$J$11</f>
        <v>0.21215960863291</v>
      </c>
      <c r="D148" s="89"/>
    </row>
    <row r="149" spans="1:4" hidden="1">
      <c r="A149" s="105"/>
      <c r="B149" s="110">
        <f t="shared" si="0"/>
        <v>2026</v>
      </c>
      <c r="C149" s="111">
        <f>[15]С2.5!$K$11</f>
        <v>3.5813361771260002E-2</v>
      </c>
      <c r="D149" s="89"/>
    </row>
    <row r="150" spans="1:4" hidden="1">
      <c r="A150" s="105"/>
      <c r="B150" s="110">
        <f t="shared" si="0"/>
        <v>2027</v>
      </c>
      <c r="C150" s="111">
        <f>[15]С2.5!$L$11</f>
        <v>3.2682303599220003E-2</v>
      </c>
      <c r="D150" s="89"/>
    </row>
    <row r="151" spans="1:4" hidden="1">
      <c r="A151" s="105"/>
      <c r="B151" s="110">
        <f t="shared" si="0"/>
        <v>2028</v>
      </c>
      <c r="C151" s="111">
        <f>[15]С2.5!$M$11</f>
        <v>0</v>
      </c>
      <c r="D151" s="89"/>
    </row>
    <row r="152" spans="1:4" hidden="1">
      <c r="A152" s="105"/>
      <c r="B152" s="110">
        <f t="shared" si="0"/>
        <v>2029</v>
      </c>
      <c r="C152" s="111">
        <f>[15]С2.5!$N$11</f>
        <v>0</v>
      </c>
      <c r="D152" s="89"/>
    </row>
    <row r="153" spans="1:4" hidden="1">
      <c r="A153" s="105"/>
      <c r="B153" s="110">
        <f t="shared" si="0"/>
        <v>2030</v>
      </c>
      <c r="C153" s="111">
        <f>[15]С2.5!$O$11</f>
        <v>0</v>
      </c>
      <c r="D153" s="89"/>
    </row>
    <row r="154" spans="1:4" hidden="1">
      <c r="A154" s="105"/>
      <c r="B154" s="110">
        <f t="shared" si="0"/>
        <v>2031</v>
      </c>
      <c r="C154" s="111">
        <f>[15]С2.5!$P$11</f>
        <v>0</v>
      </c>
      <c r="D154" s="89"/>
    </row>
    <row r="155" spans="1:4" hidden="1">
      <c r="A155" s="89"/>
      <c r="B155" s="110">
        <f t="shared" si="0"/>
        <v>2032</v>
      </c>
      <c r="C155" s="111">
        <f>[15]С2.5!$Q$11</f>
        <v>0</v>
      </c>
      <c r="D155" s="89"/>
    </row>
    <row r="156" spans="1:4" hidden="1">
      <c r="A156" s="89"/>
      <c r="B156" s="110">
        <f t="shared" si="0"/>
        <v>2033</v>
      </c>
      <c r="C156" s="111">
        <f>[15]С2.5!$R$11</f>
        <v>0</v>
      </c>
      <c r="D156" s="89"/>
    </row>
    <row r="157" spans="1:4" hidden="1">
      <c r="B157" s="110">
        <f t="shared" si="0"/>
        <v>2034</v>
      </c>
      <c r="C157" s="111">
        <f>[15]С2.5!$S$11</f>
        <v>0</v>
      </c>
    </row>
    <row r="158" spans="1:4" hidden="1">
      <c r="B158" s="110">
        <f t="shared" si="0"/>
        <v>2035</v>
      </c>
      <c r="C158" s="111">
        <f>[15]С2.5!$T$11</f>
        <v>0</v>
      </c>
    </row>
    <row r="159" spans="1:4" hidden="1">
      <c r="B159" s="110">
        <f t="shared" si="0"/>
        <v>2036</v>
      </c>
      <c r="C159" s="111">
        <f>[15]С2.5!$U$11</f>
        <v>0</v>
      </c>
    </row>
    <row r="160" spans="1:4" hidden="1">
      <c r="B160" s="110">
        <f t="shared" si="0"/>
        <v>2037</v>
      </c>
      <c r="C160" s="111">
        <f>[15]С2.5!$V$11</f>
        <v>0</v>
      </c>
    </row>
    <row r="161" spans="2:3" hidden="1">
      <c r="B161" s="110">
        <f t="shared" si="0"/>
        <v>2038</v>
      </c>
      <c r="C161" s="111">
        <f>[15]С2.5!$W$11</f>
        <v>0</v>
      </c>
    </row>
    <row r="162" spans="2:3" hidden="1">
      <c r="B162" s="110">
        <f t="shared" si="0"/>
        <v>2039</v>
      </c>
      <c r="C162" s="111">
        <f>[15]С2.5!$X$11</f>
        <v>0</v>
      </c>
    </row>
    <row r="163" spans="2:3" hidden="1">
      <c r="B163" s="110">
        <f t="shared" si="0"/>
        <v>2040</v>
      </c>
      <c r="C163" s="111">
        <f>[15]С2.5!$Y$11</f>
        <v>0</v>
      </c>
    </row>
    <row r="164" spans="2:3" hidden="1">
      <c r="B164" s="110">
        <f t="shared" si="0"/>
        <v>2041</v>
      </c>
      <c r="C164" s="111">
        <f>[15]С2.5!$Z$11</f>
        <v>0</v>
      </c>
    </row>
    <row r="165" spans="2:3" hidden="1">
      <c r="B165" s="110">
        <f t="shared" si="0"/>
        <v>2042</v>
      </c>
      <c r="C165" s="111">
        <f>[15]С2.5!$AA$11</f>
        <v>0</v>
      </c>
    </row>
    <row r="166" spans="2:3" hidden="1">
      <c r="B166" s="110">
        <f t="shared" si="0"/>
        <v>2043</v>
      </c>
      <c r="C166" s="111">
        <f>[15]С2.5!$AB$11</f>
        <v>0</v>
      </c>
    </row>
    <row r="167" spans="2:3" hidden="1">
      <c r="B167" s="110">
        <f t="shared" si="0"/>
        <v>2044</v>
      </c>
      <c r="C167" s="111">
        <f>[15]С2.5!$AC$11</f>
        <v>0</v>
      </c>
    </row>
    <row r="168" spans="2:3" hidden="1">
      <c r="B168" s="110">
        <f t="shared" si="0"/>
        <v>2045</v>
      </c>
      <c r="C168" s="111">
        <f>[15]С2.5!$AD$11</f>
        <v>0</v>
      </c>
    </row>
    <row r="169" spans="2:3" hidden="1">
      <c r="B169" s="110">
        <f t="shared" si="0"/>
        <v>2046</v>
      </c>
      <c r="C169" s="111">
        <f>[15]С2.5!$AE$11</f>
        <v>0</v>
      </c>
    </row>
    <row r="170" spans="2:3" hidden="1">
      <c r="B170" s="110">
        <f t="shared" si="0"/>
        <v>2047</v>
      </c>
      <c r="C170" s="111">
        <f>[15]С2.5!$AF$11</f>
        <v>0</v>
      </c>
    </row>
    <row r="171" spans="2:3" hidden="1">
      <c r="B171" s="110">
        <f t="shared" si="0"/>
        <v>2048</v>
      </c>
      <c r="C171" s="111">
        <f>[15]С2.5!$AG$11</f>
        <v>0</v>
      </c>
    </row>
    <row r="172" spans="2:3" hidden="1">
      <c r="B172" s="110">
        <f t="shared" si="0"/>
        <v>2049</v>
      </c>
      <c r="C172" s="111">
        <f>[15]С2.5!$AH$11</f>
        <v>0</v>
      </c>
    </row>
    <row r="173" spans="2:3" hidden="1">
      <c r="B173" s="110">
        <f t="shared" si="0"/>
        <v>2050</v>
      </c>
      <c r="C173" s="111">
        <f>[15]С2.5!$AI$11</f>
        <v>0</v>
      </c>
    </row>
    <row r="174" spans="2:3" hidden="1">
      <c r="B174" s="110">
        <f t="shared" si="0"/>
        <v>2051</v>
      </c>
      <c r="C174" s="111">
        <f>[15]С2.5!$AJ$11</f>
        <v>0</v>
      </c>
    </row>
    <row r="175" spans="2:3" hidden="1">
      <c r="B175" s="110">
        <f t="shared" si="0"/>
        <v>2052</v>
      </c>
      <c r="C175" s="111">
        <f>[15]С2.5!$AK$11</f>
        <v>0</v>
      </c>
    </row>
    <row r="176" spans="2:3" hidden="1">
      <c r="B176" s="110">
        <f t="shared" si="0"/>
        <v>2053</v>
      </c>
      <c r="C176" s="111">
        <f>[15]С2.5!$AL$11</f>
        <v>0</v>
      </c>
    </row>
    <row r="177" spans="2:3" hidden="1">
      <c r="B177" s="110">
        <f t="shared" si="0"/>
        <v>2054</v>
      </c>
      <c r="C177" s="111">
        <f>[15]С2.5!$AM$11</f>
        <v>0</v>
      </c>
    </row>
    <row r="178" spans="2:3" hidden="1">
      <c r="B178" s="110">
        <f t="shared" si="0"/>
        <v>2055</v>
      </c>
      <c r="C178" s="111">
        <f>[15]С2.5!$AN$11</f>
        <v>0</v>
      </c>
    </row>
    <row r="179" spans="2:3" hidden="1">
      <c r="B179" s="110">
        <f t="shared" si="0"/>
        <v>2056</v>
      </c>
      <c r="C179" s="111">
        <f>[15]С2.5!$AO$11</f>
        <v>0</v>
      </c>
    </row>
    <row r="180" spans="2:3" hidden="1">
      <c r="B180" s="110">
        <f t="shared" si="0"/>
        <v>2057</v>
      </c>
      <c r="C180" s="111">
        <f>[15]С2.5!$AP$11</f>
        <v>0</v>
      </c>
    </row>
    <row r="181" spans="2:3" hidden="1">
      <c r="B181" s="110">
        <f t="shared" si="0"/>
        <v>2058</v>
      </c>
      <c r="C181" s="111">
        <f>[15]С2.5!$AQ$11</f>
        <v>0</v>
      </c>
    </row>
    <row r="182" spans="2:3" hidden="1">
      <c r="B182" s="110">
        <f t="shared" si="0"/>
        <v>2059</v>
      </c>
      <c r="C182" s="111">
        <f>[15]С2.5!$AR$11</f>
        <v>0</v>
      </c>
    </row>
    <row r="183" spans="2:3" hidden="1">
      <c r="B183" s="110">
        <f t="shared" si="0"/>
        <v>2060</v>
      </c>
      <c r="C183" s="111">
        <f>[15]С2.5!$AS$11</f>
        <v>0</v>
      </c>
    </row>
    <row r="184" spans="2:3" hidden="1">
      <c r="B184" s="110">
        <f t="shared" si="0"/>
        <v>2061</v>
      </c>
      <c r="C184" s="111">
        <f>[15]С2.5!$AT$11</f>
        <v>0</v>
      </c>
    </row>
    <row r="185" spans="2:3" hidden="1">
      <c r="B185" s="110">
        <f t="shared" si="0"/>
        <v>2062</v>
      </c>
      <c r="C185" s="111">
        <f>[15]С2.5!$AU$11</f>
        <v>0</v>
      </c>
    </row>
    <row r="186" spans="2:3" hidden="1">
      <c r="B186" s="110">
        <f t="shared" si="0"/>
        <v>2063</v>
      </c>
      <c r="C186" s="111">
        <f>[15]С2.5!$AV$11</f>
        <v>0</v>
      </c>
    </row>
    <row r="187" spans="2:3" hidden="1">
      <c r="B187" s="110">
        <f t="shared" si="0"/>
        <v>2064</v>
      </c>
      <c r="C187" s="111">
        <f>[15]С2.5!$AW$11</f>
        <v>0</v>
      </c>
    </row>
    <row r="188" spans="2:3" hidden="1">
      <c r="B188" s="110">
        <f t="shared" si="0"/>
        <v>2065</v>
      </c>
      <c r="C188" s="111">
        <f>[15]С2.5!$AX$11</f>
        <v>0</v>
      </c>
    </row>
    <row r="189" spans="2:3" hidden="1">
      <c r="B189" s="110">
        <f t="shared" si="0"/>
        <v>2066</v>
      </c>
      <c r="C189" s="111">
        <f>[15]С2.5!$AY$11</f>
        <v>0</v>
      </c>
    </row>
    <row r="190" spans="2:3" hidden="1">
      <c r="B190" s="110">
        <f t="shared" si="0"/>
        <v>2067</v>
      </c>
      <c r="C190" s="111">
        <f>[15]С2.5!$AZ$11</f>
        <v>0</v>
      </c>
    </row>
    <row r="191" spans="2:3" hidden="1">
      <c r="B191" s="110">
        <f t="shared" si="0"/>
        <v>2068</v>
      </c>
      <c r="C191" s="111">
        <f>[15]С2.5!$BA$11</f>
        <v>0</v>
      </c>
    </row>
    <row r="192" spans="2:3" hidden="1">
      <c r="B192" s="110">
        <f t="shared" si="0"/>
        <v>2069</v>
      </c>
      <c r="C192" s="111">
        <f>[15]С2.5!$BB$11</f>
        <v>0</v>
      </c>
    </row>
    <row r="193" spans="2:3" hidden="1">
      <c r="B193" s="110">
        <f t="shared" si="0"/>
        <v>2070</v>
      </c>
      <c r="C193" s="111">
        <f>[15]С2.5!$BC$11</f>
        <v>0</v>
      </c>
    </row>
    <row r="194" spans="2:3" hidden="1">
      <c r="B194" s="110">
        <f t="shared" si="0"/>
        <v>2071</v>
      </c>
      <c r="C194" s="111">
        <f>[15]С2.5!$BD$11</f>
        <v>0</v>
      </c>
    </row>
    <row r="195" spans="2:3" hidden="1">
      <c r="B195" s="110">
        <f t="shared" si="0"/>
        <v>2072</v>
      </c>
      <c r="C195" s="111">
        <f>[15]С2.5!$BE$11</f>
        <v>0</v>
      </c>
    </row>
    <row r="196" spans="2:3" hidden="1">
      <c r="B196" s="110">
        <f t="shared" si="0"/>
        <v>2073</v>
      </c>
      <c r="C196" s="111">
        <f>[15]С2.5!$BF$11</f>
        <v>0</v>
      </c>
    </row>
    <row r="197" spans="2:3" hidden="1">
      <c r="B197" s="110">
        <f t="shared" si="0"/>
        <v>2074</v>
      </c>
      <c r="C197" s="111">
        <f>[15]С2.5!$BG$11</f>
        <v>0</v>
      </c>
    </row>
    <row r="198" spans="2:3" hidden="1">
      <c r="B198" s="110">
        <f t="shared" si="0"/>
        <v>2075</v>
      </c>
      <c r="C198" s="111">
        <f>[15]С2.5!$BH$11</f>
        <v>0</v>
      </c>
    </row>
    <row r="199" spans="2:3" hidden="1">
      <c r="B199" s="110">
        <f t="shared" si="0"/>
        <v>2076</v>
      </c>
      <c r="C199" s="111">
        <f>[15]С2.5!$BI$11</f>
        <v>0</v>
      </c>
    </row>
    <row r="200" spans="2:3" hidden="1">
      <c r="B200" s="110">
        <f t="shared" si="0"/>
        <v>2077</v>
      </c>
      <c r="C200" s="111">
        <f>[15]С2.5!$BJ$11</f>
        <v>0</v>
      </c>
    </row>
    <row r="201" spans="2:3" hidden="1">
      <c r="B201" s="110">
        <f t="shared" si="0"/>
        <v>2078</v>
      </c>
      <c r="C201" s="111">
        <f>[15]С2.5!$BK$11</f>
        <v>0</v>
      </c>
    </row>
    <row r="202" spans="2:3" hidden="1">
      <c r="B202" s="110">
        <f t="shared" si="0"/>
        <v>2079</v>
      </c>
      <c r="C202" s="111">
        <f>[15]С2.5!$BL$11</f>
        <v>0</v>
      </c>
    </row>
    <row r="203" spans="2:3" hidden="1">
      <c r="B203" s="110">
        <f t="shared" si="0"/>
        <v>2080</v>
      </c>
      <c r="C203" s="111">
        <f>[15]С2.5!$BM$11</f>
        <v>0</v>
      </c>
    </row>
    <row r="204" spans="2:3" hidden="1">
      <c r="B204" s="110">
        <f t="shared" si="0"/>
        <v>2081</v>
      </c>
      <c r="C204" s="111">
        <f>[15]С2.5!$BN$11</f>
        <v>0</v>
      </c>
    </row>
    <row r="205" spans="2:3" hidden="1">
      <c r="B205" s="110">
        <f t="shared" si="0"/>
        <v>2082</v>
      </c>
      <c r="C205" s="111">
        <f>[15]С2.5!$BO$11</f>
        <v>0</v>
      </c>
    </row>
    <row r="206" spans="2:3" hidden="1">
      <c r="B206" s="110">
        <f t="shared" si="0"/>
        <v>2083</v>
      </c>
      <c r="C206" s="111">
        <f>[15]С2.5!$BP$11</f>
        <v>0</v>
      </c>
    </row>
    <row r="207" spans="2:3" hidden="1">
      <c r="B207" s="110">
        <f t="shared" si="0"/>
        <v>2084</v>
      </c>
      <c r="C207" s="111">
        <f>[15]С2.5!$BQ$11</f>
        <v>0</v>
      </c>
    </row>
    <row r="208" spans="2:3" hidden="1">
      <c r="B208" s="110">
        <f t="shared" si="0"/>
        <v>2085</v>
      </c>
      <c r="C208" s="111">
        <f>[15]С2.5!$BR$11</f>
        <v>0</v>
      </c>
    </row>
    <row r="209" spans="2:3" hidden="1">
      <c r="B209" s="110">
        <f t="shared" ref="B209:B223" si="1">B208+1</f>
        <v>2086</v>
      </c>
      <c r="C209" s="111">
        <f>[15]С2.5!$BS$11</f>
        <v>0</v>
      </c>
    </row>
    <row r="210" spans="2:3" hidden="1">
      <c r="B210" s="110">
        <f t="shared" si="1"/>
        <v>2087</v>
      </c>
      <c r="C210" s="111">
        <f>[15]С2.5!$BT$11</f>
        <v>0</v>
      </c>
    </row>
    <row r="211" spans="2:3" hidden="1">
      <c r="B211" s="110">
        <f t="shared" si="1"/>
        <v>2088</v>
      </c>
      <c r="C211" s="111">
        <f>[15]С2.5!$BU$11</f>
        <v>0</v>
      </c>
    </row>
    <row r="212" spans="2:3" hidden="1">
      <c r="B212" s="110">
        <f t="shared" si="1"/>
        <v>2089</v>
      </c>
      <c r="C212" s="111">
        <f>[15]С2.5!$BV$11</f>
        <v>0</v>
      </c>
    </row>
    <row r="213" spans="2:3" hidden="1">
      <c r="B213" s="110">
        <f t="shared" si="1"/>
        <v>2090</v>
      </c>
      <c r="C213" s="111">
        <f>[15]С2.5!$BW$11</f>
        <v>0</v>
      </c>
    </row>
    <row r="214" spans="2:3" hidden="1">
      <c r="B214" s="110">
        <f t="shared" si="1"/>
        <v>2091</v>
      </c>
      <c r="C214" s="111">
        <f>[15]С2.5!$BX$11</f>
        <v>0</v>
      </c>
    </row>
    <row r="215" spans="2:3" hidden="1">
      <c r="B215" s="110">
        <f t="shared" si="1"/>
        <v>2092</v>
      </c>
      <c r="C215" s="111">
        <f>[15]С2.5!$BY$11</f>
        <v>0</v>
      </c>
    </row>
    <row r="216" spans="2:3" hidden="1">
      <c r="B216" s="110">
        <f t="shared" si="1"/>
        <v>2093</v>
      </c>
      <c r="C216" s="111">
        <f>[15]С2.5!$BZ$11</f>
        <v>0</v>
      </c>
    </row>
    <row r="217" spans="2:3" hidden="1">
      <c r="B217" s="110">
        <f t="shared" si="1"/>
        <v>2094</v>
      </c>
      <c r="C217" s="111">
        <f>[15]С2.5!$CA$11</f>
        <v>0</v>
      </c>
    </row>
    <row r="218" spans="2:3" hidden="1">
      <c r="B218" s="110">
        <f t="shared" si="1"/>
        <v>2095</v>
      </c>
      <c r="C218" s="111">
        <f>[15]С2.5!$CB$11</f>
        <v>0</v>
      </c>
    </row>
    <row r="219" spans="2:3" hidden="1">
      <c r="B219" s="110">
        <f t="shared" si="1"/>
        <v>2096</v>
      </c>
      <c r="C219" s="111">
        <f>[15]С2.5!$CC$11</f>
        <v>0</v>
      </c>
    </row>
    <row r="220" spans="2:3" hidden="1">
      <c r="B220" s="110">
        <f t="shared" si="1"/>
        <v>2097</v>
      </c>
      <c r="C220" s="111">
        <f>[15]С2.5!$CD$11</f>
        <v>0</v>
      </c>
    </row>
    <row r="221" spans="2:3" hidden="1">
      <c r="B221" s="110">
        <f t="shared" si="1"/>
        <v>2098</v>
      </c>
      <c r="C221" s="111">
        <f>[15]С2.5!$CE$11</f>
        <v>0</v>
      </c>
    </row>
    <row r="222" spans="2:3" hidden="1">
      <c r="B222" s="110">
        <f t="shared" si="1"/>
        <v>2099</v>
      </c>
      <c r="C222" s="111">
        <f>[15]С2.5!$CF$11</f>
        <v>0</v>
      </c>
    </row>
    <row r="223" spans="2:3" ht="13.5" hidden="1" thickBot="1">
      <c r="B223" s="112">
        <f t="shared" si="1"/>
        <v>2100</v>
      </c>
      <c r="C223" s="113">
        <f>[15]С2.5!$CG$11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I18" sqref="I18"/>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[16]И1!D13</f>
        <v>Субъект Российской Федерации</v>
      </c>
      <c r="C4" s="10" t="str">
        <f>[16]И1!E13</f>
        <v>Новосибирская область</v>
      </c>
    </row>
    <row r="5" spans="1:3" ht="38.25">
      <c r="A5" s="8"/>
      <c r="B5" s="9" t="str">
        <f>[16]И1!D14</f>
        <v>Тип муниципального образования (выберите из списка)</v>
      </c>
      <c r="C5" s="10" t="str">
        <f>[16]И1!E14</f>
        <v>село Шагалка, Доволенский муниципальный район</v>
      </c>
    </row>
    <row r="6" spans="1:3">
      <c r="A6" s="8"/>
      <c r="B6" s="9" t="str">
        <f>IF([16]И1!E15="","",[16]И1!D15)</f>
        <v/>
      </c>
      <c r="C6" s="10" t="str">
        <f>IF([16]И1!E15="","",[16]И1!E15)</f>
        <v/>
      </c>
    </row>
    <row r="7" spans="1:3">
      <c r="A7" s="8"/>
      <c r="B7" s="9" t="str">
        <f>[16]И1!D16</f>
        <v>Код ОКТМО</v>
      </c>
      <c r="C7" s="11" t="str">
        <f>[16]И1!E16</f>
        <v>50610433101</v>
      </c>
    </row>
    <row r="8" spans="1:3">
      <c r="A8" s="8"/>
      <c r="B8" s="12" t="str">
        <f>[16]И1!D17</f>
        <v>Система теплоснабжения</v>
      </c>
      <c r="C8" s="13">
        <f>[16]И1!E17</f>
        <v>0</v>
      </c>
    </row>
    <row r="9" spans="1:3">
      <c r="A9" s="8"/>
      <c r="B9" s="9" t="str">
        <f>[16]И1!D8</f>
        <v>Период регулирования (i)-й</v>
      </c>
      <c r="C9" s="14">
        <f>[16]И1!E8</f>
        <v>2023</v>
      </c>
    </row>
    <row r="10" spans="1:3">
      <c r="A10" s="8"/>
      <c r="B10" s="9" t="str">
        <f>[16]И1!D9</f>
        <v>Период регулирования (i-1)-й</v>
      </c>
      <c r="C10" s="14">
        <f>[16]И1!E9</f>
        <v>2022</v>
      </c>
    </row>
    <row r="11" spans="1:3">
      <c r="A11" s="8"/>
      <c r="B11" s="9" t="str">
        <f>[16]И1!D10</f>
        <v>Период регулирования (i-2)-й</v>
      </c>
      <c r="C11" s="14">
        <f>[16]И1!E10</f>
        <v>2021</v>
      </c>
    </row>
    <row r="12" spans="1:3">
      <c r="A12" s="8"/>
      <c r="B12" s="9" t="str">
        <f>[16]И1!D11</f>
        <v>Базовый год (б)</v>
      </c>
      <c r="C12" s="14">
        <f>[16]И1!E11</f>
        <v>2019</v>
      </c>
    </row>
    <row r="13" spans="1:3" ht="38.25">
      <c r="A13" s="8"/>
      <c r="B13" s="9" t="str">
        <f>[16]И1!D18</f>
        <v>Вид топлива, использование которого преобладает в системе теплоснабжения</v>
      </c>
      <c r="C13" s="15" t="str">
        <f>[16]С1.1!E13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4079.4831471982147</v>
      </c>
    </row>
    <row r="18" spans="1:3" ht="42.75">
      <c r="A18" s="22" t="s">
        <v>8</v>
      </c>
      <c r="B18" s="25" t="s">
        <v>9</v>
      </c>
      <c r="C18" s="26">
        <f>[16]С1!F12</f>
        <v>976.46145561439812</v>
      </c>
    </row>
    <row r="19" spans="1:3" ht="42.75">
      <c r="A19" s="22" t="s">
        <v>10</v>
      </c>
      <c r="B19" s="25" t="s">
        <v>11</v>
      </c>
      <c r="C19" s="26">
        <f>[16]С2!F12</f>
        <v>2105.0745921739249</v>
      </c>
    </row>
    <row r="20" spans="1:3" ht="30">
      <c r="A20" s="22" t="s">
        <v>12</v>
      </c>
      <c r="B20" s="25" t="s">
        <v>13</v>
      </c>
      <c r="C20" s="26">
        <f>[16]С3!F12</f>
        <v>503.57282204972699</v>
      </c>
    </row>
    <row r="21" spans="1:3" ht="42.75">
      <c r="A21" s="22" t="s">
        <v>14</v>
      </c>
      <c r="B21" s="25" t="s">
        <v>15</v>
      </c>
      <c r="C21" s="26">
        <f>[16]С4!F12</f>
        <v>414.38441172882682</v>
      </c>
    </row>
    <row r="22" spans="1:3" ht="30">
      <c r="A22" s="22" t="s">
        <v>16</v>
      </c>
      <c r="B22" s="25" t="s">
        <v>17</v>
      </c>
      <c r="C22" s="26">
        <f>[16]С5!F12</f>
        <v>79.989865631337551</v>
      </c>
    </row>
    <row r="23" spans="1:3" ht="43.5" thickBot="1">
      <c r="A23" s="27" t="s">
        <v>18</v>
      </c>
      <c r="B23" s="117" t="s">
        <v>19</v>
      </c>
      <c r="C23" s="28" t="str">
        <f>[16]С6!F12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[16]С1.1!E16</f>
        <v>5100</v>
      </c>
    </row>
    <row r="29" spans="1:3" ht="42.75">
      <c r="A29" s="22" t="s">
        <v>10</v>
      </c>
      <c r="B29" s="33" t="s">
        <v>22</v>
      </c>
      <c r="C29" s="34">
        <f>[16]С1.1!E27</f>
        <v>2625.541666666667</v>
      </c>
    </row>
    <row r="30" spans="1:3" ht="17.25">
      <c r="A30" s="22" t="s">
        <v>12</v>
      </c>
      <c r="B30" s="33" t="s">
        <v>23</v>
      </c>
      <c r="C30" s="35">
        <f>[16]С1.1!E19</f>
        <v>0.59499999999999997</v>
      </c>
    </row>
    <row r="31" spans="1:3" ht="17.25">
      <c r="A31" s="22" t="s">
        <v>14</v>
      </c>
      <c r="B31" s="33" t="s">
        <v>24</v>
      </c>
      <c r="C31" s="35">
        <f>[16]С1.1!E20</f>
        <v>-0.113</v>
      </c>
    </row>
    <row r="32" spans="1:3" ht="30">
      <c r="A32" s="22" t="s">
        <v>16</v>
      </c>
      <c r="B32" s="36" t="s">
        <v>25</v>
      </c>
      <c r="C32" s="37">
        <f>[16]С1!F13</f>
        <v>176.4</v>
      </c>
    </row>
    <row r="33" spans="1:3">
      <c r="A33" s="22" t="s">
        <v>18</v>
      </c>
      <c r="B33" s="36" t="s">
        <v>26</v>
      </c>
      <c r="C33" s="38">
        <f>[16]С1!F16</f>
        <v>7000</v>
      </c>
    </row>
    <row r="34" spans="1:3" ht="14.25">
      <c r="A34" s="22" t="s">
        <v>27</v>
      </c>
      <c r="B34" s="39" t="s">
        <v>28</v>
      </c>
      <c r="C34" s="40">
        <f>[16]С1!F17</f>
        <v>0.72857142857142854</v>
      </c>
    </row>
    <row r="35" spans="1:3" ht="15.75">
      <c r="A35" s="41" t="s">
        <v>29</v>
      </c>
      <c r="B35" s="42" t="s">
        <v>30</v>
      </c>
      <c r="C35" s="40">
        <f>[16]С1!F20</f>
        <v>21.588411179999994</v>
      </c>
    </row>
    <row r="36" spans="1:3" ht="15.75">
      <c r="A36" s="41" t="s">
        <v>31</v>
      </c>
      <c r="B36" s="43" t="s">
        <v>32</v>
      </c>
      <c r="C36" s="40">
        <f>[16]С1!F21</f>
        <v>20.818139999999996</v>
      </c>
    </row>
    <row r="37" spans="1:3" ht="14.25">
      <c r="A37" s="41" t="s">
        <v>33</v>
      </c>
      <c r="B37" s="44" t="s">
        <v>34</v>
      </c>
      <c r="C37" s="40">
        <f>[16]С1!F22</f>
        <v>1.0369999999999999</v>
      </c>
    </row>
    <row r="38" spans="1:3" ht="53.25" thickBot="1">
      <c r="A38" s="27" t="s">
        <v>35</v>
      </c>
      <c r="B38" s="45" t="s">
        <v>36</v>
      </c>
      <c r="C38" s="46">
        <f>[16]С1!F23</f>
        <v>1.0469999999999999</v>
      </c>
    </row>
    <row r="39" spans="1:3" ht="13.5" thickBot="1">
      <c r="A39" s="47"/>
      <c r="B39" s="48"/>
      <c r="C39" s="49"/>
    </row>
    <row r="40" spans="1:3" ht="30" customHeight="1">
      <c r="A40" s="50" t="s">
        <v>37</v>
      </c>
      <c r="B40" s="118" t="s">
        <v>38</v>
      </c>
      <c r="C40" s="118"/>
    </row>
    <row r="41" spans="1:3" ht="25.5">
      <c r="A41" s="22" t="s">
        <v>39</v>
      </c>
      <c r="B41" s="36" t="s">
        <v>40</v>
      </c>
      <c r="C41" s="51" t="str">
        <f>[16]С2.1!E12</f>
        <v>V</v>
      </c>
    </row>
    <row r="42" spans="1:3" ht="25.5">
      <c r="A42" s="22" t="s">
        <v>41</v>
      </c>
      <c r="B42" s="33" t="s">
        <v>42</v>
      </c>
      <c r="C42" s="51" t="str">
        <f>[16]С2.1!E13</f>
        <v>6 и менее баллов</v>
      </c>
    </row>
    <row r="43" spans="1:3" ht="25.5">
      <c r="A43" s="22" t="s">
        <v>43</v>
      </c>
      <c r="B43" s="33" t="s">
        <v>44</v>
      </c>
      <c r="C43" s="51" t="str">
        <f>[16]С2.1!E14</f>
        <v>от 200 до 500</v>
      </c>
    </row>
    <row r="44" spans="1:3" ht="25.5">
      <c r="A44" s="22" t="s">
        <v>45</v>
      </c>
      <c r="B44" s="33" t="s">
        <v>46</v>
      </c>
      <c r="C44" s="52" t="str">
        <f>[16]С2.1!E15</f>
        <v>нет</v>
      </c>
    </row>
    <row r="45" spans="1:3" ht="30">
      <c r="A45" s="22" t="s">
        <v>47</v>
      </c>
      <c r="B45" s="33" t="s">
        <v>48</v>
      </c>
      <c r="C45" s="34">
        <f>[16]С2!F18</f>
        <v>32402.627334033532</v>
      </c>
    </row>
    <row r="46" spans="1:3" ht="30">
      <c r="A46" s="22" t="s">
        <v>49</v>
      </c>
      <c r="B46" s="53" t="s">
        <v>50</v>
      </c>
      <c r="C46" s="34">
        <f>IF([16]С2!F19&gt;0,[16]С2!F19,[16]С2!F20)</f>
        <v>23441.524932855718</v>
      </c>
    </row>
    <row r="47" spans="1:3" ht="25.5">
      <c r="A47" s="22" t="s">
        <v>51</v>
      </c>
      <c r="B47" s="54" t="s">
        <v>52</v>
      </c>
      <c r="C47" s="34">
        <f>[16]С2.1!E19</f>
        <v>-38</v>
      </c>
    </row>
    <row r="48" spans="1:3" ht="25.5">
      <c r="A48" s="22" t="s">
        <v>53</v>
      </c>
      <c r="B48" s="54" t="s">
        <v>54</v>
      </c>
      <c r="C48" s="34" t="str">
        <f>[16]С2.1!E22</f>
        <v>нет</v>
      </c>
    </row>
    <row r="49" spans="1:3" ht="38.25">
      <c r="A49" s="22" t="s">
        <v>55</v>
      </c>
      <c r="B49" s="55" t="s">
        <v>56</v>
      </c>
      <c r="C49" s="34">
        <f>[16]С2.2!E10</f>
        <v>1287</v>
      </c>
    </row>
    <row r="50" spans="1:3" ht="25.5">
      <c r="A50" s="22" t="s">
        <v>57</v>
      </c>
      <c r="B50" s="56" t="s">
        <v>58</v>
      </c>
      <c r="C50" s="34">
        <f>[16]С2.2!E12</f>
        <v>5.97</v>
      </c>
    </row>
    <row r="51" spans="1:3" ht="52.5">
      <c r="A51" s="22" t="s">
        <v>59</v>
      </c>
      <c r="B51" s="57" t="s">
        <v>60</v>
      </c>
      <c r="C51" s="34">
        <f>[16]С2.2!E13</f>
        <v>1</v>
      </c>
    </row>
    <row r="52" spans="1:3" ht="27.75">
      <c r="A52" s="22" t="s">
        <v>61</v>
      </c>
      <c r="B52" s="56" t="s">
        <v>62</v>
      </c>
      <c r="C52" s="34">
        <f>[16]С2.2!E14</f>
        <v>12104</v>
      </c>
    </row>
    <row r="53" spans="1:3" ht="25.5">
      <c r="A53" s="22" t="s">
        <v>63</v>
      </c>
      <c r="B53" s="57" t="s">
        <v>64</v>
      </c>
      <c r="C53" s="35">
        <f>[16]С2.2!E15</f>
        <v>4.8000000000000001E-2</v>
      </c>
    </row>
    <row r="54" spans="1:3">
      <c r="A54" s="22" t="s">
        <v>65</v>
      </c>
      <c r="B54" s="57" t="s">
        <v>66</v>
      </c>
      <c r="C54" s="34">
        <f>[16]С2.2!E16</f>
        <v>1</v>
      </c>
    </row>
    <row r="55" spans="1:3" ht="15.75">
      <c r="A55" s="22" t="s">
        <v>67</v>
      </c>
      <c r="B55" s="58" t="s">
        <v>68</v>
      </c>
      <c r="C55" s="34">
        <f>[16]С2!F21</f>
        <v>1</v>
      </c>
    </row>
    <row r="56" spans="1:3" ht="30">
      <c r="A56" s="59" t="s">
        <v>69</v>
      </c>
      <c r="B56" s="33" t="s">
        <v>70</v>
      </c>
      <c r="C56" s="34">
        <f>[16]С2!F13</f>
        <v>169640.22915965237</v>
      </c>
    </row>
    <row r="57" spans="1:3" ht="30">
      <c r="A57" s="59" t="s">
        <v>71</v>
      </c>
      <c r="B57" s="58" t="s">
        <v>72</v>
      </c>
      <c r="C57" s="34">
        <f>[16]С2!F14</f>
        <v>113455</v>
      </c>
    </row>
    <row r="58" spans="1:3" ht="15.75">
      <c r="A58" s="59" t="s">
        <v>73</v>
      </c>
      <c r="B58" s="60" t="s">
        <v>74</v>
      </c>
      <c r="C58" s="40">
        <f>[16]С2!F15</f>
        <v>1.071</v>
      </c>
    </row>
    <row r="59" spans="1:3" ht="15.75">
      <c r="A59" s="59" t="s">
        <v>75</v>
      </c>
      <c r="B59" s="60" t="s">
        <v>76</v>
      </c>
      <c r="C59" s="40">
        <f>[16]С2!F16</f>
        <v>1</v>
      </c>
    </row>
    <row r="60" spans="1:3" ht="17.25">
      <c r="A60" s="59" t="s">
        <v>77</v>
      </c>
      <c r="B60" s="58" t="s">
        <v>78</v>
      </c>
      <c r="C60" s="34">
        <f>[16]С2!F17</f>
        <v>1.01</v>
      </c>
    </row>
    <row r="61" spans="1:3" s="63" customFormat="1" ht="14.25">
      <c r="A61" s="59" t="s">
        <v>79</v>
      </c>
      <c r="B61" s="61" t="s">
        <v>80</v>
      </c>
      <c r="C61" s="62">
        <f>[16]С2!F33</f>
        <v>10</v>
      </c>
    </row>
    <row r="62" spans="1:3" ht="30">
      <c r="A62" s="59" t="s">
        <v>81</v>
      </c>
      <c r="B62" s="64" t="s">
        <v>82</v>
      </c>
      <c r="C62" s="34">
        <f>[16]С2!F26</f>
        <v>1012.1091133444331</v>
      </c>
    </row>
    <row r="63" spans="1:3" ht="17.25">
      <c r="A63" s="59" t="s">
        <v>83</v>
      </c>
      <c r="B63" s="53" t="s">
        <v>84</v>
      </c>
      <c r="C63" s="34">
        <f>[16]С2!F27</f>
        <v>0.17433463600000002</v>
      </c>
    </row>
    <row r="64" spans="1:3" ht="17.25">
      <c r="A64" s="59" t="s">
        <v>85</v>
      </c>
      <c r="B64" s="58" t="s">
        <v>86</v>
      </c>
      <c r="C64" s="62">
        <f>[16]С2!F28</f>
        <v>4200</v>
      </c>
    </row>
    <row r="65" spans="1:3" ht="42.75">
      <c r="A65" s="59" t="s">
        <v>87</v>
      </c>
      <c r="B65" s="33" t="s">
        <v>88</v>
      </c>
      <c r="C65" s="34">
        <f>[16]С2!F22</f>
        <v>35717.748653137714</v>
      </c>
    </row>
    <row r="66" spans="1:3" ht="30">
      <c r="A66" s="59" t="s">
        <v>89</v>
      </c>
      <c r="B66" s="60" t="s">
        <v>90</v>
      </c>
      <c r="C66" s="34">
        <f>[16]С2!F23</f>
        <v>1990</v>
      </c>
    </row>
    <row r="67" spans="1:3" ht="30">
      <c r="A67" s="59" t="s">
        <v>91</v>
      </c>
      <c r="B67" s="53" t="s">
        <v>92</v>
      </c>
      <c r="C67" s="34">
        <f>[16]С2.1!E27</f>
        <v>14307.876789999998</v>
      </c>
    </row>
    <row r="68" spans="1:3" ht="38.25">
      <c r="A68" s="59" t="s">
        <v>93</v>
      </c>
      <c r="B68" s="65" t="s">
        <v>94</v>
      </c>
      <c r="C68" s="52">
        <f>[16]С2.3!E21</f>
        <v>0</v>
      </c>
    </row>
    <row r="69" spans="1:3" ht="25.5">
      <c r="A69" s="59" t="s">
        <v>95</v>
      </c>
      <c r="B69" s="66" t="s">
        <v>96</v>
      </c>
      <c r="C69" s="67">
        <f>[16]С2.3!E11</f>
        <v>9.89</v>
      </c>
    </row>
    <row r="70" spans="1:3" ht="25.5">
      <c r="A70" s="59" t="s">
        <v>97</v>
      </c>
      <c r="B70" s="66" t="s">
        <v>98</v>
      </c>
      <c r="C70" s="62">
        <f>[16]С2.3!E13</f>
        <v>300</v>
      </c>
    </row>
    <row r="71" spans="1:3" ht="25.5">
      <c r="A71" s="59" t="s">
        <v>99</v>
      </c>
      <c r="B71" s="65" t="s">
        <v>100</v>
      </c>
      <c r="C71" s="68">
        <f>IF([16]С2.3!E22&gt;0,[16]С2.3!E22,[16]С2.3!E14)</f>
        <v>61211</v>
      </c>
    </row>
    <row r="72" spans="1:3" ht="38.25">
      <c r="A72" s="59" t="s">
        <v>101</v>
      </c>
      <c r="B72" s="65" t="s">
        <v>102</v>
      </c>
      <c r="C72" s="68">
        <f>IF([16]С2.3!E23&gt;0,[16]С2.3!E23,[16]С2.3!E15)</f>
        <v>45675</v>
      </c>
    </row>
    <row r="73" spans="1:3" ht="30">
      <c r="A73" s="59" t="s">
        <v>103</v>
      </c>
      <c r="B73" s="53" t="s">
        <v>104</v>
      </c>
      <c r="C73" s="34">
        <f>[16]С2.1!E28</f>
        <v>9541.9567200000001</v>
      </c>
    </row>
    <row r="74" spans="1:3" ht="38.25">
      <c r="A74" s="59" t="s">
        <v>105</v>
      </c>
      <c r="B74" s="65" t="s">
        <v>106</v>
      </c>
      <c r="C74" s="52">
        <f>[16]С2.3!E25</f>
        <v>0</v>
      </c>
    </row>
    <row r="75" spans="1:3" ht="25.5">
      <c r="A75" s="59" t="s">
        <v>107</v>
      </c>
      <c r="B75" s="66" t="s">
        <v>108</v>
      </c>
      <c r="C75" s="67">
        <f>[16]С2.3!E12</f>
        <v>0.56000000000000005</v>
      </c>
    </row>
    <row r="76" spans="1:3" ht="25.5">
      <c r="A76" s="59" t="s">
        <v>109</v>
      </c>
      <c r="B76" s="66" t="s">
        <v>98</v>
      </c>
      <c r="C76" s="62">
        <f>[16]С2.3!E13</f>
        <v>300</v>
      </c>
    </row>
    <row r="77" spans="1:3" ht="25.5">
      <c r="A77" s="59" t="s">
        <v>110</v>
      </c>
      <c r="B77" s="69" t="s">
        <v>111</v>
      </c>
      <c r="C77" s="68">
        <f>IF([16]С2.3!E26&gt;0,[16]С2.3!E26,[16]С2.3!E16)</f>
        <v>65637</v>
      </c>
    </row>
    <row r="78" spans="1:3" ht="38.25">
      <c r="A78" s="59" t="s">
        <v>112</v>
      </c>
      <c r="B78" s="69" t="s">
        <v>113</v>
      </c>
      <c r="C78" s="68">
        <f>IF([16]С2.3!E27&gt;0,[16]С2.3!E27,[16]С2.3!E17)</f>
        <v>31684</v>
      </c>
    </row>
    <row r="79" spans="1:3" ht="17.25">
      <c r="A79" s="59" t="s">
        <v>114</v>
      </c>
      <c r="B79" s="33" t="s">
        <v>115</v>
      </c>
      <c r="C79" s="35">
        <f>[16]С2!F29</f>
        <v>0.128978033685065</v>
      </c>
    </row>
    <row r="80" spans="1:3" ht="30">
      <c r="A80" s="59" t="s">
        <v>116</v>
      </c>
      <c r="B80" s="53" t="s">
        <v>117</v>
      </c>
      <c r="C80" s="70">
        <f>[16]С2!F30</f>
        <v>0.11668498168498169</v>
      </c>
    </row>
    <row r="81" spans="1:3" ht="17.25">
      <c r="A81" s="59" t="s">
        <v>118</v>
      </c>
      <c r="B81" s="71" t="s">
        <v>119</v>
      </c>
      <c r="C81" s="35">
        <f>[16]С2!F31</f>
        <v>0.13880000000000001</v>
      </c>
    </row>
    <row r="82" spans="1:3" s="63" customFormat="1" ht="18" thickBot="1">
      <c r="A82" s="72" t="s">
        <v>120</v>
      </c>
      <c r="B82" s="73" t="s">
        <v>121</v>
      </c>
      <c r="C82" s="74">
        <f>[16]С2!F32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[16]С3!F14</f>
        <v>6993.2576401328561</v>
      </c>
    </row>
    <row r="86" spans="1:3" s="63" customFormat="1" ht="42.75">
      <c r="A86" s="77" t="s">
        <v>126</v>
      </c>
      <c r="B86" s="53" t="s">
        <v>127</v>
      </c>
      <c r="C86" s="78">
        <f>[16]С3!F15</f>
        <v>0.2</v>
      </c>
    </row>
    <row r="87" spans="1:3" s="63" customFormat="1" ht="14.25">
      <c r="A87" s="77" t="s">
        <v>128</v>
      </c>
      <c r="B87" s="79" t="s">
        <v>129</v>
      </c>
      <c r="C87" s="62">
        <f>[16]С3!F18</f>
        <v>15</v>
      </c>
    </row>
    <row r="88" spans="1:3" s="63" customFormat="1" ht="17.25">
      <c r="A88" s="77" t="s">
        <v>130</v>
      </c>
      <c r="B88" s="33" t="s">
        <v>131</v>
      </c>
      <c r="C88" s="34">
        <f>[16]С3!F19</f>
        <v>3487.1555421534131</v>
      </c>
    </row>
    <row r="89" spans="1:3" s="63" customFormat="1" ht="55.5">
      <c r="A89" s="77" t="s">
        <v>132</v>
      </c>
      <c r="B89" s="53" t="s">
        <v>133</v>
      </c>
      <c r="C89" s="80">
        <f>[16]С3!F20</f>
        <v>2.1999999999999999E-2</v>
      </c>
    </row>
    <row r="90" spans="1:3" s="63" customFormat="1" ht="14.25">
      <c r="A90" s="77" t="s">
        <v>134</v>
      </c>
      <c r="B90" s="58" t="s">
        <v>80</v>
      </c>
      <c r="C90" s="62">
        <f>[16]С3!F21</f>
        <v>10</v>
      </c>
    </row>
    <row r="91" spans="1:3" s="63" customFormat="1" ht="17.25">
      <c r="A91" s="77" t="s">
        <v>135</v>
      </c>
      <c r="B91" s="33" t="s">
        <v>136</v>
      </c>
      <c r="C91" s="34">
        <f>[16]С3!F22</f>
        <v>3.0363273400332993</v>
      </c>
    </row>
    <row r="92" spans="1:3" s="63" customFormat="1" ht="55.5">
      <c r="A92" s="77" t="s">
        <v>137</v>
      </c>
      <c r="B92" s="53" t="s">
        <v>138</v>
      </c>
      <c r="C92" s="80">
        <f>[16]С3!F23</f>
        <v>3.0000000000000001E-3</v>
      </c>
    </row>
    <row r="93" spans="1:3" s="63" customFormat="1" ht="27.75" thickBot="1">
      <c r="A93" s="81" t="s">
        <v>139</v>
      </c>
      <c r="B93" s="82" t="s">
        <v>140</v>
      </c>
      <c r="C93" s="83">
        <f>[16]С3!F24</f>
        <v>1012.1091133444331</v>
      </c>
    </row>
    <row r="94" spans="1:3" ht="13.5" thickBot="1">
      <c r="A94" s="47"/>
      <c r="B94" s="75"/>
      <c r="C94" s="15"/>
    </row>
    <row r="95" spans="1:3" ht="30" customHeight="1">
      <c r="A95" s="84" t="s">
        <v>141</v>
      </c>
      <c r="B95" s="118" t="s">
        <v>142</v>
      </c>
      <c r="C95" s="118"/>
    </row>
    <row r="96" spans="1:3" ht="30">
      <c r="A96" s="59" t="s">
        <v>143</v>
      </c>
      <c r="B96" s="33" t="s">
        <v>144</v>
      </c>
      <c r="C96" s="34">
        <f>[16]С4!F16</f>
        <v>1652.5</v>
      </c>
    </row>
    <row r="97" spans="1:3" ht="30">
      <c r="A97" s="59" t="s">
        <v>145</v>
      </c>
      <c r="B97" s="58" t="s">
        <v>146</v>
      </c>
      <c r="C97" s="34">
        <f>[16]С4!F17</f>
        <v>73547</v>
      </c>
    </row>
    <row r="98" spans="1:3" ht="17.25">
      <c r="A98" s="59" t="s">
        <v>147</v>
      </c>
      <c r="B98" s="58" t="s">
        <v>148</v>
      </c>
      <c r="C98" s="40">
        <f>[16]С4!F18</f>
        <v>0.02</v>
      </c>
    </row>
    <row r="99" spans="1:3" ht="30">
      <c r="A99" s="59" t="s">
        <v>149</v>
      </c>
      <c r="B99" s="58" t="s">
        <v>150</v>
      </c>
      <c r="C99" s="34">
        <f>[16]С4!F19</f>
        <v>12104</v>
      </c>
    </row>
    <row r="100" spans="1:3" ht="31.5">
      <c r="A100" s="59" t="s">
        <v>151</v>
      </c>
      <c r="B100" s="58" t="s">
        <v>152</v>
      </c>
      <c r="C100" s="40">
        <f>[16]С4!F20</f>
        <v>1.4999999999999999E-2</v>
      </c>
    </row>
    <row r="101" spans="1:3" ht="30">
      <c r="A101" s="59" t="s">
        <v>153</v>
      </c>
      <c r="B101" s="33" t="s">
        <v>154</v>
      </c>
      <c r="C101" s="34">
        <f>[16]С4!F21</f>
        <v>1933.1949342509995</v>
      </c>
    </row>
    <row r="102" spans="1:3" ht="24" customHeight="1">
      <c r="A102" s="59" t="s">
        <v>155</v>
      </c>
      <c r="B102" s="53" t="s">
        <v>156</v>
      </c>
      <c r="C102" s="85">
        <f>IF([16]С4.2!F8="да",[16]С4.2!D21,[16]С4.2!D15)</f>
        <v>0</v>
      </c>
    </row>
    <row r="103" spans="1:3" ht="68.25">
      <c r="A103" s="59" t="s">
        <v>157</v>
      </c>
      <c r="B103" s="53" t="s">
        <v>158</v>
      </c>
      <c r="C103" s="34">
        <f>[16]С4!F22</f>
        <v>3.6112641666666665</v>
      </c>
    </row>
    <row r="104" spans="1:3" ht="30">
      <c r="A104" s="59" t="s">
        <v>159</v>
      </c>
      <c r="B104" s="58" t="s">
        <v>160</v>
      </c>
      <c r="C104" s="34">
        <f>[16]С4!F23</f>
        <v>180</v>
      </c>
    </row>
    <row r="105" spans="1:3" ht="14.25">
      <c r="A105" s="59" t="s">
        <v>161</v>
      </c>
      <c r="B105" s="53" t="s">
        <v>162</v>
      </c>
      <c r="C105" s="34">
        <f>[16]С4!F24</f>
        <v>8497.1999999999989</v>
      </c>
    </row>
    <row r="106" spans="1:3" ht="14.25">
      <c r="A106" s="59" t="s">
        <v>163</v>
      </c>
      <c r="B106" s="58" t="s">
        <v>164</v>
      </c>
      <c r="C106" s="40">
        <f>[16]С4!F25</f>
        <v>0.35</v>
      </c>
    </row>
    <row r="107" spans="1:3" ht="17.25">
      <c r="A107" s="59" t="s">
        <v>165</v>
      </c>
      <c r="B107" s="33" t="s">
        <v>166</v>
      </c>
      <c r="C107" s="34">
        <f>[16]С4!F26</f>
        <v>55.930020000000006</v>
      </c>
    </row>
    <row r="108" spans="1:3" ht="25.5">
      <c r="A108" s="59" t="s">
        <v>167</v>
      </c>
      <c r="B108" s="53" t="s">
        <v>94</v>
      </c>
      <c r="C108" s="85">
        <f>[16]С4.3!E16</f>
        <v>0</v>
      </c>
    </row>
    <row r="109" spans="1:3" ht="25.5">
      <c r="A109" s="59" t="s">
        <v>168</v>
      </c>
      <c r="B109" s="53" t="s">
        <v>169</v>
      </c>
      <c r="C109" s="34">
        <f>[16]С4.3!E17</f>
        <v>14.42</v>
      </c>
    </row>
    <row r="110" spans="1:3" ht="38.25">
      <c r="A110" s="59" t="s">
        <v>170</v>
      </c>
      <c r="B110" s="53" t="s">
        <v>106</v>
      </c>
      <c r="C110" s="85">
        <f>[16]С4.3!E18</f>
        <v>0</v>
      </c>
    </row>
    <row r="111" spans="1:3">
      <c r="A111" s="59" t="s">
        <v>171</v>
      </c>
      <c r="B111" s="53" t="s">
        <v>172</v>
      </c>
      <c r="C111" s="34">
        <f>[16]С4.3!E19</f>
        <v>26.27</v>
      </c>
    </row>
    <row r="112" spans="1:3">
      <c r="A112" s="59" t="s">
        <v>173</v>
      </c>
      <c r="B112" s="58" t="s">
        <v>174</v>
      </c>
      <c r="C112" s="34">
        <f>[16]С4.3!E11</f>
        <v>1871</v>
      </c>
    </row>
    <row r="113" spans="1:3">
      <c r="A113" s="59" t="s">
        <v>175</v>
      </c>
      <c r="B113" s="58" t="s">
        <v>176</v>
      </c>
      <c r="C113" s="52">
        <f>[16]С4.3!E12</f>
        <v>1636</v>
      </c>
    </row>
    <row r="114" spans="1:3">
      <c r="A114" s="59" t="s">
        <v>177</v>
      </c>
      <c r="B114" s="58" t="s">
        <v>178</v>
      </c>
      <c r="C114" s="52">
        <f>[16]С4.3!E13</f>
        <v>204</v>
      </c>
    </row>
    <row r="115" spans="1:3" ht="30">
      <c r="A115" s="59" t="s">
        <v>179</v>
      </c>
      <c r="B115" s="33" t="s">
        <v>180</v>
      </c>
      <c r="C115" s="34">
        <f>[16]С4!F27</f>
        <v>1040.8858115370676</v>
      </c>
    </row>
    <row r="116" spans="1:3" ht="25.5">
      <c r="A116" s="59" t="s">
        <v>181</v>
      </c>
      <c r="B116" s="53" t="s">
        <v>182</v>
      </c>
      <c r="C116" s="34">
        <f>[16]С4!F28</f>
        <v>799.45146815442979</v>
      </c>
    </row>
    <row r="117" spans="1:3" ht="42.75">
      <c r="A117" s="59" t="s">
        <v>183</v>
      </c>
      <c r="B117" s="53" t="s">
        <v>184</v>
      </c>
      <c r="C117" s="34">
        <f>[16]С4!F29</f>
        <v>241.43434338263785</v>
      </c>
    </row>
    <row r="118" spans="1:3" ht="30">
      <c r="A118" s="59" t="s">
        <v>185</v>
      </c>
      <c r="B118" s="39" t="s">
        <v>186</v>
      </c>
      <c r="C118" s="34">
        <f>[16]С4!F30</f>
        <v>2154.1964352974105</v>
      </c>
    </row>
    <row r="119" spans="1:3" ht="42.75">
      <c r="A119" s="59" t="s">
        <v>187</v>
      </c>
      <c r="B119" s="86" t="s">
        <v>188</v>
      </c>
      <c r="C119" s="34">
        <f>[16]С4!F33</f>
        <v>1440.0084711309028</v>
      </c>
    </row>
    <row r="120" spans="1:3" ht="30">
      <c r="A120" s="59" t="s">
        <v>189</v>
      </c>
      <c r="B120" s="87" t="s">
        <v>190</v>
      </c>
      <c r="C120" s="34">
        <f>[16]С4!F35</f>
        <v>17.040680999999999</v>
      </c>
    </row>
    <row r="121" spans="1:3" ht="14.25">
      <c r="A121" s="59" t="s">
        <v>191</v>
      </c>
      <c r="B121" s="56" t="s">
        <v>192</v>
      </c>
      <c r="C121" s="34">
        <f>[16]С4!F36</f>
        <v>14319.9</v>
      </c>
    </row>
    <row r="122" spans="1:3" ht="28.5" thickBot="1">
      <c r="A122" s="72" t="s">
        <v>193</v>
      </c>
      <c r="B122" s="88" t="s">
        <v>194</v>
      </c>
      <c r="C122" s="83">
        <f>[16]С4!F37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[16]С5!F17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[16]С2!F37</f>
        <v>20.818139999999996</v>
      </c>
    </row>
    <row r="136" spans="1:4" ht="14.25">
      <c r="A136" s="59" t="s">
        <v>216</v>
      </c>
      <c r="B136" s="101" t="s">
        <v>217</v>
      </c>
      <c r="C136" s="34">
        <f>[16]С2!F38</f>
        <v>7</v>
      </c>
    </row>
    <row r="137" spans="1:4" ht="17.25">
      <c r="A137" s="59" t="s">
        <v>218</v>
      </c>
      <c r="B137" s="101" t="s">
        <v>219</v>
      </c>
      <c r="C137" s="34">
        <f>[16]С2!F40</f>
        <v>0.97</v>
      </c>
    </row>
    <row r="138" spans="1:4" ht="15" thickBot="1">
      <c r="A138" s="72" t="s">
        <v>220</v>
      </c>
      <c r="B138" s="102" t="s">
        <v>221</v>
      </c>
      <c r="C138" s="46">
        <f>[16]С2!F42</f>
        <v>0.35</v>
      </c>
    </row>
    <row r="139" spans="1:4" s="89" customFormat="1" ht="13.5" thickBot="1">
      <c r="A139" s="47"/>
      <c r="B139" s="75"/>
      <c r="C139" s="15"/>
    </row>
    <row r="140" spans="1:4" ht="30">
      <c r="A140" s="84" t="s">
        <v>222</v>
      </c>
      <c r="B140" s="103" t="s">
        <v>223</v>
      </c>
      <c r="C140" s="104">
        <f>[16]С2!F35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[16]С2.5!$E$11</f>
        <v>-2.9000000000000026E-2</v>
      </c>
      <c r="D143" s="89"/>
    </row>
    <row r="144" spans="1:4">
      <c r="A144" s="105"/>
      <c r="B144" s="110">
        <f>B143+1</f>
        <v>2021</v>
      </c>
      <c r="C144" s="111">
        <f>[16]С2.5!$F$11</f>
        <v>0.245</v>
      </c>
      <c r="D144" s="89"/>
    </row>
    <row r="145" spans="1:4">
      <c r="A145" s="105"/>
      <c r="B145" s="110">
        <f t="shared" ref="B145:B208" si="0">B144+1</f>
        <v>2022</v>
      </c>
      <c r="C145" s="111">
        <f>[16]С2.5!$G$11</f>
        <v>0.121</v>
      </c>
      <c r="D145" s="89"/>
    </row>
    <row r="146" spans="1:4" ht="13.5" thickBot="1">
      <c r="A146" s="105"/>
      <c r="B146" s="112">
        <f t="shared" si="0"/>
        <v>2023</v>
      </c>
      <c r="C146" s="113">
        <f>[16]С2.5!$H$11</f>
        <v>0.02</v>
      </c>
      <c r="D146" s="89"/>
    </row>
    <row r="147" spans="1:4" hidden="1">
      <c r="A147" s="105"/>
      <c r="B147" s="114">
        <f t="shared" si="0"/>
        <v>2024</v>
      </c>
      <c r="C147" s="115">
        <f>[16]С2.5!$I$11</f>
        <v>-2.93E-2</v>
      </c>
      <c r="D147" s="89"/>
    </row>
    <row r="148" spans="1:4" hidden="1">
      <c r="A148" s="105"/>
      <c r="B148" s="110">
        <f t="shared" si="0"/>
        <v>2025</v>
      </c>
      <c r="C148" s="111">
        <f>[16]С2.5!$J$11</f>
        <v>0.21215960863291</v>
      </c>
      <c r="D148" s="89"/>
    </row>
    <row r="149" spans="1:4" hidden="1">
      <c r="A149" s="105"/>
      <c r="B149" s="110">
        <f t="shared" si="0"/>
        <v>2026</v>
      </c>
      <c r="C149" s="111">
        <f>[16]С2.5!$K$11</f>
        <v>3.5813361771260002E-2</v>
      </c>
      <c r="D149" s="89"/>
    </row>
    <row r="150" spans="1:4" hidden="1">
      <c r="A150" s="105"/>
      <c r="B150" s="110">
        <f t="shared" si="0"/>
        <v>2027</v>
      </c>
      <c r="C150" s="111">
        <f>[16]С2.5!$L$11</f>
        <v>3.2682303599220003E-2</v>
      </c>
      <c r="D150" s="89"/>
    </row>
    <row r="151" spans="1:4" hidden="1">
      <c r="A151" s="105"/>
      <c r="B151" s="110">
        <f t="shared" si="0"/>
        <v>2028</v>
      </c>
      <c r="C151" s="111">
        <f>[16]С2.5!$M$11</f>
        <v>0</v>
      </c>
      <c r="D151" s="89"/>
    </row>
    <row r="152" spans="1:4" hidden="1">
      <c r="A152" s="105"/>
      <c r="B152" s="110">
        <f t="shared" si="0"/>
        <v>2029</v>
      </c>
      <c r="C152" s="111">
        <f>[16]С2.5!$N$11</f>
        <v>0</v>
      </c>
      <c r="D152" s="89"/>
    </row>
    <row r="153" spans="1:4" hidden="1">
      <c r="A153" s="105"/>
      <c r="B153" s="110">
        <f t="shared" si="0"/>
        <v>2030</v>
      </c>
      <c r="C153" s="111">
        <f>[16]С2.5!$O$11</f>
        <v>0</v>
      </c>
      <c r="D153" s="89"/>
    </row>
    <row r="154" spans="1:4" hidden="1">
      <c r="A154" s="105"/>
      <c r="B154" s="110">
        <f t="shared" si="0"/>
        <v>2031</v>
      </c>
      <c r="C154" s="111">
        <f>[16]С2.5!$P$11</f>
        <v>0</v>
      </c>
      <c r="D154" s="89"/>
    </row>
    <row r="155" spans="1:4" hidden="1">
      <c r="A155" s="89"/>
      <c r="B155" s="110">
        <f t="shared" si="0"/>
        <v>2032</v>
      </c>
      <c r="C155" s="111">
        <f>[16]С2.5!$Q$11</f>
        <v>0</v>
      </c>
      <c r="D155" s="89"/>
    </row>
    <row r="156" spans="1:4" hidden="1">
      <c r="A156" s="89"/>
      <c r="B156" s="110">
        <f t="shared" si="0"/>
        <v>2033</v>
      </c>
      <c r="C156" s="111">
        <f>[16]С2.5!$R$11</f>
        <v>0</v>
      </c>
      <c r="D156" s="89"/>
    </row>
    <row r="157" spans="1:4" hidden="1">
      <c r="B157" s="110">
        <f t="shared" si="0"/>
        <v>2034</v>
      </c>
      <c r="C157" s="111">
        <f>[16]С2.5!$S$11</f>
        <v>0</v>
      </c>
    </row>
    <row r="158" spans="1:4" hidden="1">
      <c r="B158" s="110">
        <f t="shared" si="0"/>
        <v>2035</v>
      </c>
      <c r="C158" s="111">
        <f>[16]С2.5!$T$11</f>
        <v>0</v>
      </c>
    </row>
    <row r="159" spans="1:4" hidden="1">
      <c r="B159" s="110">
        <f t="shared" si="0"/>
        <v>2036</v>
      </c>
      <c r="C159" s="111">
        <f>[16]С2.5!$U$11</f>
        <v>0</v>
      </c>
    </row>
    <row r="160" spans="1:4" hidden="1">
      <c r="B160" s="110">
        <f t="shared" si="0"/>
        <v>2037</v>
      </c>
      <c r="C160" s="111">
        <f>[16]С2.5!$V$11</f>
        <v>0</v>
      </c>
    </row>
    <row r="161" spans="2:3" hidden="1">
      <c r="B161" s="110">
        <f t="shared" si="0"/>
        <v>2038</v>
      </c>
      <c r="C161" s="111">
        <f>[16]С2.5!$W$11</f>
        <v>0</v>
      </c>
    </row>
    <row r="162" spans="2:3" hidden="1">
      <c r="B162" s="110">
        <f t="shared" si="0"/>
        <v>2039</v>
      </c>
      <c r="C162" s="111">
        <f>[16]С2.5!$X$11</f>
        <v>0</v>
      </c>
    </row>
    <row r="163" spans="2:3" hidden="1">
      <c r="B163" s="110">
        <f t="shared" si="0"/>
        <v>2040</v>
      </c>
      <c r="C163" s="111">
        <f>[16]С2.5!$Y$11</f>
        <v>0</v>
      </c>
    </row>
    <row r="164" spans="2:3" hidden="1">
      <c r="B164" s="110">
        <f t="shared" si="0"/>
        <v>2041</v>
      </c>
      <c r="C164" s="111">
        <f>[16]С2.5!$Z$11</f>
        <v>0</v>
      </c>
    </row>
    <row r="165" spans="2:3" hidden="1">
      <c r="B165" s="110">
        <f t="shared" si="0"/>
        <v>2042</v>
      </c>
      <c r="C165" s="111">
        <f>[16]С2.5!$AA$11</f>
        <v>0</v>
      </c>
    </row>
    <row r="166" spans="2:3" hidden="1">
      <c r="B166" s="110">
        <f t="shared" si="0"/>
        <v>2043</v>
      </c>
      <c r="C166" s="111">
        <f>[16]С2.5!$AB$11</f>
        <v>0</v>
      </c>
    </row>
    <row r="167" spans="2:3" hidden="1">
      <c r="B167" s="110">
        <f t="shared" si="0"/>
        <v>2044</v>
      </c>
      <c r="C167" s="111">
        <f>[16]С2.5!$AC$11</f>
        <v>0</v>
      </c>
    </row>
    <row r="168" spans="2:3" hidden="1">
      <c r="B168" s="110">
        <f t="shared" si="0"/>
        <v>2045</v>
      </c>
      <c r="C168" s="111">
        <f>[16]С2.5!$AD$11</f>
        <v>0</v>
      </c>
    </row>
    <row r="169" spans="2:3" hidden="1">
      <c r="B169" s="110">
        <f t="shared" si="0"/>
        <v>2046</v>
      </c>
      <c r="C169" s="111">
        <f>[16]С2.5!$AE$11</f>
        <v>0</v>
      </c>
    </row>
    <row r="170" spans="2:3" hidden="1">
      <c r="B170" s="110">
        <f t="shared" si="0"/>
        <v>2047</v>
      </c>
      <c r="C170" s="111">
        <f>[16]С2.5!$AF$11</f>
        <v>0</v>
      </c>
    </row>
    <row r="171" spans="2:3" hidden="1">
      <c r="B171" s="110">
        <f t="shared" si="0"/>
        <v>2048</v>
      </c>
      <c r="C171" s="111">
        <f>[16]С2.5!$AG$11</f>
        <v>0</v>
      </c>
    </row>
    <row r="172" spans="2:3" hidden="1">
      <c r="B172" s="110">
        <f t="shared" si="0"/>
        <v>2049</v>
      </c>
      <c r="C172" s="111">
        <f>[16]С2.5!$AH$11</f>
        <v>0</v>
      </c>
    </row>
    <row r="173" spans="2:3" hidden="1">
      <c r="B173" s="110">
        <f t="shared" si="0"/>
        <v>2050</v>
      </c>
      <c r="C173" s="111">
        <f>[16]С2.5!$AI$11</f>
        <v>0</v>
      </c>
    </row>
    <row r="174" spans="2:3" hidden="1">
      <c r="B174" s="110">
        <f t="shared" si="0"/>
        <v>2051</v>
      </c>
      <c r="C174" s="111">
        <f>[16]С2.5!$AJ$11</f>
        <v>0</v>
      </c>
    </row>
    <row r="175" spans="2:3" hidden="1">
      <c r="B175" s="110">
        <f t="shared" si="0"/>
        <v>2052</v>
      </c>
      <c r="C175" s="111">
        <f>[16]С2.5!$AK$11</f>
        <v>0</v>
      </c>
    </row>
    <row r="176" spans="2:3" hidden="1">
      <c r="B176" s="110">
        <f t="shared" si="0"/>
        <v>2053</v>
      </c>
      <c r="C176" s="111">
        <f>[16]С2.5!$AL$11</f>
        <v>0</v>
      </c>
    </row>
    <row r="177" spans="2:3" hidden="1">
      <c r="B177" s="110">
        <f t="shared" si="0"/>
        <v>2054</v>
      </c>
      <c r="C177" s="111">
        <f>[16]С2.5!$AM$11</f>
        <v>0</v>
      </c>
    </row>
    <row r="178" spans="2:3" hidden="1">
      <c r="B178" s="110">
        <f t="shared" si="0"/>
        <v>2055</v>
      </c>
      <c r="C178" s="111">
        <f>[16]С2.5!$AN$11</f>
        <v>0</v>
      </c>
    </row>
    <row r="179" spans="2:3" hidden="1">
      <c r="B179" s="110">
        <f t="shared" si="0"/>
        <v>2056</v>
      </c>
      <c r="C179" s="111">
        <f>[16]С2.5!$AO$11</f>
        <v>0</v>
      </c>
    </row>
    <row r="180" spans="2:3" hidden="1">
      <c r="B180" s="110">
        <f t="shared" si="0"/>
        <v>2057</v>
      </c>
      <c r="C180" s="111">
        <f>[16]С2.5!$AP$11</f>
        <v>0</v>
      </c>
    </row>
    <row r="181" spans="2:3" hidden="1">
      <c r="B181" s="110">
        <f t="shared" si="0"/>
        <v>2058</v>
      </c>
      <c r="C181" s="111">
        <f>[16]С2.5!$AQ$11</f>
        <v>0</v>
      </c>
    </row>
    <row r="182" spans="2:3" hidden="1">
      <c r="B182" s="110">
        <f t="shared" si="0"/>
        <v>2059</v>
      </c>
      <c r="C182" s="111">
        <f>[16]С2.5!$AR$11</f>
        <v>0</v>
      </c>
    </row>
    <row r="183" spans="2:3" hidden="1">
      <c r="B183" s="110">
        <f t="shared" si="0"/>
        <v>2060</v>
      </c>
      <c r="C183" s="111">
        <f>[16]С2.5!$AS$11</f>
        <v>0</v>
      </c>
    </row>
    <row r="184" spans="2:3" hidden="1">
      <c r="B184" s="110">
        <f t="shared" si="0"/>
        <v>2061</v>
      </c>
      <c r="C184" s="111">
        <f>[16]С2.5!$AT$11</f>
        <v>0</v>
      </c>
    </row>
    <row r="185" spans="2:3" hidden="1">
      <c r="B185" s="110">
        <f t="shared" si="0"/>
        <v>2062</v>
      </c>
      <c r="C185" s="111">
        <f>[16]С2.5!$AU$11</f>
        <v>0</v>
      </c>
    </row>
    <row r="186" spans="2:3" hidden="1">
      <c r="B186" s="110">
        <f t="shared" si="0"/>
        <v>2063</v>
      </c>
      <c r="C186" s="111">
        <f>[16]С2.5!$AV$11</f>
        <v>0</v>
      </c>
    </row>
    <row r="187" spans="2:3" hidden="1">
      <c r="B187" s="110">
        <f t="shared" si="0"/>
        <v>2064</v>
      </c>
      <c r="C187" s="111">
        <f>[16]С2.5!$AW$11</f>
        <v>0</v>
      </c>
    </row>
    <row r="188" spans="2:3" hidden="1">
      <c r="B188" s="110">
        <f t="shared" si="0"/>
        <v>2065</v>
      </c>
      <c r="C188" s="111">
        <f>[16]С2.5!$AX$11</f>
        <v>0</v>
      </c>
    </row>
    <row r="189" spans="2:3" hidden="1">
      <c r="B189" s="110">
        <f t="shared" si="0"/>
        <v>2066</v>
      </c>
      <c r="C189" s="111">
        <f>[16]С2.5!$AY$11</f>
        <v>0</v>
      </c>
    </row>
    <row r="190" spans="2:3" hidden="1">
      <c r="B190" s="110">
        <f t="shared" si="0"/>
        <v>2067</v>
      </c>
      <c r="C190" s="111">
        <f>[16]С2.5!$AZ$11</f>
        <v>0</v>
      </c>
    </row>
    <row r="191" spans="2:3" hidden="1">
      <c r="B191" s="110">
        <f t="shared" si="0"/>
        <v>2068</v>
      </c>
      <c r="C191" s="111">
        <f>[16]С2.5!$BA$11</f>
        <v>0</v>
      </c>
    </row>
    <row r="192" spans="2:3" hidden="1">
      <c r="B192" s="110">
        <f t="shared" si="0"/>
        <v>2069</v>
      </c>
      <c r="C192" s="111">
        <f>[16]С2.5!$BB$11</f>
        <v>0</v>
      </c>
    </row>
    <row r="193" spans="2:3" hidden="1">
      <c r="B193" s="110">
        <f t="shared" si="0"/>
        <v>2070</v>
      </c>
      <c r="C193" s="111">
        <f>[16]С2.5!$BC$11</f>
        <v>0</v>
      </c>
    </row>
    <row r="194" spans="2:3" hidden="1">
      <c r="B194" s="110">
        <f t="shared" si="0"/>
        <v>2071</v>
      </c>
      <c r="C194" s="111">
        <f>[16]С2.5!$BD$11</f>
        <v>0</v>
      </c>
    </row>
    <row r="195" spans="2:3" hidden="1">
      <c r="B195" s="110">
        <f t="shared" si="0"/>
        <v>2072</v>
      </c>
      <c r="C195" s="111">
        <f>[16]С2.5!$BE$11</f>
        <v>0</v>
      </c>
    </row>
    <row r="196" spans="2:3" hidden="1">
      <c r="B196" s="110">
        <f t="shared" si="0"/>
        <v>2073</v>
      </c>
      <c r="C196" s="111">
        <f>[16]С2.5!$BF$11</f>
        <v>0</v>
      </c>
    </row>
    <row r="197" spans="2:3" hidden="1">
      <c r="B197" s="110">
        <f t="shared" si="0"/>
        <v>2074</v>
      </c>
      <c r="C197" s="111">
        <f>[16]С2.5!$BG$11</f>
        <v>0</v>
      </c>
    </row>
    <row r="198" spans="2:3" hidden="1">
      <c r="B198" s="110">
        <f t="shared" si="0"/>
        <v>2075</v>
      </c>
      <c r="C198" s="111">
        <f>[16]С2.5!$BH$11</f>
        <v>0</v>
      </c>
    </row>
    <row r="199" spans="2:3" hidden="1">
      <c r="B199" s="110">
        <f t="shared" si="0"/>
        <v>2076</v>
      </c>
      <c r="C199" s="111">
        <f>[16]С2.5!$BI$11</f>
        <v>0</v>
      </c>
    </row>
    <row r="200" spans="2:3" hidden="1">
      <c r="B200" s="110">
        <f t="shared" si="0"/>
        <v>2077</v>
      </c>
      <c r="C200" s="111">
        <f>[16]С2.5!$BJ$11</f>
        <v>0</v>
      </c>
    </row>
    <row r="201" spans="2:3" hidden="1">
      <c r="B201" s="110">
        <f t="shared" si="0"/>
        <v>2078</v>
      </c>
      <c r="C201" s="111">
        <f>[16]С2.5!$BK$11</f>
        <v>0</v>
      </c>
    </row>
    <row r="202" spans="2:3" hidden="1">
      <c r="B202" s="110">
        <f t="shared" si="0"/>
        <v>2079</v>
      </c>
      <c r="C202" s="111">
        <f>[16]С2.5!$BL$11</f>
        <v>0</v>
      </c>
    </row>
    <row r="203" spans="2:3" hidden="1">
      <c r="B203" s="110">
        <f t="shared" si="0"/>
        <v>2080</v>
      </c>
      <c r="C203" s="111">
        <f>[16]С2.5!$BM$11</f>
        <v>0</v>
      </c>
    </row>
    <row r="204" spans="2:3" hidden="1">
      <c r="B204" s="110">
        <f t="shared" si="0"/>
        <v>2081</v>
      </c>
      <c r="C204" s="111">
        <f>[16]С2.5!$BN$11</f>
        <v>0</v>
      </c>
    </row>
    <row r="205" spans="2:3" hidden="1">
      <c r="B205" s="110">
        <f t="shared" si="0"/>
        <v>2082</v>
      </c>
      <c r="C205" s="111">
        <f>[16]С2.5!$BO$11</f>
        <v>0</v>
      </c>
    </row>
    <row r="206" spans="2:3" hidden="1">
      <c r="B206" s="110">
        <f t="shared" si="0"/>
        <v>2083</v>
      </c>
      <c r="C206" s="111">
        <f>[16]С2.5!$BP$11</f>
        <v>0</v>
      </c>
    </row>
    <row r="207" spans="2:3" hidden="1">
      <c r="B207" s="110">
        <f t="shared" si="0"/>
        <v>2084</v>
      </c>
      <c r="C207" s="111">
        <f>[16]С2.5!$BQ$11</f>
        <v>0</v>
      </c>
    </row>
    <row r="208" spans="2:3" hidden="1">
      <c r="B208" s="110">
        <f t="shared" si="0"/>
        <v>2085</v>
      </c>
      <c r="C208" s="111">
        <f>[16]С2.5!$BR$11</f>
        <v>0</v>
      </c>
    </row>
    <row r="209" spans="2:3" hidden="1">
      <c r="B209" s="110">
        <f t="shared" ref="B209:B223" si="1">B208+1</f>
        <v>2086</v>
      </c>
      <c r="C209" s="111">
        <f>[16]С2.5!$BS$11</f>
        <v>0</v>
      </c>
    </row>
    <row r="210" spans="2:3" hidden="1">
      <c r="B210" s="110">
        <f t="shared" si="1"/>
        <v>2087</v>
      </c>
      <c r="C210" s="111">
        <f>[16]С2.5!$BT$11</f>
        <v>0</v>
      </c>
    </row>
    <row r="211" spans="2:3" hidden="1">
      <c r="B211" s="110">
        <f t="shared" si="1"/>
        <v>2088</v>
      </c>
      <c r="C211" s="111">
        <f>[16]С2.5!$BU$11</f>
        <v>0</v>
      </c>
    </row>
    <row r="212" spans="2:3" hidden="1">
      <c r="B212" s="110">
        <f t="shared" si="1"/>
        <v>2089</v>
      </c>
      <c r="C212" s="111">
        <f>[16]С2.5!$BV$11</f>
        <v>0</v>
      </c>
    </row>
    <row r="213" spans="2:3" hidden="1">
      <c r="B213" s="110">
        <f t="shared" si="1"/>
        <v>2090</v>
      </c>
      <c r="C213" s="111">
        <f>[16]С2.5!$BW$11</f>
        <v>0</v>
      </c>
    </row>
    <row r="214" spans="2:3" hidden="1">
      <c r="B214" s="110">
        <f t="shared" si="1"/>
        <v>2091</v>
      </c>
      <c r="C214" s="111">
        <f>[16]С2.5!$BX$11</f>
        <v>0</v>
      </c>
    </row>
    <row r="215" spans="2:3" hidden="1">
      <c r="B215" s="110">
        <f t="shared" si="1"/>
        <v>2092</v>
      </c>
      <c r="C215" s="111">
        <f>[16]С2.5!$BY$11</f>
        <v>0</v>
      </c>
    </row>
    <row r="216" spans="2:3" hidden="1">
      <c r="B216" s="110">
        <f t="shared" si="1"/>
        <v>2093</v>
      </c>
      <c r="C216" s="111">
        <f>[16]С2.5!$BZ$11</f>
        <v>0</v>
      </c>
    </row>
    <row r="217" spans="2:3" hidden="1">
      <c r="B217" s="110">
        <f t="shared" si="1"/>
        <v>2094</v>
      </c>
      <c r="C217" s="111">
        <f>[16]С2.5!$CA$11</f>
        <v>0</v>
      </c>
    </row>
    <row r="218" spans="2:3" hidden="1">
      <c r="B218" s="110">
        <f t="shared" si="1"/>
        <v>2095</v>
      </c>
      <c r="C218" s="111">
        <f>[16]С2.5!$CB$11</f>
        <v>0</v>
      </c>
    </row>
    <row r="219" spans="2:3" hidden="1">
      <c r="B219" s="110">
        <f t="shared" si="1"/>
        <v>2096</v>
      </c>
      <c r="C219" s="111">
        <f>[16]С2.5!$CC$11</f>
        <v>0</v>
      </c>
    </row>
    <row r="220" spans="2:3" hidden="1">
      <c r="B220" s="110">
        <f t="shared" si="1"/>
        <v>2097</v>
      </c>
      <c r="C220" s="111">
        <f>[16]С2.5!$CD$11</f>
        <v>0</v>
      </c>
    </row>
    <row r="221" spans="2:3" hidden="1">
      <c r="B221" s="110">
        <f t="shared" si="1"/>
        <v>2098</v>
      </c>
      <c r="C221" s="111">
        <f>[16]С2.5!$CE$11</f>
        <v>0</v>
      </c>
    </row>
    <row r="222" spans="2:3" hidden="1">
      <c r="B222" s="110">
        <f t="shared" si="1"/>
        <v>2099</v>
      </c>
      <c r="C222" s="111">
        <f>[16]С2.5!$CF$11</f>
        <v>0</v>
      </c>
    </row>
    <row r="223" spans="2:3" ht="13.5" hidden="1" thickBot="1">
      <c r="B223" s="112">
        <f t="shared" si="1"/>
        <v>2100</v>
      </c>
      <c r="C223" s="113">
        <f>[16]С2.5!$CG$11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1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D2" sqref="D1:D1048576"/>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21" t="s">
        <v>0</v>
      </c>
      <c r="C1" s="121"/>
    </row>
    <row r="2" spans="1:3">
      <c r="A2" s="3"/>
      <c r="B2" s="4" t="s">
        <v>1</v>
      </c>
      <c r="C2" s="5">
        <f ca="1">TODAY()</f>
        <v>44944</v>
      </c>
    </row>
    <row r="3" spans="1:3">
      <c r="A3" s="3"/>
      <c r="B3" s="6" t="s">
        <v>2</v>
      </c>
    </row>
    <row r="4" spans="1:3" ht="25.5">
      <c r="A4" s="8"/>
      <c r="B4" s="9" t="str">
        <f>[17]И1!D13</f>
        <v>Субъект Российской Федерации</v>
      </c>
      <c r="C4" s="10" t="str">
        <f>[17]И1!E13</f>
        <v>Новосибирская область</v>
      </c>
    </row>
    <row r="5" spans="1:3" ht="38.25">
      <c r="A5" s="8"/>
      <c r="B5" s="9" t="str">
        <f>[17]И1!D14</f>
        <v>Тип муниципального образования (выберите из списка)</v>
      </c>
      <c r="C5" s="10" t="str">
        <f>[17]И1!E14</f>
        <v>село Ярки, Доволенский муниципальный район</v>
      </c>
    </row>
    <row r="6" spans="1:3">
      <c r="A6" s="8"/>
      <c r="B6" s="9" t="str">
        <f>IF([17]И1!E15="","",[17]И1!D15)</f>
        <v/>
      </c>
      <c r="C6" s="10" t="str">
        <f>IF([17]И1!E15="","",[17]И1!E15)</f>
        <v/>
      </c>
    </row>
    <row r="7" spans="1:3">
      <c r="A7" s="8"/>
      <c r="B7" s="9" t="str">
        <f>[17]И1!D16</f>
        <v>Код ОКТМО</v>
      </c>
      <c r="C7" s="11" t="str">
        <f>[17]И1!E16</f>
        <v>50610434101</v>
      </c>
    </row>
    <row r="8" spans="1:3">
      <c r="A8" s="8"/>
      <c r="B8" s="12" t="str">
        <f>[17]И1!D17</f>
        <v>Система теплоснабжения</v>
      </c>
      <c r="C8" s="13">
        <f>[17]И1!E17</f>
        <v>0</v>
      </c>
    </row>
    <row r="9" spans="1:3">
      <c r="A9" s="8"/>
      <c r="B9" s="9" t="str">
        <f>[17]И1!D8</f>
        <v>Период регулирования (i)-й</v>
      </c>
      <c r="C9" s="14">
        <f>[17]И1!E8</f>
        <v>2023</v>
      </c>
    </row>
    <row r="10" spans="1:3">
      <c r="A10" s="8"/>
      <c r="B10" s="9" t="str">
        <f>[17]И1!D9</f>
        <v>Период регулирования (i-1)-й</v>
      </c>
      <c r="C10" s="14">
        <f>[17]И1!E9</f>
        <v>2022</v>
      </c>
    </row>
    <row r="11" spans="1:3">
      <c r="A11" s="8"/>
      <c r="B11" s="9" t="str">
        <f>[17]И1!D10</f>
        <v>Период регулирования (i-2)-й</v>
      </c>
      <c r="C11" s="14">
        <f>[17]И1!E10</f>
        <v>2021</v>
      </c>
    </row>
    <row r="12" spans="1:3">
      <c r="A12" s="8"/>
      <c r="B12" s="9" t="str">
        <f>[17]И1!D11</f>
        <v>Базовый год (б)</v>
      </c>
      <c r="C12" s="14">
        <f>[17]И1!E11</f>
        <v>2019</v>
      </c>
    </row>
    <row r="13" spans="1:3" ht="38.25">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4080.3279423243771</v>
      </c>
    </row>
    <row r="18" spans="1:3" ht="42.75">
      <c r="A18" s="22" t="s">
        <v>8</v>
      </c>
      <c r="B18" s="25" t="s">
        <v>9</v>
      </c>
      <c r="C18" s="26">
        <f>[17]С1!F12</f>
        <v>977.41602095275437</v>
      </c>
    </row>
    <row r="19" spans="1:3" ht="42.75">
      <c r="A19" s="22" t="s">
        <v>10</v>
      </c>
      <c r="B19" s="25" t="s">
        <v>11</v>
      </c>
      <c r="C19" s="26">
        <f>[17]С2!F12</f>
        <v>2105.0745921739249</v>
      </c>
    </row>
    <row r="20" spans="1:3" ht="30">
      <c r="A20" s="22" t="s">
        <v>12</v>
      </c>
      <c r="B20" s="25" t="s">
        <v>13</v>
      </c>
      <c r="C20" s="26">
        <f>[17]С3!F12</f>
        <v>503.57282204972699</v>
      </c>
    </row>
    <row r="21" spans="1:3" ht="42.75">
      <c r="A21" s="22" t="s">
        <v>14</v>
      </c>
      <c r="B21" s="25" t="s">
        <v>15</v>
      </c>
      <c r="C21" s="26">
        <f>[17]С4!F12</f>
        <v>414.25807690631598</v>
      </c>
    </row>
    <row r="22" spans="1:3" ht="30">
      <c r="A22" s="22" t="s">
        <v>16</v>
      </c>
      <c r="B22" s="25" t="s">
        <v>17</v>
      </c>
      <c r="C22" s="26">
        <f>[17]С5!F12</f>
        <v>80.006430241654456</v>
      </c>
    </row>
    <row r="23" spans="1:3" ht="43.5" thickBot="1">
      <c r="A23" s="27" t="s">
        <v>18</v>
      </c>
      <c r="B23" s="117" t="s">
        <v>19</v>
      </c>
      <c r="C23" s="28" t="str">
        <f>[17]С6!F12</f>
        <v>-</v>
      </c>
    </row>
    <row r="24" spans="1:3" ht="13.5" thickBot="1">
      <c r="A24" s="3"/>
    </row>
    <row r="25" spans="1:3">
      <c r="A25" s="16" t="s">
        <v>4</v>
      </c>
      <c r="B25" s="29" t="s">
        <v>5</v>
      </c>
      <c r="C25" s="30" t="s">
        <v>6</v>
      </c>
    </row>
    <row r="26" spans="1:3">
      <c r="A26" s="19">
        <v>1</v>
      </c>
      <c r="B26" s="31">
        <v>2</v>
      </c>
      <c r="C26" s="32">
        <v>3</v>
      </c>
    </row>
    <row r="27" spans="1:3" ht="30" customHeight="1">
      <c r="A27" s="22">
        <v>1</v>
      </c>
      <c r="B27" s="123" t="s">
        <v>20</v>
      </c>
      <c r="C27" s="123"/>
    </row>
    <row r="28" spans="1:3">
      <c r="A28" s="22" t="s">
        <v>8</v>
      </c>
      <c r="B28" s="33" t="s">
        <v>21</v>
      </c>
      <c r="C28" s="34">
        <f>[17]С1.1!E16</f>
        <v>5100</v>
      </c>
    </row>
    <row r="29" spans="1:3" ht="42.75">
      <c r="A29" s="22" t="s">
        <v>10</v>
      </c>
      <c r="B29" s="33" t="s">
        <v>22</v>
      </c>
      <c r="C29" s="34">
        <f>[17]С1.1!E27</f>
        <v>2628.1083333333336</v>
      </c>
    </row>
    <row r="30" spans="1:3" ht="17.25">
      <c r="A30" s="22" t="s">
        <v>12</v>
      </c>
      <c r="B30" s="33" t="s">
        <v>23</v>
      </c>
      <c r="C30" s="35">
        <f>[17]С1.1!E19</f>
        <v>0.59499999999999997</v>
      </c>
    </row>
    <row r="31" spans="1:3" ht="17.25">
      <c r="A31" s="22" t="s">
        <v>14</v>
      </c>
      <c r="B31" s="33" t="s">
        <v>24</v>
      </c>
      <c r="C31" s="35">
        <f>[17]С1.1!E20</f>
        <v>-0.113</v>
      </c>
    </row>
    <row r="32" spans="1:3" ht="30">
      <c r="A32" s="22" t="s">
        <v>16</v>
      </c>
      <c r="B32" s="36" t="s">
        <v>25</v>
      </c>
      <c r="C32" s="37">
        <f>[17]С1!F13</f>
        <v>176.4</v>
      </c>
    </row>
    <row r="33" spans="1:3">
      <c r="A33" s="22" t="s">
        <v>18</v>
      </c>
      <c r="B33" s="36" t="s">
        <v>26</v>
      </c>
      <c r="C33" s="38">
        <f>[17]С1!F16</f>
        <v>7000</v>
      </c>
    </row>
    <row r="34" spans="1:3" ht="14.25">
      <c r="A34" s="22" t="s">
        <v>27</v>
      </c>
      <c r="B34" s="39" t="s">
        <v>28</v>
      </c>
      <c r="C34" s="40">
        <f>[17]С1!F17</f>
        <v>0.72857142857142854</v>
      </c>
    </row>
    <row r="35" spans="1:3" ht="15.75">
      <c r="A35" s="41" t="s">
        <v>29</v>
      </c>
      <c r="B35" s="42" t="s">
        <v>30</v>
      </c>
      <c r="C35" s="40">
        <f>[17]С1!F20</f>
        <v>21.588411179999994</v>
      </c>
    </row>
    <row r="36" spans="1:3" ht="15.75">
      <c r="A36" s="41" t="s">
        <v>31</v>
      </c>
      <c r="B36" s="43" t="s">
        <v>32</v>
      </c>
      <c r="C36" s="40">
        <f>[17]С1!F21</f>
        <v>20.818139999999996</v>
      </c>
    </row>
    <row r="37" spans="1:3" ht="14.25">
      <c r="A37" s="41" t="s">
        <v>33</v>
      </c>
      <c r="B37" s="44" t="s">
        <v>34</v>
      </c>
      <c r="C37" s="40">
        <f>[17]С1!F22</f>
        <v>1.0369999999999999</v>
      </c>
    </row>
    <row r="38" spans="1:3" ht="53.25" thickBot="1">
      <c r="A38" s="27" t="s">
        <v>35</v>
      </c>
      <c r="B38" s="45" t="s">
        <v>36</v>
      </c>
      <c r="C38" s="46">
        <f>[17]С1!F23</f>
        <v>1.0469999999999999</v>
      </c>
    </row>
    <row r="39" spans="1:3" ht="13.5" thickBot="1">
      <c r="A39" s="47"/>
      <c r="B39" s="48"/>
      <c r="C39" s="49"/>
    </row>
    <row r="40" spans="1:3" ht="30" customHeight="1">
      <c r="A40" s="50" t="s">
        <v>37</v>
      </c>
      <c r="B40" s="118" t="s">
        <v>38</v>
      </c>
      <c r="C40" s="118"/>
    </row>
    <row r="41" spans="1:3" ht="25.5">
      <c r="A41" s="22" t="s">
        <v>39</v>
      </c>
      <c r="B41" s="36" t="s">
        <v>40</v>
      </c>
      <c r="C41" s="51" t="str">
        <f>[17]С2.1!E12</f>
        <v>V</v>
      </c>
    </row>
    <row r="42" spans="1:3" ht="25.5">
      <c r="A42" s="22" t="s">
        <v>41</v>
      </c>
      <c r="B42" s="33" t="s">
        <v>42</v>
      </c>
      <c r="C42" s="51" t="str">
        <f>[17]С2.1!E13</f>
        <v>6 и менее баллов</v>
      </c>
    </row>
    <row r="43" spans="1:3" ht="25.5">
      <c r="A43" s="22" t="s">
        <v>43</v>
      </c>
      <c r="B43" s="33" t="s">
        <v>44</v>
      </c>
      <c r="C43" s="51" t="str">
        <f>[17]С2.1!E14</f>
        <v>от 200 до 500</v>
      </c>
    </row>
    <row r="44" spans="1:3" ht="25.5">
      <c r="A44" s="22" t="s">
        <v>45</v>
      </c>
      <c r="B44" s="33" t="s">
        <v>46</v>
      </c>
      <c r="C44" s="52" t="str">
        <f>[17]С2.1!E15</f>
        <v>нет</v>
      </c>
    </row>
    <row r="45" spans="1:3" ht="30">
      <c r="A45" s="22" t="s">
        <v>47</v>
      </c>
      <c r="B45" s="33" t="s">
        <v>48</v>
      </c>
      <c r="C45" s="34">
        <f>[17]С2!F18</f>
        <v>32402.627334033532</v>
      </c>
    </row>
    <row r="46" spans="1:3" ht="30">
      <c r="A46" s="22" t="s">
        <v>49</v>
      </c>
      <c r="B46" s="53" t="s">
        <v>50</v>
      </c>
      <c r="C46" s="34">
        <f>IF([17]С2!F19&gt;0,[17]С2!F19,[17]С2!F20)</f>
        <v>23441.524932855718</v>
      </c>
    </row>
    <row r="47" spans="1:3" ht="25.5">
      <c r="A47" s="22" t="s">
        <v>51</v>
      </c>
      <c r="B47" s="54" t="s">
        <v>52</v>
      </c>
      <c r="C47" s="34">
        <f>[17]С2.1!E19</f>
        <v>-38</v>
      </c>
    </row>
    <row r="48" spans="1:3" ht="25.5">
      <c r="A48" s="22" t="s">
        <v>53</v>
      </c>
      <c r="B48" s="54" t="s">
        <v>54</v>
      </c>
      <c r="C48" s="34" t="str">
        <f>[17]С2.1!E22</f>
        <v>нет</v>
      </c>
    </row>
    <row r="49" spans="1:3" ht="38.25">
      <c r="A49" s="22" t="s">
        <v>55</v>
      </c>
      <c r="B49" s="55" t="s">
        <v>56</v>
      </c>
      <c r="C49" s="34">
        <f>[17]С2.2!E10</f>
        <v>1287</v>
      </c>
    </row>
    <row r="50" spans="1:3" ht="25.5">
      <c r="A50" s="22" t="s">
        <v>57</v>
      </c>
      <c r="B50" s="56" t="s">
        <v>58</v>
      </c>
      <c r="C50" s="34">
        <f>[17]С2.2!E12</f>
        <v>5.97</v>
      </c>
    </row>
    <row r="51" spans="1:3" ht="52.5">
      <c r="A51" s="22" t="s">
        <v>59</v>
      </c>
      <c r="B51" s="57" t="s">
        <v>60</v>
      </c>
      <c r="C51" s="34">
        <f>[17]С2.2!E13</f>
        <v>1</v>
      </c>
    </row>
    <row r="52" spans="1:3" ht="27.75">
      <c r="A52" s="22" t="s">
        <v>61</v>
      </c>
      <c r="B52" s="56" t="s">
        <v>62</v>
      </c>
      <c r="C52" s="34">
        <f>[17]С2.2!E14</f>
        <v>12104</v>
      </c>
    </row>
    <row r="53" spans="1:3" ht="25.5">
      <c r="A53" s="22" t="s">
        <v>63</v>
      </c>
      <c r="B53" s="57" t="s">
        <v>64</v>
      </c>
      <c r="C53" s="35">
        <f>[17]С2.2!E15</f>
        <v>4.8000000000000001E-2</v>
      </c>
    </row>
    <row r="54" spans="1:3">
      <c r="A54" s="22" t="s">
        <v>65</v>
      </c>
      <c r="B54" s="57" t="s">
        <v>66</v>
      </c>
      <c r="C54" s="34">
        <f>[17]С2.2!E16</f>
        <v>1</v>
      </c>
    </row>
    <row r="55" spans="1:3" ht="15.75">
      <c r="A55" s="22" t="s">
        <v>67</v>
      </c>
      <c r="B55" s="58" t="s">
        <v>68</v>
      </c>
      <c r="C55" s="34">
        <f>[17]С2!F21</f>
        <v>1</v>
      </c>
    </row>
    <row r="56" spans="1:3" ht="30">
      <c r="A56" s="59" t="s">
        <v>69</v>
      </c>
      <c r="B56" s="33" t="s">
        <v>70</v>
      </c>
      <c r="C56" s="34">
        <f>[17]С2!F13</f>
        <v>169640.22915965237</v>
      </c>
    </row>
    <row r="57" spans="1:3" ht="30">
      <c r="A57" s="59" t="s">
        <v>71</v>
      </c>
      <c r="B57" s="58" t="s">
        <v>72</v>
      </c>
      <c r="C57" s="34">
        <f>[17]С2!F14</f>
        <v>113455</v>
      </c>
    </row>
    <row r="58" spans="1:3" ht="15.75">
      <c r="A58" s="59" t="s">
        <v>73</v>
      </c>
      <c r="B58" s="60" t="s">
        <v>74</v>
      </c>
      <c r="C58" s="40">
        <f>[17]С2!F15</f>
        <v>1.071</v>
      </c>
    </row>
    <row r="59" spans="1:3" ht="15.75">
      <c r="A59" s="59" t="s">
        <v>75</v>
      </c>
      <c r="B59" s="60" t="s">
        <v>76</v>
      </c>
      <c r="C59" s="40">
        <f>[17]С2!F16</f>
        <v>1</v>
      </c>
    </row>
    <row r="60" spans="1:3" ht="17.25">
      <c r="A60" s="59" t="s">
        <v>77</v>
      </c>
      <c r="B60" s="58" t="s">
        <v>78</v>
      </c>
      <c r="C60" s="34">
        <f>[17]С2!F17</f>
        <v>1.01</v>
      </c>
    </row>
    <row r="61" spans="1:3" s="63" customFormat="1" ht="14.25">
      <c r="A61" s="59" t="s">
        <v>79</v>
      </c>
      <c r="B61" s="61" t="s">
        <v>80</v>
      </c>
      <c r="C61" s="62">
        <f>[17]С2!F33</f>
        <v>10</v>
      </c>
    </row>
    <row r="62" spans="1:3" ht="30">
      <c r="A62" s="59" t="s">
        <v>81</v>
      </c>
      <c r="B62" s="64" t="s">
        <v>82</v>
      </c>
      <c r="C62" s="34">
        <f>[17]С2!F26</f>
        <v>1012.1091133444331</v>
      </c>
    </row>
    <row r="63" spans="1:3" ht="17.25">
      <c r="A63" s="59" t="s">
        <v>83</v>
      </c>
      <c r="B63" s="53" t="s">
        <v>84</v>
      </c>
      <c r="C63" s="34">
        <f>[17]С2!F27</f>
        <v>0.17433463600000002</v>
      </c>
    </row>
    <row r="64" spans="1:3" ht="17.25">
      <c r="A64" s="59" t="s">
        <v>85</v>
      </c>
      <c r="B64" s="58" t="s">
        <v>86</v>
      </c>
      <c r="C64" s="62">
        <f>[17]С2!F28</f>
        <v>4200</v>
      </c>
    </row>
    <row r="65" spans="1:3" ht="42.75">
      <c r="A65" s="59" t="s">
        <v>87</v>
      </c>
      <c r="B65" s="33" t="s">
        <v>88</v>
      </c>
      <c r="C65" s="34">
        <f>[17]С2!F22</f>
        <v>35717.748653137714</v>
      </c>
    </row>
    <row r="66" spans="1:3" ht="30">
      <c r="A66" s="59" t="s">
        <v>89</v>
      </c>
      <c r="B66" s="60" t="s">
        <v>90</v>
      </c>
      <c r="C66" s="34">
        <f>[17]С2!F23</f>
        <v>1990</v>
      </c>
    </row>
    <row r="67" spans="1:3" ht="30">
      <c r="A67" s="59" t="s">
        <v>91</v>
      </c>
      <c r="B67" s="53" t="s">
        <v>92</v>
      </c>
      <c r="C67" s="34">
        <f>[17]С2.1!E27</f>
        <v>14307.876789999998</v>
      </c>
    </row>
    <row r="68" spans="1:3" ht="38.25">
      <c r="A68" s="59" t="s">
        <v>93</v>
      </c>
      <c r="B68" s="65" t="s">
        <v>94</v>
      </c>
      <c r="C68" s="52">
        <f>[17]С2.3!E21</f>
        <v>0</v>
      </c>
    </row>
    <row r="69" spans="1:3" ht="25.5">
      <c r="A69" s="59" t="s">
        <v>95</v>
      </c>
      <c r="B69" s="66" t="s">
        <v>96</v>
      </c>
      <c r="C69" s="67">
        <f>[17]С2.3!E11</f>
        <v>9.89</v>
      </c>
    </row>
    <row r="70" spans="1:3" ht="25.5">
      <c r="A70" s="59" t="s">
        <v>97</v>
      </c>
      <c r="B70" s="66" t="s">
        <v>98</v>
      </c>
      <c r="C70" s="62">
        <f>[17]С2.3!E13</f>
        <v>300</v>
      </c>
    </row>
    <row r="71" spans="1:3" ht="25.5">
      <c r="A71" s="59" t="s">
        <v>99</v>
      </c>
      <c r="B71" s="65" t="s">
        <v>100</v>
      </c>
      <c r="C71" s="68">
        <f>IF([17]С2.3!E22&gt;0,[17]С2.3!E22,[17]С2.3!E14)</f>
        <v>61211</v>
      </c>
    </row>
    <row r="72" spans="1:3" ht="38.25">
      <c r="A72" s="59" t="s">
        <v>101</v>
      </c>
      <c r="B72" s="65" t="s">
        <v>102</v>
      </c>
      <c r="C72" s="68">
        <f>IF([17]С2.3!E23&gt;0,[17]С2.3!E23,[17]С2.3!E15)</f>
        <v>45675</v>
      </c>
    </row>
    <row r="73" spans="1:3" ht="30">
      <c r="A73" s="59" t="s">
        <v>103</v>
      </c>
      <c r="B73" s="53" t="s">
        <v>104</v>
      </c>
      <c r="C73" s="34">
        <f>[17]С2.1!E28</f>
        <v>9541.9567200000001</v>
      </c>
    </row>
    <row r="74" spans="1:3" ht="38.25">
      <c r="A74" s="59" t="s">
        <v>105</v>
      </c>
      <c r="B74" s="65" t="s">
        <v>106</v>
      </c>
      <c r="C74" s="52">
        <f>[17]С2.3!E25</f>
        <v>0</v>
      </c>
    </row>
    <row r="75" spans="1:3" ht="25.5">
      <c r="A75" s="59" t="s">
        <v>107</v>
      </c>
      <c r="B75" s="66" t="s">
        <v>108</v>
      </c>
      <c r="C75" s="67">
        <f>[17]С2.3!E12</f>
        <v>0.56000000000000005</v>
      </c>
    </row>
    <row r="76" spans="1:3" ht="25.5">
      <c r="A76" s="59" t="s">
        <v>109</v>
      </c>
      <c r="B76" s="66" t="s">
        <v>98</v>
      </c>
      <c r="C76" s="62">
        <f>[17]С2.3!E13</f>
        <v>300</v>
      </c>
    </row>
    <row r="77" spans="1:3" ht="25.5">
      <c r="A77" s="59" t="s">
        <v>110</v>
      </c>
      <c r="B77" s="69" t="s">
        <v>111</v>
      </c>
      <c r="C77" s="68">
        <f>IF([17]С2.3!E26&gt;0,[17]С2.3!E26,[17]С2.3!E16)</f>
        <v>65637</v>
      </c>
    </row>
    <row r="78" spans="1:3" ht="38.25">
      <c r="A78" s="59" t="s">
        <v>112</v>
      </c>
      <c r="B78" s="69" t="s">
        <v>113</v>
      </c>
      <c r="C78" s="68">
        <f>IF([17]С2.3!E27&gt;0,[17]С2.3!E27,[17]С2.3!E17)</f>
        <v>31684</v>
      </c>
    </row>
    <row r="79" spans="1:3" ht="17.25">
      <c r="A79" s="59" t="s">
        <v>114</v>
      </c>
      <c r="B79" s="33" t="s">
        <v>115</v>
      </c>
      <c r="C79" s="35">
        <f>[17]С2!F29</f>
        <v>0.128978033685065</v>
      </c>
    </row>
    <row r="80" spans="1:3" ht="30">
      <c r="A80" s="59" t="s">
        <v>116</v>
      </c>
      <c r="B80" s="53" t="s">
        <v>117</v>
      </c>
      <c r="C80" s="70">
        <f>[17]С2!F30</f>
        <v>0.11668498168498169</v>
      </c>
    </row>
    <row r="81" spans="1:3" ht="17.25">
      <c r="A81" s="59" t="s">
        <v>118</v>
      </c>
      <c r="B81" s="71" t="s">
        <v>119</v>
      </c>
      <c r="C81" s="35">
        <f>[17]С2!F31</f>
        <v>0.13880000000000001</v>
      </c>
    </row>
    <row r="82" spans="1:3" s="63" customFormat="1" ht="18" thickBot="1">
      <c r="A82" s="72" t="s">
        <v>120</v>
      </c>
      <c r="B82" s="73" t="s">
        <v>121</v>
      </c>
      <c r="C82" s="74">
        <f>[17]С2!F32</f>
        <v>0.12640000000000001</v>
      </c>
    </row>
    <row r="83" spans="1:3" ht="13.5" thickBot="1">
      <c r="A83" s="47"/>
      <c r="B83" s="75"/>
      <c r="C83" s="15"/>
    </row>
    <row r="84" spans="1:3" s="63" customFormat="1" ht="30" customHeight="1">
      <c r="A84" s="76" t="s">
        <v>122</v>
      </c>
      <c r="B84" s="118" t="s">
        <v>123</v>
      </c>
      <c r="C84" s="118"/>
    </row>
    <row r="85" spans="1:3" s="63" customFormat="1" ht="30">
      <c r="A85" s="77" t="s">
        <v>124</v>
      </c>
      <c r="B85" s="33" t="s">
        <v>125</v>
      </c>
      <c r="C85" s="34">
        <f>[17]С3!F14</f>
        <v>6993.2576401328561</v>
      </c>
    </row>
    <row r="86" spans="1:3" s="63" customFormat="1" ht="42.75">
      <c r="A86" s="77" t="s">
        <v>126</v>
      </c>
      <c r="B86" s="53" t="s">
        <v>127</v>
      </c>
      <c r="C86" s="78">
        <f>[17]С3!F15</f>
        <v>0.2</v>
      </c>
    </row>
    <row r="87" spans="1:3" s="63" customFormat="1" ht="14.25">
      <c r="A87" s="77" t="s">
        <v>128</v>
      </c>
      <c r="B87" s="79" t="s">
        <v>129</v>
      </c>
      <c r="C87" s="62">
        <f>[17]С3!F18</f>
        <v>15</v>
      </c>
    </row>
    <row r="88" spans="1:3" s="63" customFormat="1" ht="17.25">
      <c r="A88" s="77" t="s">
        <v>130</v>
      </c>
      <c r="B88" s="33" t="s">
        <v>131</v>
      </c>
      <c r="C88" s="34">
        <f>[17]С3!F19</f>
        <v>3487.1555421534131</v>
      </c>
    </row>
    <row r="89" spans="1:3" s="63" customFormat="1" ht="55.5">
      <c r="A89" s="77" t="s">
        <v>132</v>
      </c>
      <c r="B89" s="53" t="s">
        <v>133</v>
      </c>
      <c r="C89" s="80">
        <f>[17]С3!F20</f>
        <v>2.1999999999999999E-2</v>
      </c>
    </row>
    <row r="90" spans="1:3" s="63" customFormat="1" ht="14.25">
      <c r="A90" s="77" t="s">
        <v>134</v>
      </c>
      <c r="B90" s="58" t="s">
        <v>80</v>
      </c>
      <c r="C90" s="62">
        <f>[17]С3!F21</f>
        <v>10</v>
      </c>
    </row>
    <row r="91" spans="1:3" s="63" customFormat="1" ht="17.25">
      <c r="A91" s="77" t="s">
        <v>135</v>
      </c>
      <c r="B91" s="33" t="s">
        <v>136</v>
      </c>
      <c r="C91" s="34">
        <f>[17]С3!F22</f>
        <v>3.0363273400332993</v>
      </c>
    </row>
    <row r="92" spans="1:3" s="63" customFormat="1" ht="55.5">
      <c r="A92" s="77" t="s">
        <v>137</v>
      </c>
      <c r="B92" s="53" t="s">
        <v>138</v>
      </c>
      <c r="C92" s="80">
        <f>[17]С3!F23</f>
        <v>3.0000000000000001E-3</v>
      </c>
    </row>
    <row r="93" spans="1:3" s="63" customFormat="1" ht="27.75" thickBot="1">
      <c r="A93" s="81" t="s">
        <v>139</v>
      </c>
      <c r="B93" s="82" t="s">
        <v>140</v>
      </c>
      <c r="C93" s="83">
        <f>[17]С3!F24</f>
        <v>1012.1091133444331</v>
      </c>
    </row>
    <row r="94" spans="1:3" ht="13.5" thickBot="1">
      <c r="A94" s="47"/>
      <c r="B94" s="75"/>
      <c r="C94" s="15"/>
    </row>
    <row r="95" spans="1:3" ht="30" customHeight="1">
      <c r="A95" s="84" t="s">
        <v>141</v>
      </c>
      <c r="B95" s="118" t="s">
        <v>142</v>
      </c>
      <c r="C95" s="118"/>
    </row>
    <row r="96" spans="1:3" ht="30">
      <c r="A96" s="59" t="s">
        <v>143</v>
      </c>
      <c r="B96" s="33" t="s">
        <v>144</v>
      </c>
      <c r="C96" s="34">
        <f>[17]С4!F16</f>
        <v>1652.5</v>
      </c>
    </row>
    <row r="97" spans="1:3" ht="30">
      <c r="A97" s="59" t="s">
        <v>145</v>
      </c>
      <c r="B97" s="58" t="s">
        <v>146</v>
      </c>
      <c r="C97" s="34">
        <f>[17]С4!F17</f>
        <v>73547</v>
      </c>
    </row>
    <row r="98" spans="1:3" ht="17.25">
      <c r="A98" s="59" t="s">
        <v>147</v>
      </c>
      <c r="B98" s="58" t="s">
        <v>148</v>
      </c>
      <c r="C98" s="40">
        <f>[17]С4!F18</f>
        <v>0.02</v>
      </c>
    </row>
    <row r="99" spans="1:3" ht="30">
      <c r="A99" s="59" t="s">
        <v>149</v>
      </c>
      <c r="B99" s="58" t="s">
        <v>150</v>
      </c>
      <c r="C99" s="34">
        <f>[17]С4!F19</f>
        <v>12104</v>
      </c>
    </row>
    <row r="100" spans="1:3" ht="31.5">
      <c r="A100" s="59" t="s">
        <v>151</v>
      </c>
      <c r="B100" s="58" t="s">
        <v>152</v>
      </c>
      <c r="C100" s="40">
        <f>[17]С4!F20</f>
        <v>1.4999999999999999E-2</v>
      </c>
    </row>
    <row r="101" spans="1:3" ht="30">
      <c r="A101" s="59" t="s">
        <v>153</v>
      </c>
      <c r="B101" s="33" t="s">
        <v>154</v>
      </c>
      <c r="C101" s="34">
        <f>[17]С4!F21</f>
        <v>1933.1949342509995</v>
      </c>
    </row>
    <row r="102" spans="1:3" ht="24" customHeight="1">
      <c r="A102" s="59" t="s">
        <v>155</v>
      </c>
      <c r="B102" s="53" t="s">
        <v>156</v>
      </c>
      <c r="C102" s="85">
        <f>IF([17]С4.2!F8="да",[17]С4.2!D21,[17]С4.2!D15)</f>
        <v>0</v>
      </c>
    </row>
    <row r="103" spans="1:3" ht="68.25">
      <c r="A103" s="59" t="s">
        <v>157</v>
      </c>
      <c r="B103" s="53" t="s">
        <v>158</v>
      </c>
      <c r="C103" s="34">
        <f>[17]С4!F22</f>
        <v>3.6112641666666665</v>
      </c>
    </row>
    <row r="104" spans="1:3" ht="30">
      <c r="A104" s="59" t="s">
        <v>159</v>
      </c>
      <c r="B104" s="58" t="s">
        <v>160</v>
      </c>
      <c r="C104" s="34">
        <f>[17]С4!F23</f>
        <v>180</v>
      </c>
    </row>
    <row r="105" spans="1:3" ht="14.25">
      <c r="A105" s="59" t="s">
        <v>161</v>
      </c>
      <c r="B105" s="53" t="s">
        <v>162</v>
      </c>
      <c r="C105" s="34">
        <f>[17]С4!F24</f>
        <v>8497.1999999999989</v>
      </c>
    </row>
    <row r="106" spans="1:3" ht="14.25">
      <c r="A106" s="59" t="s">
        <v>163</v>
      </c>
      <c r="B106" s="58" t="s">
        <v>164</v>
      </c>
      <c r="C106" s="40">
        <f>[17]С4!F25</f>
        <v>0.35</v>
      </c>
    </row>
    <row r="107" spans="1:3" ht="17.25">
      <c r="A107" s="59" t="s">
        <v>165</v>
      </c>
      <c r="B107" s="33" t="s">
        <v>166</v>
      </c>
      <c r="C107" s="34">
        <f>[17]С4!F26</f>
        <v>53.159490000000005</v>
      </c>
    </row>
    <row r="108" spans="1:3" ht="25.5">
      <c r="A108" s="59" t="s">
        <v>167</v>
      </c>
      <c r="B108" s="53" t="s">
        <v>94</v>
      </c>
      <c r="C108" s="85">
        <f>[17]С4.3!E16</f>
        <v>0</v>
      </c>
    </row>
    <row r="109" spans="1:3" ht="25.5">
      <c r="A109" s="59" t="s">
        <v>168</v>
      </c>
      <c r="B109" s="53" t="s">
        <v>169</v>
      </c>
      <c r="C109" s="34">
        <f>[17]С4.3!E17</f>
        <v>13.63</v>
      </c>
    </row>
    <row r="110" spans="1:3" ht="38.25">
      <c r="A110" s="59" t="s">
        <v>170</v>
      </c>
      <c r="B110" s="53" t="s">
        <v>106</v>
      </c>
      <c r="C110" s="85">
        <f>[17]С4.3!E18</f>
        <v>0</v>
      </c>
    </row>
    <row r="111" spans="1:3">
      <c r="A111" s="59" t="s">
        <v>171</v>
      </c>
      <c r="B111" s="53" t="s">
        <v>172</v>
      </c>
      <c r="C111" s="34">
        <f>[17]С4.3!E19</f>
        <v>26.27</v>
      </c>
    </row>
    <row r="112" spans="1:3">
      <c r="A112" s="59" t="s">
        <v>173</v>
      </c>
      <c r="B112" s="58" t="s">
        <v>174</v>
      </c>
      <c r="C112" s="34">
        <f>[17]С4.3!E11</f>
        <v>1871</v>
      </c>
    </row>
    <row r="113" spans="1:3">
      <c r="A113" s="59" t="s">
        <v>175</v>
      </c>
      <c r="B113" s="58" t="s">
        <v>176</v>
      </c>
      <c r="C113" s="52">
        <f>[17]С4.3!E12</f>
        <v>1636</v>
      </c>
    </row>
    <row r="114" spans="1:3">
      <c r="A114" s="59" t="s">
        <v>177</v>
      </c>
      <c r="B114" s="58" t="s">
        <v>178</v>
      </c>
      <c r="C114" s="52">
        <f>[17]С4.3!E13</f>
        <v>204</v>
      </c>
    </row>
    <row r="115" spans="1:3" ht="30">
      <c r="A115" s="59" t="s">
        <v>179</v>
      </c>
      <c r="B115" s="33" t="s">
        <v>180</v>
      </c>
      <c r="C115" s="34">
        <f>[17]С4!F27</f>
        <v>1040.8858115370676</v>
      </c>
    </row>
    <row r="116" spans="1:3" ht="25.5">
      <c r="A116" s="59" t="s">
        <v>181</v>
      </c>
      <c r="B116" s="53" t="s">
        <v>182</v>
      </c>
      <c r="C116" s="34">
        <f>[17]С4!F28</f>
        <v>799.45146815442979</v>
      </c>
    </row>
    <row r="117" spans="1:3" ht="42.75">
      <c r="A117" s="59" t="s">
        <v>183</v>
      </c>
      <c r="B117" s="53" t="s">
        <v>184</v>
      </c>
      <c r="C117" s="34">
        <f>[17]С4!F29</f>
        <v>241.43434338263785</v>
      </c>
    </row>
    <row r="118" spans="1:3" ht="30">
      <c r="A118" s="59" t="s">
        <v>185</v>
      </c>
      <c r="B118" s="39" t="s">
        <v>186</v>
      </c>
      <c r="C118" s="34">
        <f>[17]С4!F30</f>
        <v>2155.3960128579993</v>
      </c>
    </row>
    <row r="119" spans="1:3" ht="42.75">
      <c r="A119" s="59" t="s">
        <v>187</v>
      </c>
      <c r="B119" s="86" t="s">
        <v>188</v>
      </c>
      <c r="C119" s="34">
        <f>[17]С4!F33</f>
        <v>1441.399530370616</v>
      </c>
    </row>
    <row r="120" spans="1:3" ht="30">
      <c r="A120" s="59" t="s">
        <v>189</v>
      </c>
      <c r="B120" s="87" t="s">
        <v>190</v>
      </c>
      <c r="C120" s="34">
        <f>[17]С4!F35</f>
        <v>17.040680999999999</v>
      </c>
    </row>
    <row r="121" spans="1:3" ht="14.25">
      <c r="A121" s="59" t="s">
        <v>191</v>
      </c>
      <c r="B121" s="56" t="s">
        <v>192</v>
      </c>
      <c r="C121" s="34">
        <f>[17]С4!F36</f>
        <v>14319.9</v>
      </c>
    </row>
    <row r="122" spans="1:3" ht="28.5" thickBot="1">
      <c r="A122" s="72" t="s">
        <v>193</v>
      </c>
      <c r="B122" s="88" t="s">
        <v>194</v>
      </c>
      <c r="C122" s="83">
        <f>[17]С4!F37</f>
        <v>1.19</v>
      </c>
    </row>
    <row r="123" spans="1:3" s="89" customFormat="1" ht="13.5" thickBot="1">
      <c r="A123" s="47"/>
      <c r="B123" s="75"/>
      <c r="C123" s="15"/>
    </row>
    <row r="124" spans="1:3" s="63" customFormat="1" ht="30" customHeight="1">
      <c r="A124" s="76" t="s">
        <v>195</v>
      </c>
      <c r="B124" s="118" t="s">
        <v>196</v>
      </c>
      <c r="C124" s="118"/>
    </row>
    <row r="125" spans="1:3" ht="16.5" thickBot="1">
      <c r="A125" s="27" t="s">
        <v>197</v>
      </c>
      <c r="B125" s="90" t="s">
        <v>198</v>
      </c>
      <c r="C125" s="83">
        <f>[17]С5!F17</f>
        <v>0.02</v>
      </c>
    </row>
    <row r="126" spans="1:3" s="89" customFormat="1" ht="13.5" thickBot="1">
      <c r="A126" s="47"/>
      <c r="B126" s="75"/>
      <c r="C126" s="15"/>
    </row>
    <row r="127" spans="1:3" ht="42.75" customHeight="1">
      <c r="A127" s="84" t="s">
        <v>199</v>
      </c>
      <c r="B127" s="119" t="s">
        <v>200</v>
      </c>
      <c r="C127" s="119"/>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[17]С2!F37</f>
        <v>20.818139999999996</v>
      </c>
    </row>
    <row r="136" spans="1:4" ht="14.25">
      <c r="A136" s="59" t="s">
        <v>216</v>
      </c>
      <c r="B136" s="101" t="s">
        <v>217</v>
      </c>
      <c r="C136" s="34">
        <f>[17]С2!F38</f>
        <v>7</v>
      </c>
    </row>
    <row r="137" spans="1:4" ht="17.25">
      <c r="A137" s="59" t="s">
        <v>218</v>
      </c>
      <c r="B137" s="101" t="s">
        <v>219</v>
      </c>
      <c r="C137" s="34">
        <f>[17]С2!F40</f>
        <v>0.97</v>
      </c>
    </row>
    <row r="138" spans="1:4" ht="15" thickBot="1">
      <c r="A138" s="72" t="s">
        <v>220</v>
      </c>
      <c r="B138" s="102" t="s">
        <v>221</v>
      </c>
      <c r="C138" s="46">
        <f>[17]С2!F42</f>
        <v>0.35</v>
      </c>
    </row>
    <row r="139" spans="1:4" s="89" customFormat="1" ht="13.5" thickBot="1">
      <c r="A139" s="47"/>
      <c r="B139" s="75"/>
      <c r="C139" s="15"/>
    </row>
    <row r="140" spans="1:4" ht="30">
      <c r="A140" s="84" t="s">
        <v>222</v>
      </c>
      <c r="B140" s="103" t="s">
        <v>223</v>
      </c>
      <c r="C140" s="104">
        <f>[17]С2!F35</f>
        <v>1.3822747209000001</v>
      </c>
      <c r="D140" s="89"/>
    </row>
    <row r="141" spans="1:4" ht="22.7" customHeight="1" thickBot="1">
      <c r="A141" s="72" t="s">
        <v>224</v>
      </c>
      <c r="B141" s="120" t="s">
        <v>225</v>
      </c>
      <c r="C141" s="120"/>
      <c r="D141" s="89"/>
    </row>
    <row r="142" spans="1:4" ht="13.5" thickBot="1">
      <c r="A142" s="105"/>
      <c r="B142" s="106" t="s">
        <v>226</v>
      </c>
      <c r="C142" s="107"/>
      <c r="D142" s="89"/>
    </row>
    <row r="143" spans="1:4">
      <c r="A143" s="105"/>
      <c r="B143" s="108">
        <v>2020</v>
      </c>
      <c r="C143" s="109">
        <f>[17]С2.5!$E$11</f>
        <v>-2.9000000000000026E-2</v>
      </c>
      <c r="D143" s="89"/>
    </row>
    <row r="144" spans="1:4">
      <c r="A144" s="105"/>
      <c r="B144" s="110">
        <f>B143+1</f>
        <v>2021</v>
      </c>
      <c r="C144" s="111">
        <f>[17]С2.5!$F$11</f>
        <v>0.245</v>
      </c>
      <c r="D144" s="89"/>
    </row>
    <row r="145" spans="1:4">
      <c r="A145" s="105"/>
      <c r="B145" s="110">
        <f t="shared" ref="B145:B208" si="0">B144+1</f>
        <v>2022</v>
      </c>
      <c r="C145" s="111">
        <f>[17]С2.5!$G$11</f>
        <v>0.121</v>
      </c>
      <c r="D145" s="89"/>
    </row>
    <row r="146" spans="1:4" ht="13.5" thickBot="1">
      <c r="A146" s="105"/>
      <c r="B146" s="112">
        <f t="shared" si="0"/>
        <v>2023</v>
      </c>
      <c r="C146" s="113">
        <f>[17]С2.5!$H$11</f>
        <v>0.02</v>
      </c>
      <c r="D146" s="89"/>
    </row>
    <row r="147" spans="1:4" hidden="1">
      <c r="A147" s="105"/>
      <c r="B147" s="114">
        <f t="shared" si="0"/>
        <v>2024</v>
      </c>
      <c r="C147" s="115">
        <f>[17]С2.5!$I$11</f>
        <v>-2.93E-2</v>
      </c>
      <c r="D147" s="89"/>
    </row>
    <row r="148" spans="1:4" hidden="1">
      <c r="A148" s="105"/>
      <c r="B148" s="110">
        <f t="shared" si="0"/>
        <v>2025</v>
      </c>
      <c r="C148" s="111">
        <f>[17]С2.5!$J$11</f>
        <v>0.21215960863291</v>
      </c>
      <c r="D148" s="89"/>
    </row>
    <row r="149" spans="1:4" hidden="1">
      <c r="A149" s="105"/>
      <c r="B149" s="110">
        <f t="shared" si="0"/>
        <v>2026</v>
      </c>
      <c r="C149" s="111">
        <f>[17]С2.5!$K$11</f>
        <v>3.5813361771260002E-2</v>
      </c>
      <c r="D149" s="89"/>
    </row>
    <row r="150" spans="1:4" hidden="1">
      <c r="A150" s="105"/>
      <c r="B150" s="110">
        <f t="shared" si="0"/>
        <v>2027</v>
      </c>
      <c r="C150" s="111">
        <f>[17]С2.5!$L$11</f>
        <v>3.2682303599220003E-2</v>
      </c>
      <c r="D150" s="89"/>
    </row>
    <row r="151" spans="1:4" hidden="1">
      <c r="A151" s="105"/>
      <c r="B151" s="110">
        <f t="shared" si="0"/>
        <v>2028</v>
      </c>
      <c r="C151" s="111">
        <f>[17]С2.5!$M$11</f>
        <v>0</v>
      </c>
      <c r="D151" s="89"/>
    </row>
    <row r="152" spans="1:4" hidden="1">
      <c r="A152" s="105"/>
      <c r="B152" s="110">
        <f t="shared" si="0"/>
        <v>2029</v>
      </c>
      <c r="C152" s="111">
        <f>[17]С2.5!$N$11</f>
        <v>0</v>
      </c>
      <c r="D152" s="89"/>
    </row>
    <row r="153" spans="1:4" hidden="1">
      <c r="A153" s="105"/>
      <c r="B153" s="110">
        <f t="shared" si="0"/>
        <v>2030</v>
      </c>
      <c r="C153" s="111">
        <f>[17]С2.5!$O$11</f>
        <v>0</v>
      </c>
      <c r="D153" s="89"/>
    </row>
    <row r="154" spans="1:4" hidden="1">
      <c r="A154" s="105"/>
      <c r="B154" s="110">
        <f t="shared" si="0"/>
        <v>2031</v>
      </c>
      <c r="C154" s="111">
        <f>[17]С2.5!$P$11</f>
        <v>0</v>
      </c>
      <c r="D154" s="89"/>
    </row>
    <row r="155" spans="1:4" hidden="1">
      <c r="A155" s="89"/>
      <c r="B155" s="110">
        <f t="shared" si="0"/>
        <v>2032</v>
      </c>
      <c r="C155" s="111">
        <f>[17]С2.5!$Q$11</f>
        <v>0</v>
      </c>
      <c r="D155" s="89"/>
    </row>
    <row r="156" spans="1:4" hidden="1">
      <c r="A156" s="89"/>
      <c r="B156" s="110">
        <f t="shared" si="0"/>
        <v>2033</v>
      </c>
      <c r="C156" s="111">
        <f>[17]С2.5!$R$11</f>
        <v>0</v>
      </c>
      <c r="D156" s="89"/>
    </row>
    <row r="157" spans="1:4" hidden="1">
      <c r="B157" s="110">
        <f t="shared" si="0"/>
        <v>2034</v>
      </c>
      <c r="C157" s="111">
        <f>[17]С2.5!$S$11</f>
        <v>0</v>
      </c>
    </row>
    <row r="158" spans="1:4" hidden="1">
      <c r="B158" s="110">
        <f t="shared" si="0"/>
        <v>2035</v>
      </c>
      <c r="C158" s="111">
        <f>[17]С2.5!$T$11</f>
        <v>0</v>
      </c>
    </row>
    <row r="159" spans="1:4" hidden="1">
      <c r="B159" s="110">
        <f t="shared" si="0"/>
        <v>2036</v>
      </c>
      <c r="C159" s="111">
        <f>[17]С2.5!$U$11</f>
        <v>0</v>
      </c>
    </row>
    <row r="160" spans="1:4" hidden="1">
      <c r="B160" s="110">
        <f t="shared" si="0"/>
        <v>2037</v>
      </c>
      <c r="C160" s="111">
        <f>[17]С2.5!$V$11</f>
        <v>0</v>
      </c>
    </row>
    <row r="161" spans="2:3" hidden="1">
      <c r="B161" s="110">
        <f t="shared" si="0"/>
        <v>2038</v>
      </c>
      <c r="C161" s="111">
        <f>[17]С2.5!$W$11</f>
        <v>0</v>
      </c>
    </row>
    <row r="162" spans="2:3" hidden="1">
      <c r="B162" s="110">
        <f t="shared" si="0"/>
        <v>2039</v>
      </c>
      <c r="C162" s="111">
        <f>[17]С2.5!$X$11</f>
        <v>0</v>
      </c>
    </row>
    <row r="163" spans="2:3" hidden="1">
      <c r="B163" s="110">
        <f t="shared" si="0"/>
        <v>2040</v>
      </c>
      <c r="C163" s="111">
        <f>[17]С2.5!$Y$11</f>
        <v>0</v>
      </c>
    </row>
    <row r="164" spans="2:3" hidden="1">
      <c r="B164" s="110">
        <f t="shared" si="0"/>
        <v>2041</v>
      </c>
      <c r="C164" s="111">
        <f>[17]С2.5!$Z$11</f>
        <v>0</v>
      </c>
    </row>
    <row r="165" spans="2:3" hidden="1">
      <c r="B165" s="110">
        <f t="shared" si="0"/>
        <v>2042</v>
      </c>
      <c r="C165" s="111">
        <f>[17]С2.5!$AA$11</f>
        <v>0</v>
      </c>
    </row>
    <row r="166" spans="2:3" hidden="1">
      <c r="B166" s="110">
        <f t="shared" si="0"/>
        <v>2043</v>
      </c>
      <c r="C166" s="111">
        <f>[17]С2.5!$AB$11</f>
        <v>0</v>
      </c>
    </row>
    <row r="167" spans="2:3" hidden="1">
      <c r="B167" s="110">
        <f t="shared" si="0"/>
        <v>2044</v>
      </c>
      <c r="C167" s="111">
        <f>[17]С2.5!$AC$11</f>
        <v>0</v>
      </c>
    </row>
    <row r="168" spans="2:3" hidden="1">
      <c r="B168" s="110">
        <f t="shared" si="0"/>
        <v>2045</v>
      </c>
      <c r="C168" s="111">
        <f>[17]С2.5!$AD$11</f>
        <v>0</v>
      </c>
    </row>
    <row r="169" spans="2:3" hidden="1">
      <c r="B169" s="110">
        <f t="shared" si="0"/>
        <v>2046</v>
      </c>
      <c r="C169" s="111">
        <f>[17]С2.5!$AE$11</f>
        <v>0</v>
      </c>
    </row>
    <row r="170" spans="2:3" hidden="1">
      <c r="B170" s="110">
        <f t="shared" si="0"/>
        <v>2047</v>
      </c>
      <c r="C170" s="111">
        <f>[17]С2.5!$AF$11</f>
        <v>0</v>
      </c>
    </row>
    <row r="171" spans="2:3" hidden="1">
      <c r="B171" s="110">
        <f t="shared" si="0"/>
        <v>2048</v>
      </c>
      <c r="C171" s="111">
        <f>[17]С2.5!$AG$11</f>
        <v>0</v>
      </c>
    </row>
    <row r="172" spans="2:3" hidden="1">
      <c r="B172" s="110">
        <f t="shared" si="0"/>
        <v>2049</v>
      </c>
      <c r="C172" s="111">
        <f>[17]С2.5!$AH$11</f>
        <v>0</v>
      </c>
    </row>
    <row r="173" spans="2:3" hidden="1">
      <c r="B173" s="110">
        <f t="shared" si="0"/>
        <v>2050</v>
      </c>
      <c r="C173" s="111">
        <f>[17]С2.5!$AI$11</f>
        <v>0</v>
      </c>
    </row>
    <row r="174" spans="2:3" hidden="1">
      <c r="B174" s="110">
        <f t="shared" si="0"/>
        <v>2051</v>
      </c>
      <c r="C174" s="111">
        <f>[17]С2.5!$AJ$11</f>
        <v>0</v>
      </c>
    </row>
    <row r="175" spans="2:3" hidden="1">
      <c r="B175" s="110">
        <f t="shared" si="0"/>
        <v>2052</v>
      </c>
      <c r="C175" s="111">
        <f>[17]С2.5!$AK$11</f>
        <v>0</v>
      </c>
    </row>
    <row r="176" spans="2:3" hidden="1">
      <c r="B176" s="110">
        <f t="shared" si="0"/>
        <v>2053</v>
      </c>
      <c r="C176" s="111">
        <f>[17]С2.5!$AL$11</f>
        <v>0</v>
      </c>
    </row>
    <row r="177" spans="2:3" hidden="1">
      <c r="B177" s="110">
        <f t="shared" si="0"/>
        <v>2054</v>
      </c>
      <c r="C177" s="111">
        <f>[17]С2.5!$AM$11</f>
        <v>0</v>
      </c>
    </row>
    <row r="178" spans="2:3" hidden="1">
      <c r="B178" s="110">
        <f t="shared" si="0"/>
        <v>2055</v>
      </c>
      <c r="C178" s="111">
        <f>[17]С2.5!$AN$11</f>
        <v>0</v>
      </c>
    </row>
    <row r="179" spans="2:3" hidden="1">
      <c r="B179" s="110">
        <f t="shared" si="0"/>
        <v>2056</v>
      </c>
      <c r="C179" s="111">
        <f>[17]С2.5!$AO$11</f>
        <v>0</v>
      </c>
    </row>
    <row r="180" spans="2:3" hidden="1">
      <c r="B180" s="110">
        <f t="shared" si="0"/>
        <v>2057</v>
      </c>
      <c r="C180" s="111">
        <f>[17]С2.5!$AP$11</f>
        <v>0</v>
      </c>
    </row>
    <row r="181" spans="2:3" hidden="1">
      <c r="B181" s="110">
        <f t="shared" si="0"/>
        <v>2058</v>
      </c>
      <c r="C181" s="111">
        <f>[17]С2.5!$AQ$11</f>
        <v>0</v>
      </c>
    </row>
    <row r="182" spans="2:3" hidden="1">
      <c r="B182" s="110">
        <f t="shared" si="0"/>
        <v>2059</v>
      </c>
      <c r="C182" s="111">
        <f>[17]С2.5!$AR$11</f>
        <v>0</v>
      </c>
    </row>
    <row r="183" spans="2:3" hidden="1">
      <c r="B183" s="110">
        <f t="shared" si="0"/>
        <v>2060</v>
      </c>
      <c r="C183" s="111">
        <f>[17]С2.5!$AS$11</f>
        <v>0</v>
      </c>
    </row>
    <row r="184" spans="2:3" hidden="1">
      <c r="B184" s="110">
        <f t="shared" si="0"/>
        <v>2061</v>
      </c>
      <c r="C184" s="111">
        <f>[17]С2.5!$AT$11</f>
        <v>0</v>
      </c>
    </row>
    <row r="185" spans="2:3" hidden="1">
      <c r="B185" s="110">
        <f t="shared" si="0"/>
        <v>2062</v>
      </c>
      <c r="C185" s="111">
        <f>[17]С2.5!$AU$11</f>
        <v>0</v>
      </c>
    </row>
    <row r="186" spans="2:3" hidden="1">
      <c r="B186" s="110">
        <f t="shared" si="0"/>
        <v>2063</v>
      </c>
      <c r="C186" s="111">
        <f>[17]С2.5!$AV$11</f>
        <v>0</v>
      </c>
    </row>
    <row r="187" spans="2:3" hidden="1">
      <c r="B187" s="110">
        <f t="shared" si="0"/>
        <v>2064</v>
      </c>
      <c r="C187" s="111">
        <f>[17]С2.5!$AW$11</f>
        <v>0</v>
      </c>
    </row>
    <row r="188" spans="2:3" hidden="1">
      <c r="B188" s="110">
        <f t="shared" si="0"/>
        <v>2065</v>
      </c>
      <c r="C188" s="111">
        <f>[17]С2.5!$AX$11</f>
        <v>0</v>
      </c>
    </row>
    <row r="189" spans="2:3" hidden="1">
      <c r="B189" s="110">
        <f t="shared" si="0"/>
        <v>2066</v>
      </c>
      <c r="C189" s="111">
        <f>[17]С2.5!$AY$11</f>
        <v>0</v>
      </c>
    </row>
    <row r="190" spans="2:3" hidden="1">
      <c r="B190" s="110">
        <f t="shared" si="0"/>
        <v>2067</v>
      </c>
      <c r="C190" s="111">
        <f>[17]С2.5!$AZ$11</f>
        <v>0</v>
      </c>
    </row>
    <row r="191" spans="2:3" hidden="1">
      <c r="B191" s="110">
        <f t="shared" si="0"/>
        <v>2068</v>
      </c>
      <c r="C191" s="111">
        <f>[17]С2.5!$BA$11</f>
        <v>0</v>
      </c>
    </row>
    <row r="192" spans="2:3" hidden="1">
      <c r="B192" s="110">
        <f t="shared" si="0"/>
        <v>2069</v>
      </c>
      <c r="C192" s="111">
        <f>[17]С2.5!$BB$11</f>
        <v>0</v>
      </c>
    </row>
    <row r="193" spans="2:3" hidden="1">
      <c r="B193" s="110">
        <f t="shared" si="0"/>
        <v>2070</v>
      </c>
      <c r="C193" s="111">
        <f>[17]С2.5!$BC$11</f>
        <v>0</v>
      </c>
    </row>
    <row r="194" spans="2:3" hidden="1">
      <c r="B194" s="110">
        <f t="shared" si="0"/>
        <v>2071</v>
      </c>
      <c r="C194" s="111">
        <f>[17]С2.5!$BD$11</f>
        <v>0</v>
      </c>
    </row>
    <row r="195" spans="2:3" hidden="1">
      <c r="B195" s="110">
        <f t="shared" si="0"/>
        <v>2072</v>
      </c>
      <c r="C195" s="111">
        <f>[17]С2.5!$BE$11</f>
        <v>0</v>
      </c>
    </row>
    <row r="196" spans="2:3" hidden="1">
      <c r="B196" s="110">
        <f t="shared" si="0"/>
        <v>2073</v>
      </c>
      <c r="C196" s="111">
        <f>[17]С2.5!$BF$11</f>
        <v>0</v>
      </c>
    </row>
    <row r="197" spans="2:3" hidden="1">
      <c r="B197" s="110">
        <f t="shared" si="0"/>
        <v>2074</v>
      </c>
      <c r="C197" s="111">
        <f>[17]С2.5!$BG$11</f>
        <v>0</v>
      </c>
    </row>
    <row r="198" spans="2:3" hidden="1">
      <c r="B198" s="110">
        <f t="shared" si="0"/>
        <v>2075</v>
      </c>
      <c r="C198" s="111">
        <f>[17]С2.5!$BH$11</f>
        <v>0</v>
      </c>
    </row>
    <row r="199" spans="2:3" hidden="1">
      <c r="B199" s="110">
        <f t="shared" si="0"/>
        <v>2076</v>
      </c>
      <c r="C199" s="111">
        <f>[17]С2.5!$BI$11</f>
        <v>0</v>
      </c>
    </row>
    <row r="200" spans="2:3" hidden="1">
      <c r="B200" s="110">
        <f t="shared" si="0"/>
        <v>2077</v>
      </c>
      <c r="C200" s="111">
        <f>[17]С2.5!$BJ$11</f>
        <v>0</v>
      </c>
    </row>
    <row r="201" spans="2:3" hidden="1">
      <c r="B201" s="110">
        <f t="shared" si="0"/>
        <v>2078</v>
      </c>
      <c r="C201" s="111">
        <f>[17]С2.5!$BK$11</f>
        <v>0</v>
      </c>
    </row>
    <row r="202" spans="2:3" hidden="1">
      <c r="B202" s="110">
        <f t="shared" si="0"/>
        <v>2079</v>
      </c>
      <c r="C202" s="111">
        <f>[17]С2.5!$BL$11</f>
        <v>0</v>
      </c>
    </row>
    <row r="203" spans="2:3" hidden="1">
      <c r="B203" s="110">
        <f t="shared" si="0"/>
        <v>2080</v>
      </c>
      <c r="C203" s="111">
        <f>[17]С2.5!$BM$11</f>
        <v>0</v>
      </c>
    </row>
    <row r="204" spans="2:3" hidden="1">
      <c r="B204" s="110">
        <f t="shared" si="0"/>
        <v>2081</v>
      </c>
      <c r="C204" s="111">
        <f>[17]С2.5!$BN$11</f>
        <v>0</v>
      </c>
    </row>
    <row r="205" spans="2:3" hidden="1">
      <c r="B205" s="110">
        <f t="shared" si="0"/>
        <v>2082</v>
      </c>
      <c r="C205" s="111">
        <f>[17]С2.5!$BO$11</f>
        <v>0</v>
      </c>
    </row>
    <row r="206" spans="2:3" hidden="1">
      <c r="B206" s="110">
        <f t="shared" si="0"/>
        <v>2083</v>
      </c>
      <c r="C206" s="111">
        <f>[17]С2.5!$BP$11</f>
        <v>0</v>
      </c>
    </row>
    <row r="207" spans="2:3" hidden="1">
      <c r="B207" s="110">
        <f t="shared" si="0"/>
        <v>2084</v>
      </c>
      <c r="C207" s="111">
        <f>[17]С2.5!$BQ$11</f>
        <v>0</v>
      </c>
    </row>
    <row r="208" spans="2:3" hidden="1">
      <c r="B208" s="110">
        <f t="shared" si="0"/>
        <v>2085</v>
      </c>
      <c r="C208" s="111">
        <f>[17]С2.5!$BR$11</f>
        <v>0</v>
      </c>
    </row>
    <row r="209" spans="2:3" hidden="1">
      <c r="B209" s="110">
        <f t="shared" ref="B209:B223" si="1">B208+1</f>
        <v>2086</v>
      </c>
      <c r="C209" s="111">
        <f>[17]С2.5!$BS$11</f>
        <v>0</v>
      </c>
    </row>
    <row r="210" spans="2:3" hidden="1">
      <c r="B210" s="110">
        <f t="shared" si="1"/>
        <v>2087</v>
      </c>
      <c r="C210" s="111">
        <f>[17]С2.5!$BT$11</f>
        <v>0</v>
      </c>
    </row>
    <row r="211" spans="2:3" hidden="1">
      <c r="B211" s="110">
        <f t="shared" si="1"/>
        <v>2088</v>
      </c>
      <c r="C211" s="111">
        <f>[17]С2.5!$BU$11</f>
        <v>0</v>
      </c>
    </row>
    <row r="212" spans="2:3" hidden="1">
      <c r="B212" s="110">
        <f t="shared" si="1"/>
        <v>2089</v>
      </c>
      <c r="C212" s="111">
        <f>[17]С2.5!$BV$11</f>
        <v>0</v>
      </c>
    </row>
    <row r="213" spans="2:3" hidden="1">
      <c r="B213" s="110">
        <f t="shared" si="1"/>
        <v>2090</v>
      </c>
      <c r="C213" s="111">
        <f>[17]С2.5!$BW$11</f>
        <v>0</v>
      </c>
    </row>
    <row r="214" spans="2:3" hidden="1">
      <c r="B214" s="110">
        <f t="shared" si="1"/>
        <v>2091</v>
      </c>
      <c r="C214" s="111">
        <f>[17]С2.5!$BX$11</f>
        <v>0</v>
      </c>
    </row>
    <row r="215" spans="2:3" hidden="1">
      <c r="B215" s="110">
        <f t="shared" si="1"/>
        <v>2092</v>
      </c>
      <c r="C215" s="111">
        <f>[17]С2.5!$BY$11</f>
        <v>0</v>
      </c>
    </row>
    <row r="216" spans="2:3" hidden="1">
      <c r="B216" s="110">
        <f t="shared" si="1"/>
        <v>2093</v>
      </c>
      <c r="C216" s="111">
        <f>[17]С2.5!$BZ$11</f>
        <v>0</v>
      </c>
    </row>
    <row r="217" spans="2:3" hidden="1">
      <c r="B217" s="110">
        <f t="shared" si="1"/>
        <v>2094</v>
      </c>
      <c r="C217" s="111">
        <f>[17]С2.5!$CA$11</f>
        <v>0</v>
      </c>
    </row>
    <row r="218" spans="2:3" hidden="1">
      <c r="B218" s="110">
        <f t="shared" si="1"/>
        <v>2095</v>
      </c>
      <c r="C218" s="111">
        <f>[17]С2.5!$CB$11</f>
        <v>0</v>
      </c>
    </row>
    <row r="219" spans="2:3" hidden="1">
      <c r="B219" s="110">
        <f t="shared" si="1"/>
        <v>2096</v>
      </c>
      <c r="C219" s="111">
        <f>[17]С2.5!$CC$11</f>
        <v>0</v>
      </c>
    </row>
    <row r="220" spans="2:3" hidden="1">
      <c r="B220" s="110">
        <f t="shared" si="1"/>
        <v>2097</v>
      </c>
      <c r="C220" s="111">
        <f>[17]С2.5!$CD$11</f>
        <v>0</v>
      </c>
    </row>
    <row r="221" spans="2:3" hidden="1">
      <c r="B221" s="110">
        <f t="shared" si="1"/>
        <v>2098</v>
      </c>
      <c r="C221" s="111">
        <f>[17]С2.5!$CE$11</f>
        <v>0</v>
      </c>
    </row>
    <row r="222" spans="2:3" hidden="1">
      <c r="B222" s="110">
        <f t="shared" si="1"/>
        <v>2099</v>
      </c>
      <c r="C222" s="111">
        <f>[17]С2.5!$CF$11</f>
        <v>0</v>
      </c>
    </row>
    <row r="223" spans="2:3" ht="13.5" hidden="1" thickBot="1">
      <c r="B223" s="112">
        <f t="shared" si="1"/>
        <v>2100</v>
      </c>
      <c r="C223" s="113">
        <f>[17]С2.5!$CG$11</f>
        <v>0</v>
      </c>
    </row>
    <row r="224" spans="2:3" hidden="1">
      <c r="C224" s="116"/>
    </row>
    <row r="225" spans="3:3" hidden="1">
      <c r="C225" s="116"/>
    </row>
    <row r="226" spans="3:3">
      <c r="C226" s="116"/>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1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Баклушевское</vt:lpstr>
      <vt:lpstr>Волчанское</vt:lpstr>
      <vt:lpstr>Доволенское</vt:lpstr>
      <vt:lpstr>Ильинское</vt:lpstr>
      <vt:lpstr>Индерское</vt:lpstr>
      <vt:lpstr>Комарьевское</vt:lpstr>
      <vt:lpstr>Красногривенское</vt:lpstr>
      <vt:lpstr>Согорнское</vt:lpstr>
      <vt:lpstr>Суздальское</vt:lpstr>
      <vt:lpstr>Травнинское</vt:lpstr>
      <vt:lpstr>Утянское</vt:lpstr>
      <vt:lpstr>Шагальское</vt:lpstr>
      <vt:lpstr>Ярковское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Баянова</dc:creator>
  <cp:lastModifiedBy>Баянова</cp:lastModifiedBy>
  <dcterms:created xsi:type="dcterms:W3CDTF">2023-01-18T03:37:57Z</dcterms:created>
  <dcterms:modified xsi:type="dcterms:W3CDTF">2023-01-18T05:14:05Z</dcterms:modified>
</cp:coreProperties>
</file>