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600" yWindow="420" windowWidth="27555" windowHeight="13335" tabRatio="895"/>
  </bookViews>
  <sheets>
    <sheet name="Бурмистровский" sheetId="1" r:id="rId1"/>
    <sheet name="Быстровский" sheetId="2" r:id="rId2"/>
    <sheet name="Верх-Коенский" sheetId="3" r:id="rId3"/>
    <sheet name="Гилевский" sheetId="4" r:id="rId4"/>
    <sheet name="Гусельниковский" sheetId="5" r:id="rId5"/>
    <sheet name="Евсинский газ" sheetId="6" r:id="rId6"/>
    <sheet name="Легостаевский" sheetId="7" r:id="rId7"/>
    <sheet name="Листвянский" sheetId="8" r:id="rId8"/>
    <sheet name="Мичуринский" sheetId="9" r:id="rId9"/>
    <sheet name="Морозовский" sheetId="10" r:id="rId10"/>
    <sheet name="Преображенкий" sheetId="11" r:id="rId11"/>
    <sheet name="Промышленный" sheetId="12" r:id="rId12"/>
    <sheet name="Совхозный газ" sheetId="13" r:id="rId13"/>
    <sheet name="Совхозный уголь" sheetId="21" r:id="rId14"/>
    <sheet name="Степной" sheetId="14" r:id="rId15"/>
    <sheet name="Тальменский" sheetId="15" r:id="rId16"/>
    <sheet name="Улыбинский" sheetId="16" r:id="rId17"/>
    <sheet name="Усть-Чемской" sheetId="17" r:id="rId18"/>
    <sheet name="Чернореченский газ" sheetId="18" r:id="rId19"/>
    <sheet name="Чернореченский уголь" sheetId="20" r:id="rId20"/>
    <sheet name="Шибковский" sheetId="19" r:id="rId21"/>
    <sheet name="Евсинский уголь" sheetId="22" r:id="rId22"/>
  </sheets>
  <externalReferences>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s>
  <calcPr calcId="145621"/>
</workbook>
</file>

<file path=xl/calcChain.xml><?xml version="1.0" encoding="utf-8"?>
<calcChain xmlns="http://schemas.openxmlformats.org/spreadsheetml/2006/main">
  <c r="C7" i="22" l="1"/>
  <c r="C7" i="19"/>
  <c r="C7" i="20"/>
  <c r="C7" i="18"/>
  <c r="C7" i="17"/>
  <c r="C7" i="16"/>
  <c r="C7" i="15"/>
  <c r="C7" i="14"/>
  <c r="C7" i="21"/>
  <c r="C7" i="13"/>
  <c r="C7" i="12"/>
  <c r="C7" i="11"/>
  <c r="C7" i="10"/>
  <c r="C7" i="9"/>
  <c r="C7" i="8"/>
  <c r="C7" i="7"/>
  <c r="C7" i="6"/>
  <c r="C7" i="5"/>
  <c r="C7" i="3"/>
  <c r="C7" i="4"/>
  <c r="C7" i="2"/>
  <c r="C7" i="1"/>
  <c r="C5" i="22" l="1"/>
  <c r="C5" i="19" l="1"/>
  <c r="C5" i="20"/>
  <c r="C5" i="18"/>
  <c r="C5" i="17"/>
  <c r="C5" i="16"/>
  <c r="C5" i="15"/>
  <c r="C5" i="14"/>
  <c r="C5" i="21"/>
  <c r="C5" i="13"/>
  <c r="C5" i="12"/>
  <c r="C5" i="11"/>
  <c r="C5" i="10"/>
  <c r="C5" i="9"/>
  <c r="C5" i="8"/>
  <c r="C5" i="7"/>
  <c r="C5" i="6"/>
  <c r="C5" i="5"/>
  <c r="C5" i="4"/>
  <c r="C5" i="3"/>
  <c r="C5" i="2"/>
  <c r="C5" i="1"/>
  <c r="C22" i="7" l="1"/>
  <c r="C223" i="22"/>
  <c r="C222" i="22"/>
  <c r="C221" i="22"/>
  <c r="C220" i="22"/>
  <c r="C219" i="22"/>
  <c r="C218" i="22"/>
  <c r="C217" i="22"/>
  <c r="C216" i="22"/>
  <c r="C215" i="22"/>
  <c r="C214" i="22"/>
  <c r="C213" i="22"/>
  <c r="C212" i="22"/>
  <c r="C211" i="22"/>
  <c r="C210" i="22"/>
  <c r="C209" i="22"/>
  <c r="C208" i="22"/>
  <c r="C207" i="22"/>
  <c r="C206" i="22"/>
  <c r="C205" i="22"/>
  <c r="C204" i="22"/>
  <c r="C203" i="22"/>
  <c r="C202" i="22"/>
  <c r="C201" i="22"/>
  <c r="C200" i="22"/>
  <c r="C199" i="22"/>
  <c r="C198" i="22"/>
  <c r="C197" i="22"/>
  <c r="C196" i="22"/>
  <c r="C195" i="22"/>
  <c r="C194" i="22"/>
  <c r="C193" i="22"/>
  <c r="C192" i="22"/>
  <c r="C191" i="22"/>
  <c r="C190" i="22"/>
  <c r="C189" i="22"/>
  <c r="C188" i="22"/>
  <c r="C187" i="22"/>
  <c r="C186" i="22"/>
  <c r="C185" i="22"/>
  <c r="C184" i="22"/>
  <c r="C183" i="22"/>
  <c r="C182" i="22"/>
  <c r="C181" i="22"/>
  <c r="C180" i="22"/>
  <c r="C179" i="22"/>
  <c r="C178" i="22"/>
  <c r="C177" i="22"/>
  <c r="C176" i="22"/>
  <c r="C175" i="22"/>
  <c r="C174" i="22"/>
  <c r="C173" i="22"/>
  <c r="C172" i="22"/>
  <c r="C171" i="22"/>
  <c r="C170" i="22"/>
  <c r="C169" i="22"/>
  <c r="C168" i="22"/>
  <c r="C167" i="22"/>
  <c r="C166" i="22"/>
  <c r="C165" i="22"/>
  <c r="C164" i="22"/>
  <c r="C163" i="22"/>
  <c r="C162" i="22"/>
  <c r="C161" i="22"/>
  <c r="C160" i="22"/>
  <c r="C159" i="22"/>
  <c r="C158" i="22"/>
  <c r="C157" i="22"/>
  <c r="C156" i="22"/>
  <c r="C155" i="22"/>
  <c r="C154" i="22"/>
  <c r="C153" i="22"/>
  <c r="C152" i="22"/>
  <c r="C151" i="22"/>
  <c r="C150" i="22"/>
  <c r="C149" i="22"/>
  <c r="C148" i="22"/>
  <c r="C147" i="22"/>
  <c r="C146" i="22"/>
  <c r="C145" i="22"/>
  <c r="C144" i="22"/>
  <c r="B144" i="22"/>
  <c r="B145" i="22" s="1"/>
  <c r="B146" i="22" s="1"/>
  <c r="B147" i="22" s="1"/>
  <c r="B148" i="22" s="1"/>
  <c r="B149" i="22" s="1"/>
  <c r="B150" i="22" s="1"/>
  <c r="B151" i="22" s="1"/>
  <c r="B152" i="22" s="1"/>
  <c r="B153" i="22" s="1"/>
  <c r="B154" i="22" s="1"/>
  <c r="B155" i="22" s="1"/>
  <c r="B156" i="22" s="1"/>
  <c r="B157" i="22" s="1"/>
  <c r="B158" i="22" s="1"/>
  <c r="B159" i="22" s="1"/>
  <c r="B160" i="22" s="1"/>
  <c r="B161" i="22" s="1"/>
  <c r="B162" i="22" s="1"/>
  <c r="B163" i="22" s="1"/>
  <c r="B164" i="22" s="1"/>
  <c r="B165" i="22" s="1"/>
  <c r="B166" i="22" s="1"/>
  <c r="B167" i="22" s="1"/>
  <c r="B168" i="22" s="1"/>
  <c r="B169" i="22" s="1"/>
  <c r="B170" i="22" s="1"/>
  <c r="B171" i="22" s="1"/>
  <c r="B172" i="22" s="1"/>
  <c r="B173" i="22" s="1"/>
  <c r="B174" i="22" s="1"/>
  <c r="B175" i="22" s="1"/>
  <c r="B176" i="22" s="1"/>
  <c r="B177" i="22" s="1"/>
  <c r="B178" i="22" s="1"/>
  <c r="B179" i="22" s="1"/>
  <c r="B180" i="22" s="1"/>
  <c r="B181" i="22" s="1"/>
  <c r="B182" i="22" s="1"/>
  <c r="B183" i="22" s="1"/>
  <c r="B184" i="22" s="1"/>
  <c r="B185" i="22" s="1"/>
  <c r="B186" i="22" s="1"/>
  <c r="B187" i="22" s="1"/>
  <c r="B188" i="22" s="1"/>
  <c r="B189" i="22" s="1"/>
  <c r="B190" i="22" s="1"/>
  <c r="B191" i="22" s="1"/>
  <c r="B192" i="22" s="1"/>
  <c r="B193" i="22" s="1"/>
  <c r="B194" i="22" s="1"/>
  <c r="B195" i="22" s="1"/>
  <c r="B196" i="22" s="1"/>
  <c r="B197" i="22" s="1"/>
  <c r="B198" i="22" s="1"/>
  <c r="B199" i="22" s="1"/>
  <c r="B200" i="22" s="1"/>
  <c r="B201" i="22" s="1"/>
  <c r="B202" i="22" s="1"/>
  <c r="B203" i="22" s="1"/>
  <c r="B204" i="22" s="1"/>
  <c r="B205" i="22" s="1"/>
  <c r="B206" i="22" s="1"/>
  <c r="B207" i="22" s="1"/>
  <c r="B208" i="22" s="1"/>
  <c r="B209" i="22" s="1"/>
  <c r="B210" i="22" s="1"/>
  <c r="B211" i="22" s="1"/>
  <c r="B212" i="22" s="1"/>
  <c r="B213" i="22" s="1"/>
  <c r="B214" i="22" s="1"/>
  <c r="B215" i="22" s="1"/>
  <c r="B216" i="22" s="1"/>
  <c r="B217" i="22" s="1"/>
  <c r="B218" i="22" s="1"/>
  <c r="B219" i="22" s="1"/>
  <c r="B220" i="22" s="1"/>
  <c r="B221" i="22" s="1"/>
  <c r="B222" i="22" s="1"/>
  <c r="B223" i="22" s="1"/>
  <c r="C143" i="22"/>
  <c r="C140" i="22"/>
  <c r="C138" i="22"/>
  <c r="C137" i="22"/>
  <c r="C136" i="22"/>
  <c r="C135" i="22"/>
  <c r="C125" i="22"/>
  <c r="C122" i="22"/>
  <c r="C121" i="22"/>
  <c r="C120" i="22"/>
  <c r="C119" i="22"/>
  <c r="C118" i="22"/>
  <c r="C117" i="22"/>
  <c r="C116" i="22"/>
  <c r="C115" i="22"/>
  <c r="C114" i="22"/>
  <c r="C113" i="22"/>
  <c r="C112" i="22"/>
  <c r="C111" i="22"/>
  <c r="C110" i="22"/>
  <c r="C109" i="22"/>
  <c r="C108" i="22"/>
  <c r="C107" i="22"/>
  <c r="C106" i="22"/>
  <c r="C105" i="22"/>
  <c r="C104" i="22"/>
  <c r="C103" i="22"/>
  <c r="C102" i="22"/>
  <c r="C101" i="22"/>
  <c r="C100" i="22"/>
  <c r="C99" i="22"/>
  <c r="C98" i="22"/>
  <c r="C97" i="22"/>
  <c r="C96" i="22"/>
  <c r="C93" i="22"/>
  <c r="C92" i="22"/>
  <c r="C91" i="22"/>
  <c r="C90" i="22"/>
  <c r="C89" i="22"/>
  <c r="C88" i="22"/>
  <c r="C87" i="22"/>
  <c r="C86" i="22"/>
  <c r="C85" i="22"/>
  <c r="C82" i="22"/>
  <c r="C81" i="22"/>
  <c r="C80" i="22"/>
  <c r="C79" i="22"/>
  <c r="C78" i="22"/>
  <c r="C77" i="22"/>
  <c r="C76" i="22"/>
  <c r="C75" i="22"/>
  <c r="C74" i="22"/>
  <c r="C73" i="22"/>
  <c r="C72" i="22"/>
  <c r="C71" i="22"/>
  <c r="C70" i="22"/>
  <c r="C69" i="22"/>
  <c r="C68" i="22"/>
  <c r="C67" i="22"/>
  <c r="C66" i="22"/>
  <c r="C65" i="22"/>
  <c r="C64" i="22"/>
  <c r="C63" i="22"/>
  <c r="C62" i="22"/>
  <c r="C61" i="22"/>
  <c r="C60" i="22"/>
  <c r="C59" i="22"/>
  <c r="C58" i="22"/>
  <c r="C57" i="22"/>
  <c r="C56" i="22"/>
  <c r="C55" i="22"/>
  <c r="C54" i="22"/>
  <c r="C53" i="22"/>
  <c r="C52" i="22"/>
  <c r="C51" i="22"/>
  <c r="C50" i="22"/>
  <c r="C49" i="22"/>
  <c r="C48" i="22"/>
  <c r="C47" i="22"/>
  <c r="C46" i="22"/>
  <c r="C45" i="22"/>
  <c r="C44" i="22"/>
  <c r="C43" i="22"/>
  <c r="C42" i="22"/>
  <c r="C41" i="22"/>
  <c r="C38" i="22"/>
  <c r="C37" i="22"/>
  <c r="C36" i="22"/>
  <c r="C35" i="22"/>
  <c r="C34" i="22"/>
  <c r="C33" i="22"/>
  <c r="C32" i="22"/>
  <c r="C31" i="22"/>
  <c r="C30" i="22"/>
  <c r="C29" i="22"/>
  <c r="C28" i="22"/>
  <c r="C23" i="22"/>
  <c r="C22" i="22"/>
  <c r="C21" i="22"/>
  <c r="C20" i="22"/>
  <c r="C19" i="22"/>
  <c r="C18" i="22"/>
  <c r="C13" i="22"/>
  <c r="B13" i="22"/>
  <c r="C12" i="22"/>
  <c r="B12" i="22"/>
  <c r="C11" i="22"/>
  <c r="B11" i="22"/>
  <c r="C10" i="22"/>
  <c r="B10" i="22"/>
  <c r="C9" i="22"/>
  <c r="B9" i="22"/>
  <c r="C8" i="22"/>
  <c r="B8" i="22"/>
  <c r="B7" i="22"/>
  <c r="C6" i="22"/>
  <c r="B6" i="22"/>
  <c r="B5" i="22"/>
  <c r="C4" i="22"/>
  <c r="B4" i="22"/>
  <c r="C17" i="22" l="1"/>
  <c r="C223" i="19"/>
  <c r="C222" i="19"/>
  <c r="C221" i="19"/>
  <c r="C220" i="19"/>
  <c r="C219" i="19"/>
  <c r="C218" i="19"/>
  <c r="C217" i="19"/>
  <c r="C216" i="19"/>
  <c r="C215" i="19"/>
  <c r="C214" i="19"/>
  <c r="C213" i="19"/>
  <c r="C212" i="19"/>
  <c r="C211" i="19"/>
  <c r="C210" i="19"/>
  <c r="C209" i="19"/>
  <c r="C208" i="19"/>
  <c r="C207" i="19"/>
  <c r="C206" i="19"/>
  <c r="C205" i="19"/>
  <c r="C204" i="19"/>
  <c r="C203" i="19"/>
  <c r="C202" i="19"/>
  <c r="C201" i="19"/>
  <c r="C200" i="19"/>
  <c r="C199" i="19"/>
  <c r="C198" i="19"/>
  <c r="C197" i="19"/>
  <c r="C196" i="19"/>
  <c r="C195" i="19"/>
  <c r="C194" i="19"/>
  <c r="C193" i="19"/>
  <c r="C192" i="19"/>
  <c r="C191" i="19"/>
  <c r="C190" i="19"/>
  <c r="C189" i="19"/>
  <c r="C188" i="19"/>
  <c r="C187" i="19"/>
  <c r="C186" i="19"/>
  <c r="C185" i="19"/>
  <c r="C184" i="19"/>
  <c r="C183" i="19"/>
  <c r="C182" i="19"/>
  <c r="C181" i="19"/>
  <c r="C180" i="19"/>
  <c r="C179" i="19"/>
  <c r="C178" i="19"/>
  <c r="C177" i="19"/>
  <c r="C176" i="19"/>
  <c r="C175" i="19"/>
  <c r="C174" i="19"/>
  <c r="C173" i="19"/>
  <c r="C172" i="19"/>
  <c r="C171" i="19"/>
  <c r="C170" i="19"/>
  <c r="C169" i="19"/>
  <c r="C168" i="19"/>
  <c r="C167" i="19"/>
  <c r="C166" i="19"/>
  <c r="C165" i="19"/>
  <c r="C164" i="19"/>
  <c r="C163" i="19"/>
  <c r="C162" i="19"/>
  <c r="C161" i="19"/>
  <c r="C160" i="19"/>
  <c r="C159" i="19"/>
  <c r="C158" i="19"/>
  <c r="C157" i="19"/>
  <c r="C156" i="19"/>
  <c r="C155" i="19"/>
  <c r="C154" i="19"/>
  <c r="C153" i="19"/>
  <c r="C152" i="19"/>
  <c r="C151" i="19"/>
  <c r="C150" i="19"/>
  <c r="C149" i="19"/>
  <c r="C148" i="19"/>
  <c r="C147" i="19"/>
  <c r="C146" i="19"/>
  <c r="C145" i="19"/>
  <c r="C144" i="19"/>
  <c r="B144" i="19"/>
  <c r="B145" i="19" s="1"/>
  <c r="B146" i="19" s="1"/>
  <c r="B147" i="19" s="1"/>
  <c r="B148" i="19" s="1"/>
  <c r="B149" i="19" s="1"/>
  <c r="B150" i="19" s="1"/>
  <c r="B151" i="19" s="1"/>
  <c r="B152" i="19" s="1"/>
  <c r="B153" i="19" s="1"/>
  <c r="B154" i="19" s="1"/>
  <c r="B155" i="19" s="1"/>
  <c r="B156" i="19" s="1"/>
  <c r="B157" i="19" s="1"/>
  <c r="B158" i="19" s="1"/>
  <c r="B159" i="19" s="1"/>
  <c r="B160" i="19" s="1"/>
  <c r="B161" i="19" s="1"/>
  <c r="B162" i="19" s="1"/>
  <c r="B163" i="19" s="1"/>
  <c r="B164" i="19" s="1"/>
  <c r="B165" i="19" s="1"/>
  <c r="B166" i="19" s="1"/>
  <c r="B167" i="19" s="1"/>
  <c r="B168" i="19" s="1"/>
  <c r="B169" i="19" s="1"/>
  <c r="B170" i="19" s="1"/>
  <c r="B171" i="19" s="1"/>
  <c r="B172" i="19" s="1"/>
  <c r="B173" i="19" s="1"/>
  <c r="B174" i="19" s="1"/>
  <c r="B175" i="19" s="1"/>
  <c r="B176" i="19" s="1"/>
  <c r="B177" i="19" s="1"/>
  <c r="B178" i="19" s="1"/>
  <c r="B179" i="19" s="1"/>
  <c r="B180" i="19" s="1"/>
  <c r="B181" i="19" s="1"/>
  <c r="B182" i="19" s="1"/>
  <c r="B183" i="19" s="1"/>
  <c r="B184" i="19" s="1"/>
  <c r="B185" i="19" s="1"/>
  <c r="B186" i="19" s="1"/>
  <c r="B187" i="19" s="1"/>
  <c r="B188" i="19" s="1"/>
  <c r="B189" i="19" s="1"/>
  <c r="B190" i="19" s="1"/>
  <c r="B191" i="19" s="1"/>
  <c r="B192" i="19" s="1"/>
  <c r="B193" i="19" s="1"/>
  <c r="B194" i="19" s="1"/>
  <c r="B195" i="19" s="1"/>
  <c r="B196" i="19" s="1"/>
  <c r="B197" i="19" s="1"/>
  <c r="B198" i="19" s="1"/>
  <c r="B199" i="19" s="1"/>
  <c r="B200" i="19" s="1"/>
  <c r="B201" i="19" s="1"/>
  <c r="B202" i="19" s="1"/>
  <c r="B203" i="19" s="1"/>
  <c r="B204" i="19" s="1"/>
  <c r="B205" i="19" s="1"/>
  <c r="B206" i="19" s="1"/>
  <c r="B207" i="19" s="1"/>
  <c r="B208" i="19" s="1"/>
  <c r="B209" i="19" s="1"/>
  <c r="B210" i="19" s="1"/>
  <c r="B211" i="19" s="1"/>
  <c r="B212" i="19" s="1"/>
  <c r="B213" i="19" s="1"/>
  <c r="B214" i="19" s="1"/>
  <c r="B215" i="19" s="1"/>
  <c r="B216" i="19" s="1"/>
  <c r="B217" i="19" s="1"/>
  <c r="B218" i="19" s="1"/>
  <c r="B219" i="19" s="1"/>
  <c r="B220" i="19" s="1"/>
  <c r="B221" i="19" s="1"/>
  <c r="B222" i="19" s="1"/>
  <c r="B223" i="19" s="1"/>
  <c r="C143" i="19"/>
  <c r="C140" i="19"/>
  <c r="C138" i="19"/>
  <c r="C137" i="19"/>
  <c r="C136" i="19"/>
  <c r="C135" i="19"/>
  <c r="C125" i="19"/>
  <c r="C122" i="19"/>
  <c r="C121" i="19"/>
  <c r="C120" i="19"/>
  <c r="C119" i="19"/>
  <c r="C118" i="19"/>
  <c r="C117" i="19"/>
  <c r="C116" i="19"/>
  <c r="C115" i="19"/>
  <c r="C114" i="19"/>
  <c r="C113" i="19"/>
  <c r="C112" i="19"/>
  <c r="C111" i="19"/>
  <c r="C110" i="19"/>
  <c r="C109" i="19"/>
  <c r="C108" i="19"/>
  <c r="C107" i="19"/>
  <c r="C106" i="19"/>
  <c r="C105" i="19"/>
  <c r="C104" i="19"/>
  <c r="C103" i="19"/>
  <c r="C102" i="19"/>
  <c r="C101" i="19"/>
  <c r="C100" i="19"/>
  <c r="C99" i="19"/>
  <c r="C98" i="19"/>
  <c r="C97" i="19"/>
  <c r="C96" i="19"/>
  <c r="C93" i="19"/>
  <c r="C92" i="19"/>
  <c r="C91" i="19"/>
  <c r="C90" i="19"/>
  <c r="C89" i="19"/>
  <c r="C88" i="19"/>
  <c r="C87" i="19"/>
  <c r="C86" i="19"/>
  <c r="C85" i="19"/>
  <c r="C82" i="19"/>
  <c r="C81" i="19"/>
  <c r="C80" i="19"/>
  <c r="C79" i="19"/>
  <c r="C78" i="19"/>
  <c r="C77" i="19"/>
  <c r="C76" i="19"/>
  <c r="C75" i="19"/>
  <c r="C74" i="19"/>
  <c r="C73" i="19"/>
  <c r="C72" i="19"/>
  <c r="C71" i="19"/>
  <c r="C70" i="19"/>
  <c r="C69" i="19"/>
  <c r="C68" i="19"/>
  <c r="C67" i="19"/>
  <c r="C66" i="19"/>
  <c r="C65" i="19"/>
  <c r="C64" i="19"/>
  <c r="C63" i="19"/>
  <c r="C62" i="19"/>
  <c r="C61" i="19"/>
  <c r="C60" i="19"/>
  <c r="C59" i="19"/>
  <c r="C58" i="19"/>
  <c r="C57" i="19"/>
  <c r="C56" i="19"/>
  <c r="C55" i="19"/>
  <c r="C54" i="19"/>
  <c r="C53" i="19"/>
  <c r="C52" i="19"/>
  <c r="C51" i="19"/>
  <c r="C50" i="19"/>
  <c r="C49" i="19"/>
  <c r="C48" i="19"/>
  <c r="C47" i="19"/>
  <c r="C46" i="19"/>
  <c r="C45" i="19"/>
  <c r="C44" i="19"/>
  <c r="C43" i="19"/>
  <c r="C42" i="19"/>
  <c r="C41" i="19"/>
  <c r="C38" i="19"/>
  <c r="C37" i="19"/>
  <c r="C36" i="19"/>
  <c r="C35" i="19"/>
  <c r="C34" i="19"/>
  <c r="C33" i="19"/>
  <c r="C32" i="19"/>
  <c r="C31" i="19"/>
  <c r="C30" i="19"/>
  <c r="C29" i="19"/>
  <c r="C28" i="19"/>
  <c r="C23" i="19"/>
  <c r="C22" i="19"/>
  <c r="C21" i="19"/>
  <c r="C20" i="19"/>
  <c r="C19" i="19"/>
  <c r="C18" i="19"/>
  <c r="C13" i="19"/>
  <c r="B13" i="19"/>
  <c r="C12" i="19"/>
  <c r="B12" i="19"/>
  <c r="C11" i="19"/>
  <c r="B11" i="19"/>
  <c r="C10" i="19"/>
  <c r="B10" i="19"/>
  <c r="C9" i="19"/>
  <c r="B9" i="19"/>
  <c r="C8" i="19"/>
  <c r="B8" i="19"/>
  <c r="B7" i="19"/>
  <c r="C6" i="19"/>
  <c r="B6" i="19"/>
  <c r="B5" i="19"/>
  <c r="C4" i="19"/>
  <c r="B4" i="19"/>
  <c r="C17" i="19" l="1"/>
  <c r="C223" i="20"/>
  <c r="C222" i="20"/>
  <c r="C221" i="20"/>
  <c r="C220" i="20"/>
  <c r="C219" i="20"/>
  <c r="C218" i="20"/>
  <c r="C217" i="20"/>
  <c r="C216" i="20"/>
  <c r="C215" i="20"/>
  <c r="C214" i="20"/>
  <c r="C213" i="20"/>
  <c r="C212" i="20"/>
  <c r="C211" i="20"/>
  <c r="C210" i="20"/>
  <c r="C209" i="20"/>
  <c r="C208" i="20"/>
  <c r="C207" i="20"/>
  <c r="C206" i="20"/>
  <c r="C205" i="20"/>
  <c r="C204" i="20"/>
  <c r="C203" i="20"/>
  <c r="C202" i="20"/>
  <c r="C201" i="20"/>
  <c r="C200" i="20"/>
  <c r="C199" i="20"/>
  <c r="C198" i="20"/>
  <c r="C197" i="20"/>
  <c r="C196" i="20"/>
  <c r="C195" i="20"/>
  <c r="C194" i="20"/>
  <c r="C193" i="20"/>
  <c r="C192" i="20"/>
  <c r="C191" i="20"/>
  <c r="C190" i="20"/>
  <c r="C189" i="20"/>
  <c r="C188" i="20"/>
  <c r="C187" i="20"/>
  <c r="C186" i="20"/>
  <c r="C185" i="20"/>
  <c r="C184" i="20"/>
  <c r="C183" i="20"/>
  <c r="C182" i="20"/>
  <c r="C181" i="20"/>
  <c r="C180" i="20"/>
  <c r="C179" i="20"/>
  <c r="C178" i="20"/>
  <c r="C177" i="20"/>
  <c r="C176" i="20"/>
  <c r="C175" i="20"/>
  <c r="C174" i="20"/>
  <c r="C173" i="20"/>
  <c r="C172" i="20"/>
  <c r="C171" i="20"/>
  <c r="C170" i="20"/>
  <c r="C169" i="20"/>
  <c r="C168" i="20"/>
  <c r="C167" i="20"/>
  <c r="C166" i="20"/>
  <c r="C165" i="20"/>
  <c r="C164" i="20"/>
  <c r="C163" i="20"/>
  <c r="C162" i="20"/>
  <c r="C161" i="20"/>
  <c r="C160" i="20"/>
  <c r="C159" i="20"/>
  <c r="C158" i="20"/>
  <c r="C157" i="20"/>
  <c r="C156" i="20"/>
  <c r="C155" i="20"/>
  <c r="C154" i="20"/>
  <c r="C153" i="20"/>
  <c r="C152" i="20"/>
  <c r="C151" i="20"/>
  <c r="C150" i="20"/>
  <c r="C149" i="20"/>
  <c r="C148" i="20"/>
  <c r="C147" i="20"/>
  <c r="C146" i="20"/>
  <c r="C145" i="20"/>
  <c r="C144" i="20"/>
  <c r="B144" i="20"/>
  <c r="B145" i="20" s="1"/>
  <c r="B146" i="20" s="1"/>
  <c r="B147" i="20" s="1"/>
  <c r="B148" i="20" s="1"/>
  <c r="B149" i="20" s="1"/>
  <c r="B150" i="20" s="1"/>
  <c r="B151" i="20" s="1"/>
  <c r="B152" i="20" s="1"/>
  <c r="B153" i="20" s="1"/>
  <c r="B154" i="20" s="1"/>
  <c r="B155" i="20" s="1"/>
  <c r="B156" i="20" s="1"/>
  <c r="B157" i="20" s="1"/>
  <c r="B158" i="20" s="1"/>
  <c r="B159" i="20" s="1"/>
  <c r="B160" i="20" s="1"/>
  <c r="B161" i="20" s="1"/>
  <c r="B162" i="20" s="1"/>
  <c r="B163" i="20" s="1"/>
  <c r="B164" i="20" s="1"/>
  <c r="B165" i="20" s="1"/>
  <c r="B166" i="20" s="1"/>
  <c r="B167" i="20" s="1"/>
  <c r="B168" i="20" s="1"/>
  <c r="B169" i="20" s="1"/>
  <c r="B170" i="20" s="1"/>
  <c r="B171" i="20" s="1"/>
  <c r="B172" i="20" s="1"/>
  <c r="B173" i="20" s="1"/>
  <c r="B174" i="20" s="1"/>
  <c r="B175" i="20" s="1"/>
  <c r="B176" i="20" s="1"/>
  <c r="B177" i="20" s="1"/>
  <c r="B178" i="20" s="1"/>
  <c r="B179" i="20" s="1"/>
  <c r="B180" i="20" s="1"/>
  <c r="B181" i="20" s="1"/>
  <c r="B182" i="20" s="1"/>
  <c r="B183" i="20" s="1"/>
  <c r="B184" i="20" s="1"/>
  <c r="B185" i="20" s="1"/>
  <c r="B186" i="20" s="1"/>
  <c r="B187" i="20" s="1"/>
  <c r="B188" i="20" s="1"/>
  <c r="B189" i="20" s="1"/>
  <c r="B190" i="20" s="1"/>
  <c r="B191" i="20" s="1"/>
  <c r="B192" i="20" s="1"/>
  <c r="B193" i="20" s="1"/>
  <c r="B194" i="20" s="1"/>
  <c r="B195" i="20" s="1"/>
  <c r="B196" i="20" s="1"/>
  <c r="B197" i="20" s="1"/>
  <c r="B198" i="20" s="1"/>
  <c r="B199" i="20" s="1"/>
  <c r="B200" i="20" s="1"/>
  <c r="B201" i="20" s="1"/>
  <c r="B202" i="20" s="1"/>
  <c r="B203" i="20" s="1"/>
  <c r="B204" i="20" s="1"/>
  <c r="B205" i="20" s="1"/>
  <c r="B206" i="20" s="1"/>
  <c r="B207" i="20" s="1"/>
  <c r="B208" i="20" s="1"/>
  <c r="B209" i="20" s="1"/>
  <c r="B210" i="20" s="1"/>
  <c r="B211" i="20" s="1"/>
  <c r="B212" i="20" s="1"/>
  <c r="B213" i="20" s="1"/>
  <c r="B214" i="20" s="1"/>
  <c r="B215" i="20" s="1"/>
  <c r="B216" i="20" s="1"/>
  <c r="B217" i="20" s="1"/>
  <c r="B218" i="20" s="1"/>
  <c r="B219" i="20" s="1"/>
  <c r="B220" i="20" s="1"/>
  <c r="B221" i="20" s="1"/>
  <c r="B222" i="20" s="1"/>
  <c r="B223" i="20" s="1"/>
  <c r="C143" i="20"/>
  <c r="C140" i="20"/>
  <c r="C138" i="20"/>
  <c r="C137" i="20"/>
  <c r="C136" i="20"/>
  <c r="C135" i="20"/>
  <c r="C125" i="20"/>
  <c r="C122" i="20"/>
  <c r="C121" i="20"/>
  <c r="C120" i="20"/>
  <c r="C119" i="20"/>
  <c r="C118" i="20"/>
  <c r="C117" i="20"/>
  <c r="C116" i="20"/>
  <c r="C115" i="20"/>
  <c r="C114" i="20"/>
  <c r="C113" i="20"/>
  <c r="C112" i="20"/>
  <c r="C111" i="20"/>
  <c r="C110" i="20"/>
  <c r="C109" i="20"/>
  <c r="C108" i="20"/>
  <c r="C107" i="20"/>
  <c r="C106" i="20"/>
  <c r="C105" i="20"/>
  <c r="C104" i="20"/>
  <c r="C103" i="20"/>
  <c r="C102" i="20"/>
  <c r="C101" i="20"/>
  <c r="C100" i="20"/>
  <c r="C99" i="20"/>
  <c r="C98" i="20"/>
  <c r="C97" i="20"/>
  <c r="C96" i="20"/>
  <c r="C93" i="20"/>
  <c r="C92" i="20"/>
  <c r="C91" i="20"/>
  <c r="C90" i="20"/>
  <c r="C89" i="20"/>
  <c r="C88" i="20"/>
  <c r="C87" i="20"/>
  <c r="C86" i="20"/>
  <c r="C85" i="20"/>
  <c r="C82" i="20"/>
  <c r="C81" i="20"/>
  <c r="C80" i="20"/>
  <c r="C79" i="20"/>
  <c r="C78" i="20"/>
  <c r="C77" i="20"/>
  <c r="C76" i="20"/>
  <c r="C75" i="20"/>
  <c r="C74" i="20"/>
  <c r="C73" i="20"/>
  <c r="C72" i="20"/>
  <c r="C71" i="20"/>
  <c r="C70" i="20"/>
  <c r="C69" i="20"/>
  <c r="C68" i="20"/>
  <c r="C67" i="20"/>
  <c r="C66" i="20"/>
  <c r="C65" i="20"/>
  <c r="C64" i="20"/>
  <c r="C63" i="20"/>
  <c r="C62" i="20"/>
  <c r="C61" i="20"/>
  <c r="C60" i="20"/>
  <c r="C59" i="20"/>
  <c r="C58" i="20"/>
  <c r="C57" i="20"/>
  <c r="C56" i="20"/>
  <c r="C55" i="20"/>
  <c r="C54" i="20"/>
  <c r="C53" i="20"/>
  <c r="C52" i="20"/>
  <c r="C51" i="20"/>
  <c r="C50" i="20"/>
  <c r="C49" i="20"/>
  <c r="C48" i="20"/>
  <c r="C47" i="20"/>
  <c r="C46" i="20"/>
  <c r="C45" i="20"/>
  <c r="C44" i="20"/>
  <c r="C43" i="20"/>
  <c r="C42" i="20"/>
  <c r="C41" i="20"/>
  <c r="C38" i="20"/>
  <c r="C37" i="20"/>
  <c r="C36" i="20"/>
  <c r="C35" i="20"/>
  <c r="C34" i="20"/>
  <c r="C33" i="20"/>
  <c r="C32" i="20"/>
  <c r="C31" i="20"/>
  <c r="C30" i="20"/>
  <c r="C29" i="20"/>
  <c r="C28" i="20"/>
  <c r="C23" i="20"/>
  <c r="C22" i="20"/>
  <c r="C21" i="20"/>
  <c r="C20" i="20"/>
  <c r="C19" i="20"/>
  <c r="C17" i="20" s="1"/>
  <c r="C18" i="20"/>
  <c r="C13" i="20"/>
  <c r="B13" i="20"/>
  <c r="C12" i="20"/>
  <c r="B12" i="20"/>
  <c r="C11" i="20"/>
  <c r="B11" i="20"/>
  <c r="C10" i="20"/>
  <c r="B10" i="20"/>
  <c r="C9" i="20"/>
  <c r="B9" i="20"/>
  <c r="C8" i="20"/>
  <c r="B8" i="20"/>
  <c r="B7" i="20"/>
  <c r="C6" i="20"/>
  <c r="B6" i="20"/>
  <c r="B5" i="20"/>
  <c r="C4" i="20"/>
  <c r="B4" i="20"/>
  <c r="C225" i="18" l="1"/>
  <c r="C224" i="18"/>
  <c r="C223" i="18"/>
  <c r="C222" i="18"/>
  <c r="C221" i="18"/>
  <c r="C220" i="18"/>
  <c r="C219" i="18"/>
  <c r="C218" i="18"/>
  <c r="C217" i="18"/>
  <c r="C216" i="18"/>
  <c r="C215" i="18"/>
  <c r="C214" i="18"/>
  <c r="C213" i="18"/>
  <c r="C212" i="18"/>
  <c r="C211" i="18"/>
  <c r="C210" i="18"/>
  <c r="C209" i="18"/>
  <c r="C208" i="18"/>
  <c r="C207" i="18"/>
  <c r="C206" i="18"/>
  <c r="C205" i="18"/>
  <c r="C204" i="18"/>
  <c r="C203" i="18"/>
  <c r="C202" i="18"/>
  <c r="C201" i="18"/>
  <c r="C200" i="18"/>
  <c r="C199" i="18"/>
  <c r="C198" i="18"/>
  <c r="C197" i="18"/>
  <c r="C196" i="18"/>
  <c r="C195" i="18"/>
  <c r="C194" i="18"/>
  <c r="C193" i="18"/>
  <c r="C192" i="18"/>
  <c r="C191" i="18"/>
  <c r="C190" i="18"/>
  <c r="C189" i="18"/>
  <c r="C188" i="18"/>
  <c r="C187" i="18"/>
  <c r="C186" i="18"/>
  <c r="C185" i="18"/>
  <c r="C184" i="18"/>
  <c r="C183" i="18"/>
  <c r="C182" i="18"/>
  <c r="C181" i="18"/>
  <c r="C180" i="18"/>
  <c r="C179" i="18"/>
  <c r="C178" i="18"/>
  <c r="C177" i="18"/>
  <c r="C176" i="18"/>
  <c r="C175" i="18"/>
  <c r="C174" i="18"/>
  <c r="C173" i="18"/>
  <c r="C172" i="18"/>
  <c r="C171" i="18"/>
  <c r="C170" i="18"/>
  <c r="C169" i="18"/>
  <c r="C168" i="18"/>
  <c r="C167" i="18"/>
  <c r="C166" i="18"/>
  <c r="C165" i="18"/>
  <c r="C164" i="18"/>
  <c r="C163" i="18"/>
  <c r="C162" i="18"/>
  <c r="C161" i="18"/>
  <c r="C160" i="18"/>
  <c r="C159" i="18"/>
  <c r="C158" i="18"/>
  <c r="C157" i="18"/>
  <c r="C156" i="18"/>
  <c r="C155" i="18"/>
  <c r="C154" i="18"/>
  <c r="C153" i="18"/>
  <c r="C152" i="18"/>
  <c r="C151" i="18"/>
  <c r="C150" i="18"/>
  <c r="C149" i="18"/>
  <c r="C148" i="18"/>
  <c r="C147" i="18"/>
  <c r="C146" i="18"/>
  <c r="B146" i="18"/>
  <c r="B147" i="18" s="1"/>
  <c r="B148" i="18" s="1"/>
  <c r="B149" i="18" s="1"/>
  <c r="B150" i="18" s="1"/>
  <c r="B151" i="18" s="1"/>
  <c r="B152" i="18" s="1"/>
  <c r="B153" i="18" s="1"/>
  <c r="B154" i="18" s="1"/>
  <c r="B155" i="18" s="1"/>
  <c r="B156" i="18" s="1"/>
  <c r="B157" i="18" s="1"/>
  <c r="B158" i="18" s="1"/>
  <c r="B159" i="18" s="1"/>
  <c r="B160" i="18" s="1"/>
  <c r="B161" i="18" s="1"/>
  <c r="B162" i="18" s="1"/>
  <c r="C145" i="18"/>
  <c r="C142" i="18"/>
  <c r="C140" i="18"/>
  <c r="C139" i="18"/>
  <c r="C138" i="18"/>
  <c r="C137" i="18"/>
  <c r="C135" i="18"/>
  <c r="C134" i="18"/>
  <c r="C133" i="18"/>
  <c r="C132" i="18"/>
  <c r="C131" i="18"/>
  <c r="C130" i="18"/>
  <c r="C127" i="18"/>
  <c r="C124" i="18"/>
  <c r="C123" i="18"/>
  <c r="C122" i="18"/>
  <c r="C121" i="18"/>
  <c r="C120" i="18"/>
  <c r="C119" i="18"/>
  <c r="C118" i="18"/>
  <c r="C117" i="18"/>
  <c r="C116" i="18"/>
  <c r="C115" i="18"/>
  <c r="C114" i="18"/>
  <c r="C113" i="18"/>
  <c r="C112" i="18"/>
  <c r="C111" i="18"/>
  <c r="C110" i="18"/>
  <c r="C109" i="18"/>
  <c r="C108" i="18"/>
  <c r="C107" i="18"/>
  <c r="C106" i="18"/>
  <c r="C105" i="18"/>
  <c r="C104" i="18"/>
  <c r="C103" i="18"/>
  <c r="C102" i="18"/>
  <c r="C99" i="18"/>
  <c r="C98" i="18"/>
  <c r="C97" i="18"/>
  <c r="C96" i="18"/>
  <c r="C95" i="18"/>
  <c r="C94" i="18"/>
  <c r="C93" i="18"/>
  <c r="C92" i="18"/>
  <c r="C91" i="18"/>
  <c r="C88" i="18"/>
  <c r="C87" i="18"/>
  <c r="C86" i="18"/>
  <c r="C85" i="18"/>
  <c r="C84" i="18"/>
  <c r="C83" i="18"/>
  <c r="C82" i="18"/>
  <c r="C81" i="18"/>
  <c r="C80" i="18"/>
  <c r="C79" i="18"/>
  <c r="C78" i="18"/>
  <c r="C77" i="18"/>
  <c r="C76" i="18"/>
  <c r="C75" i="18"/>
  <c r="C74" i="18"/>
  <c r="C73" i="18"/>
  <c r="C72" i="18"/>
  <c r="C71" i="18"/>
  <c r="C70" i="18"/>
  <c r="C69" i="18"/>
  <c r="C68" i="18"/>
  <c r="C67" i="18"/>
  <c r="C66" i="18"/>
  <c r="C65" i="18"/>
  <c r="C64" i="18"/>
  <c r="C63" i="18"/>
  <c r="C62" i="18"/>
  <c r="C61" i="18"/>
  <c r="C60" i="18"/>
  <c r="C59" i="18"/>
  <c r="C58" i="18"/>
  <c r="C57" i="18"/>
  <c r="C56" i="18"/>
  <c r="C55" i="18"/>
  <c r="C54" i="18"/>
  <c r="C53" i="18"/>
  <c r="C52" i="18"/>
  <c r="C51" i="18"/>
  <c r="C50" i="18"/>
  <c r="C49" i="18"/>
  <c r="C48" i="18"/>
  <c r="C47" i="18"/>
  <c r="C46" i="18"/>
  <c r="C43" i="18"/>
  <c r="C42" i="18"/>
  <c r="C41" i="18"/>
  <c r="C40" i="18"/>
  <c r="C39" i="18"/>
  <c r="C38" i="18"/>
  <c r="C37" i="18"/>
  <c r="C36" i="18"/>
  <c r="C35" i="18"/>
  <c r="C34" i="18"/>
  <c r="B34" i="18"/>
  <c r="C33" i="18"/>
  <c r="B33" i="18"/>
  <c r="C32" i="18"/>
  <c r="B32" i="18"/>
  <c r="C31" i="18"/>
  <c r="B31" i="18"/>
  <c r="C30" i="18"/>
  <c r="C29" i="18"/>
  <c r="C28" i="18"/>
  <c r="C23" i="18"/>
  <c r="C22" i="18"/>
  <c r="C17" i="18" s="1"/>
  <c r="C21" i="18"/>
  <c r="C20" i="18"/>
  <c r="C19" i="18"/>
  <c r="C18" i="18"/>
  <c r="C13" i="18"/>
  <c r="B13" i="18"/>
  <c r="C12" i="18"/>
  <c r="B12" i="18"/>
  <c r="C11" i="18"/>
  <c r="B11" i="18"/>
  <c r="C10" i="18"/>
  <c r="B10" i="18"/>
  <c r="C9" i="18"/>
  <c r="B9" i="18"/>
  <c r="C8" i="18"/>
  <c r="B8" i="18"/>
  <c r="B7" i="18"/>
  <c r="C6" i="18"/>
  <c r="B6" i="18"/>
  <c r="B5" i="18"/>
  <c r="C4" i="18"/>
  <c r="B4" i="18"/>
  <c r="B225" i="18" l="1"/>
  <c r="B163" i="18"/>
  <c r="B164" i="18" s="1"/>
  <c r="B165" i="18" s="1"/>
  <c r="B166" i="18" s="1"/>
  <c r="B167" i="18" s="1"/>
  <c r="B168" i="18" s="1"/>
  <c r="B169" i="18" s="1"/>
  <c r="B170" i="18" s="1"/>
  <c r="B171" i="18" s="1"/>
  <c r="B172" i="18" s="1"/>
  <c r="B173" i="18" s="1"/>
  <c r="B174" i="18" s="1"/>
  <c r="B175" i="18" s="1"/>
  <c r="B176" i="18" s="1"/>
  <c r="B177" i="18" s="1"/>
  <c r="B178" i="18" s="1"/>
  <c r="B179" i="18" s="1"/>
  <c r="B180" i="18" s="1"/>
  <c r="B181" i="18" s="1"/>
  <c r="B182" i="18" s="1"/>
  <c r="B183" i="18" s="1"/>
  <c r="B184" i="18" s="1"/>
  <c r="B185" i="18" s="1"/>
  <c r="B186" i="18" s="1"/>
  <c r="B187" i="18" s="1"/>
  <c r="B188" i="18" s="1"/>
  <c r="B189" i="18" s="1"/>
  <c r="B190" i="18" s="1"/>
  <c r="B191" i="18" s="1"/>
  <c r="B192" i="18" s="1"/>
  <c r="B193" i="18" s="1"/>
  <c r="B194" i="18" s="1"/>
  <c r="B195" i="18" s="1"/>
  <c r="B196" i="18" s="1"/>
  <c r="B197" i="18" s="1"/>
  <c r="B198" i="18" s="1"/>
  <c r="B199" i="18" s="1"/>
  <c r="B200" i="18" s="1"/>
  <c r="B201" i="18" s="1"/>
  <c r="B202" i="18" s="1"/>
  <c r="B203" i="18" s="1"/>
  <c r="B204" i="18" s="1"/>
  <c r="B205" i="18" s="1"/>
  <c r="B206" i="18" s="1"/>
  <c r="B207" i="18" s="1"/>
  <c r="B208" i="18" s="1"/>
  <c r="B209" i="18" s="1"/>
  <c r="B210" i="18" s="1"/>
  <c r="B211" i="18" s="1"/>
  <c r="B212" i="18" s="1"/>
  <c r="B213" i="18" s="1"/>
  <c r="B214" i="18" s="1"/>
  <c r="B215" i="18" s="1"/>
  <c r="B216" i="18" s="1"/>
  <c r="B217" i="18" s="1"/>
  <c r="B218" i="18" s="1"/>
  <c r="B219" i="18" s="1"/>
  <c r="B220" i="18" s="1"/>
  <c r="B221" i="18" s="1"/>
  <c r="B222" i="18" s="1"/>
  <c r="B223" i="18" s="1"/>
  <c r="B224" i="18" s="1"/>
  <c r="C223" i="17" l="1"/>
  <c r="C222" i="17"/>
  <c r="C221" i="17"/>
  <c r="C220" i="17"/>
  <c r="C219" i="17"/>
  <c r="C218" i="17"/>
  <c r="C217" i="17"/>
  <c r="C216" i="17"/>
  <c r="C215" i="17"/>
  <c r="C214" i="17"/>
  <c r="C213" i="17"/>
  <c r="C212" i="17"/>
  <c r="C211" i="17"/>
  <c r="C210" i="17"/>
  <c r="C209" i="17"/>
  <c r="C208" i="17"/>
  <c r="C207" i="17"/>
  <c r="C206" i="17"/>
  <c r="C205" i="17"/>
  <c r="C204" i="17"/>
  <c r="C203" i="17"/>
  <c r="C202" i="17"/>
  <c r="C201" i="17"/>
  <c r="C200" i="17"/>
  <c r="C199" i="17"/>
  <c r="C198" i="17"/>
  <c r="C197" i="17"/>
  <c r="C196" i="17"/>
  <c r="C195" i="17"/>
  <c r="C194" i="17"/>
  <c r="C193" i="17"/>
  <c r="C192" i="17"/>
  <c r="C191" i="17"/>
  <c r="C190" i="17"/>
  <c r="C189" i="17"/>
  <c r="C188" i="17"/>
  <c r="C187" i="17"/>
  <c r="C186" i="17"/>
  <c r="C185" i="17"/>
  <c r="C184" i="17"/>
  <c r="C183" i="17"/>
  <c r="C182" i="17"/>
  <c r="C181" i="17"/>
  <c r="C180" i="17"/>
  <c r="C179" i="17"/>
  <c r="C178" i="17"/>
  <c r="C177" i="17"/>
  <c r="C176" i="17"/>
  <c r="C175" i="17"/>
  <c r="C174" i="17"/>
  <c r="C173" i="17"/>
  <c r="C172" i="17"/>
  <c r="C171" i="17"/>
  <c r="C170" i="17"/>
  <c r="C169" i="17"/>
  <c r="C168" i="17"/>
  <c r="C167" i="17"/>
  <c r="C166" i="17"/>
  <c r="C165" i="17"/>
  <c r="C164" i="17"/>
  <c r="C163" i="17"/>
  <c r="C162" i="17"/>
  <c r="C161" i="17"/>
  <c r="C160" i="17"/>
  <c r="C159" i="17"/>
  <c r="C158" i="17"/>
  <c r="C157" i="17"/>
  <c r="C156" i="17"/>
  <c r="C155" i="17"/>
  <c r="C154" i="17"/>
  <c r="C153" i="17"/>
  <c r="C152" i="17"/>
  <c r="C151" i="17"/>
  <c r="C150" i="17"/>
  <c r="C149" i="17"/>
  <c r="C148" i="17"/>
  <c r="C147" i="17"/>
  <c r="C146" i="17"/>
  <c r="C145" i="17"/>
  <c r="C144" i="17"/>
  <c r="B144" i="17"/>
  <c r="B145" i="17" s="1"/>
  <c r="B146" i="17" s="1"/>
  <c r="B147" i="17" s="1"/>
  <c r="B148" i="17" s="1"/>
  <c r="B149" i="17" s="1"/>
  <c r="B150" i="17" s="1"/>
  <c r="B151" i="17" s="1"/>
  <c r="B152" i="17" s="1"/>
  <c r="B153" i="17" s="1"/>
  <c r="B154" i="17" s="1"/>
  <c r="B155" i="17" s="1"/>
  <c r="B156" i="17" s="1"/>
  <c r="B157" i="17" s="1"/>
  <c r="B158" i="17" s="1"/>
  <c r="B159" i="17" s="1"/>
  <c r="B160" i="17" s="1"/>
  <c r="B161" i="17" s="1"/>
  <c r="B162" i="17" s="1"/>
  <c r="B163" i="17" s="1"/>
  <c r="B164" i="17" s="1"/>
  <c r="B165" i="17" s="1"/>
  <c r="B166" i="17" s="1"/>
  <c r="B167" i="17" s="1"/>
  <c r="B168" i="17" s="1"/>
  <c r="B169" i="17" s="1"/>
  <c r="B170" i="17" s="1"/>
  <c r="B171" i="17" s="1"/>
  <c r="B172" i="17" s="1"/>
  <c r="B173" i="17" s="1"/>
  <c r="B174" i="17" s="1"/>
  <c r="B175" i="17" s="1"/>
  <c r="B176" i="17" s="1"/>
  <c r="B177" i="17" s="1"/>
  <c r="B178" i="17" s="1"/>
  <c r="B179" i="17" s="1"/>
  <c r="B180" i="17" s="1"/>
  <c r="B181" i="17" s="1"/>
  <c r="B182" i="17" s="1"/>
  <c r="B183" i="17" s="1"/>
  <c r="B184" i="17" s="1"/>
  <c r="B185" i="17" s="1"/>
  <c r="B186" i="17" s="1"/>
  <c r="B187" i="17" s="1"/>
  <c r="B188" i="17" s="1"/>
  <c r="B189" i="17" s="1"/>
  <c r="B190" i="17" s="1"/>
  <c r="B191" i="17" s="1"/>
  <c r="B192" i="17" s="1"/>
  <c r="B193" i="17" s="1"/>
  <c r="B194" i="17" s="1"/>
  <c r="B195" i="17" s="1"/>
  <c r="B196" i="17" s="1"/>
  <c r="B197" i="17" s="1"/>
  <c r="B198" i="17" s="1"/>
  <c r="B199" i="17" s="1"/>
  <c r="B200" i="17" s="1"/>
  <c r="B201" i="17" s="1"/>
  <c r="B202" i="17" s="1"/>
  <c r="B203" i="17" s="1"/>
  <c r="B204" i="17" s="1"/>
  <c r="B205" i="17" s="1"/>
  <c r="B206" i="17" s="1"/>
  <c r="B207" i="17" s="1"/>
  <c r="B208" i="17" s="1"/>
  <c r="B209" i="17" s="1"/>
  <c r="B210" i="17" s="1"/>
  <c r="B211" i="17" s="1"/>
  <c r="B212" i="17" s="1"/>
  <c r="B213" i="17" s="1"/>
  <c r="B214" i="17" s="1"/>
  <c r="B215" i="17" s="1"/>
  <c r="B216" i="17" s="1"/>
  <c r="B217" i="17" s="1"/>
  <c r="B218" i="17" s="1"/>
  <c r="B219" i="17" s="1"/>
  <c r="B220" i="17" s="1"/>
  <c r="B221" i="17" s="1"/>
  <c r="B222" i="17" s="1"/>
  <c r="B223" i="17" s="1"/>
  <c r="C143" i="17"/>
  <c r="C140" i="17"/>
  <c r="C138" i="17"/>
  <c r="C137" i="17"/>
  <c r="C136" i="17"/>
  <c r="C135" i="17"/>
  <c r="C125" i="17"/>
  <c r="C122" i="17"/>
  <c r="C121" i="17"/>
  <c r="C120" i="17"/>
  <c r="C119" i="17"/>
  <c r="C118" i="17"/>
  <c r="C117" i="17"/>
  <c r="C116" i="17"/>
  <c r="C115" i="17"/>
  <c r="C114" i="17"/>
  <c r="C113" i="17"/>
  <c r="C112" i="17"/>
  <c r="C111" i="17"/>
  <c r="C110" i="17"/>
  <c r="C109" i="17"/>
  <c r="C108" i="17"/>
  <c r="C107" i="17"/>
  <c r="C106" i="17"/>
  <c r="C105" i="17"/>
  <c r="C104" i="17"/>
  <c r="C103" i="17"/>
  <c r="C102" i="17"/>
  <c r="C101" i="17"/>
  <c r="C100" i="17"/>
  <c r="C99" i="17"/>
  <c r="C98" i="17"/>
  <c r="C97" i="17"/>
  <c r="C96" i="17"/>
  <c r="C93" i="17"/>
  <c r="C92" i="17"/>
  <c r="C91" i="17"/>
  <c r="C90" i="17"/>
  <c r="C89" i="17"/>
  <c r="C88" i="17"/>
  <c r="C87" i="17"/>
  <c r="C86" i="17"/>
  <c r="C85" i="17"/>
  <c r="C82" i="17"/>
  <c r="C81" i="17"/>
  <c r="C80" i="17"/>
  <c r="C79" i="17"/>
  <c r="C78" i="17"/>
  <c r="C77" i="17"/>
  <c r="C76" i="17"/>
  <c r="C75" i="17"/>
  <c r="C74" i="17"/>
  <c r="C73" i="17"/>
  <c r="C72" i="17"/>
  <c r="C71" i="17"/>
  <c r="C70" i="17"/>
  <c r="C69" i="17"/>
  <c r="C68" i="17"/>
  <c r="C67" i="17"/>
  <c r="C66" i="17"/>
  <c r="C65" i="17"/>
  <c r="C64" i="17"/>
  <c r="C63" i="17"/>
  <c r="C62" i="17"/>
  <c r="C61" i="17"/>
  <c r="C60" i="17"/>
  <c r="C59" i="17"/>
  <c r="C58" i="17"/>
  <c r="C57" i="17"/>
  <c r="C56" i="17"/>
  <c r="C55" i="17"/>
  <c r="C54" i="17"/>
  <c r="C53" i="17"/>
  <c r="C52" i="17"/>
  <c r="C51" i="17"/>
  <c r="C50" i="17"/>
  <c r="C49" i="17"/>
  <c r="C48" i="17"/>
  <c r="C47" i="17"/>
  <c r="C46" i="17"/>
  <c r="C45" i="17"/>
  <c r="C44" i="17"/>
  <c r="C43" i="17"/>
  <c r="C42" i="17"/>
  <c r="C41" i="17"/>
  <c r="C38" i="17"/>
  <c r="C37" i="17"/>
  <c r="C36" i="17"/>
  <c r="C35" i="17"/>
  <c r="C34" i="17"/>
  <c r="C33" i="17"/>
  <c r="C32" i="17"/>
  <c r="C31" i="17"/>
  <c r="C30" i="17"/>
  <c r="C29" i="17"/>
  <c r="C28" i="17"/>
  <c r="C23" i="17"/>
  <c r="C22" i="17"/>
  <c r="C21" i="17"/>
  <c r="C20" i="17"/>
  <c r="C19" i="17"/>
  <c r="C18" i="17"/>
  <c r="C17" i="17"/>
  <c r="C13" i="17"/>
  <c r="B13" i="17"/>
  <c r="C12" i="17"/>
  <c r="B12" i="17"/>
  <c r="C11" i="17"/>
  <c r="B11" i="17"/>
  <c r="C10" i="17"/>
  <c r="B10" i="17"/>
  <c r="C9" i="17"/>
  <c r="B9" i="17"/>
  <c r="C8" i="17"/>
  <c r="B8" i="17"/>
  <c r="B7" i="17"/>
  <c r="C6" i="17"/>
  <c r="B6" i="17"/>
  <c r="B5" i="17"/>
  <c r="C4" i="17"/>
  <c r="B4" i="17"/>
  <c r="C223" i="16" l="1"/>
  <c r="C222" i="16"/>
  <c r="C221" i="16"/>
  <c r="C220" i="16"/>
  <c r="C219" i="16"/>
  <c r="C218" i="16"/>
  <c r="C217" i="16"/>
  <c r="C216" i="16"/>
  <c r="C215" i="16"/>
  <c r="C214" i="16"/>
  <c r="C213" i="16"/>
  <c r="C212" i="16"/>
  <c r="C211" i="16"/>
  <c r="C210" i="16"/>
  <c r="C209" i="16"/>
  <c r="C208" i="16"/>
  <c r="C207" i="16"/>
  <c r="C206" i="16"/>
  <c r="C205" i="16"/>
  <c r="C204" i="16"/>
  <c r="C203" i="16"/>
  <c r="C202" i="16"/>
  <c r="C201" i="16"/>
  <c r="C200" i="16"/>
  <c r="C199" i="16"/>
  <c r="C198" i="16"/>
  <c r="C197" i="16"/>
  <c r="C196" i="16"/>
  <c r="C195" i="16"/>
  <c r="C194" i="16"/>
  <c r="C193" i="16"/>
  <c r="C192" i="16"/>
  <c r="C191" i="16"/>
  <c r="C190" i="16"/>
  <c r="C189" i="16"/>
  <c r="C188" i="16"/>
  <c r="C187" i="16"/>
  <c r="C186" i="16"/>
  <c r="C185" i="16"/>
  <c r="C184" i="16"/>
  <c r="C183" i="16"/>
  <c r="C182" i="16"/>
  <c r="C181" i="16"/>
  <c r="C180" i="16"/>
  <c r="C179" i="16"/>
  <c r="C178" i="16"/>
  <c r="C177" i="16"/>
  <c r="C176" i="16"/>
  <c r="C175" i="16"/>
  <c r="C174" i="16"/>
  <c r="C173" i="16"/>
  <c r="C172" i="16"/>
  <c r="C171" i="16"/>
  <c r="C170" i="16"/>
  <c r="C169" i="16"/>
  <c r="C168" i="16"/>
  <c r="C167" i="16"/>
  <c r="C166" i="16"/>
  <c r="C165" i="16"/>
  <c r="C164" i="16"/>
  <c r="C163" i="16"/>
  <c r="C162" i="16"/>
  <c r="C161" i="16"/>
  <c r="C160" i="16"/>
  <c r="C159" i="16"/>
  <c r="C158" i="16"/>
  <c r="C157" i="16"/>
  <c r="C156" i="16"/>
  <c r="C155" i="16"/>
  <c r="C154" i="16"/>
  <c r="C153" i="16"/>
  <c r="C152" i="16"/>
  <c r="C151" i="16"/>
  <c r="C150" i="16"/>
  <c r="C149" i="16"/>
  <c r="C148" i="16"/>
  <c r="C147" i="16"/>
  <c r="C146" i="16"/>
  <c r="C145" i="16"/>
  <c r="C144" i="16"/>
  <c r="B144" i="16"/>
  <c r="B145" i="16" s="1"/>
  <c r="B146" i="16" s="1"/>
  <c r="B147" i="16" s="1"/>
  <c r="B148" i="16" s="1"/>
  <c r="B149" i="16" s="1"/>
  <c r="B150" i="16" s="1"/>
  <c r="B151" i="16" s="1"/>
  <c r="B152" i="16" s="1"/>
  <c r="B153" i="16" s="1"/>
  <c r="B154" i="16" s="1"/>
  <c r="B155" i="16" s="1"/>
  <c r="B156" i="16" s="1"/>
  <c r="B157" i="16" s="1"/>
  <c r="B158" i="16" s="1"/>
  <c r="B159" i="16" s="1"/>
  <c r="B160" i="16" s="1"/>
  <c r="B161" i="16" s="1"/>
  <c r="B162" i="16" s="1"/>
  <c r="B163" i="16" s="1"/>
  <c r="B164" i="16" s="1"/>
  <c r="B165" i="16" s="1"/>
  <c r="B166" i="16" s="1"/>
  <c r="B167" i="16" s="1"/>
  <c r="B168" i="16" s="1"/>
  <c r="B169" i="16" s="1"/>
  <c r="B170" i="16" s="1"/>
  <c r="B171" i="16" s="1"/>
  <c r="B172" i="16" s="1"/>
  <c r="B173" i="16" s="1"/>
  <c r="B174" i="16" s="1"/>
  <c r="B175" i="16" s="1"/>
  <c r="B176" i="16" s="1"/>
  <c r="B177" i="16" s="1"/>
  <c r="B178" i="16" s="1"/>
  <c r="B179" i="16" s="1"/>
  <c r="B180" i="16" s="1"/>
  <c r="B181" i="16" s="1"/>
  <c r="B182" i="16" s="1"/>
  <c r="B183" i="16" s="1"/>
  <c r="B184" i="16" s="1"/>
  <c r="B185" i="16" s="1"/>
  <c r="B186" i="16" s="1"/>
  <c r="B187" i="16" s="1"/>
  <c r="B188" i="16" s="1"/>
  <c r="B189" i="16" s="1"/>
  <c r="B190" i="16" s="1"/>
  <c r="B191" i="16" s="1"/>
  <c r="B192" i="16" s="1"/>
  <c r="B193" i="16" s="1"/>
  <c r="B194" i="16" s="1"/>
  <c r="B195" i="16" s="1"/>
  <c r="B196" i="16" s="1"/>
  <c r="B197" i="16" s="1"/>
  <c r="B198" i="16" s="1"/>
  <c r="B199" i="16" s="1"/>
  <c r="B200" i="16" s="1"/>
  <c r="B201" i="16" s="1"/>
  <c r="B202" i="16" s="1"/>
  <c r="B203" i="16" s="1"/>
  <c r="B204" i="16" s="1"/>
  <c r="B205" i="16" s="1"/>
  <c r="B206" i="16" s="1"/>
  <c r="B207" i="16" s="1"/>
  <c r="B208" i="16" s="1"/>
  <c r="B209" i="16" s="1"/>
  <c r="B210" i="16" s="1"/>
  <c r="B211" i="16" s="1"/>
  <c r="B212" i="16" s="1"/>
  <c r="B213" i="16" s="1"/>
  <c r="B214" i="16" s="1"/>
  <c r="B215" i="16" s="1"/>
  <c r="B216" i="16" s="1"/>
  <c r="B217" i="16" s="1"/>
  <c r="B218" i="16" s="1"/>
  <c r="B219" i="16" s="1"/>
  <c r="B220" i="16" s="1"/>
  <c r="B221" i="16" s="1"/>
  <c r="B222" i="16" s="1"/>
  <c r="B223" i="16" s="1"/>
  <c r="C143" i="16"/>
  <c r="C140" i="16"/>
  <c r="C138" i="16"/>
  <c r="C137" i="16"/>
  <c r="C136" i="16"/>
  <c r="C135" i="16"/>
  <c r="C125" i="16"/>
  <c r="C122" i="16"/>
  <c r="C121" i="16"/>
  <c r="C120" i="16"/>
  <c r="C119" i="16"/>
  <c r="C118" i="16"/>
  <c r="C117" i="16"/>
  <c r="C116" i="16"/>
  <c r="C115" i="16"/>
  <c r="C114" i="16"/>
  <c r="C113" i="16"/>
  <c r="C112" i="16"/>
  <c r="C111" i="16"/>
  <c r="C110" i="16"/>
  <c r="C109" i="16"/>
  <c r="C108" i="16"/>
  <c r="C107" i="16"/>
  <c r="C106" i="16"/>
  <c r="C105" i="16"/>
  <c r="C104" i="16"/>
  <c r="C103" i="16"/>
  <c r="C102" i="16"/>
  <c r="C101" i="16"/>
  <c r="C100" i="16"/>
  <c r="C99" i="16"/>
  <c r="C98" i="16"/>
  <c r="C97" i="16"/>
  <c r="C96" i="16"/>
  <c r="C93" i="16"/>
  <c r="C92" i="16"/>
  <c r="C91" i="16"/>
  <c r="C90" i="16"/>
  <c r="C89" i="16"/>
  <c r="C88" i="16"/>
  <c r="C87" i="16"/>
  <c r="C86" i="16"/>
  <c r="C85" i="16"/>
  <c r="C82" i="16"/>
  <c r="C81" i="16"/>
  <c r="C80" i="16"/>
  <c r="C79" i="16"/>
  <c r="C78" i="16"/>
  <c r="C77" i="16"/>
  <c r="C76" i="16"/>
  <c r="C75" i="16"/>
  <c r="C74" i="16"/>
  <c r="C73" i="16"/>
  <c r="C72" i="16"/>
  <c r="C71" i="16"/>
  <c r="C70" i="16"/>
  <c r="C69" i="16"/>
  <c r="C68" i="16"/>
  <c r="C67" i="16"/>
  <c r="C66" i="16"/>
  <c r="C65" i="16"/>
  <c r="C64" i="16"/>
  <c r="C63" i="16"/>
  <c r="C62" i="16"/>
  <c r="C61" i="16"/>
  <c r="C60" i="16"/>
  <c r="C59" i="16"/>
  <c r="C58" i="16"/>
  <c r="C57" i="16"/>
  <c r="C56" i="16"/>
  <c r="C55" i="16"/>
  <c r="C54" i="16"/>
  <c r="C53" i="16"/>
  <c r="C52" i="16"/>
  <c r="C51" i="16"/>
  <c r="C50" i="16"/>
  <c r="C49" i="16"/>
  <c r="C48" i="16"/>
  <c r="C47" i="16"/>
  <c r="C46" i="16"/>
  <c r="C45" i="16"/>
  <c r="C44" i="16"/>
  <c r="C43" i="16"/>
  <c r="C42" i="16"/>
  <c r="C41" i="16"/>
  <c r="C38" i="16"/>
  <c r="C37" i="16"/>
  <c r="C36" i="16"/>
  <c r="C35" i="16"/>
  <c r="C34" i="16"/>
  <c r="C33" i="16"/>
  <c r="C32" i="16"/>
  <c r="C31" i="16"/>
  <c r="C30" i="16"/>
  <c r="C29" i="16"/>
  <c r="C28" i="16"/>
  <c r="C23" i="16"/>
  <c r="C22" i="16"/>
  <c r="C21" i="16"/>
  <c r="C20" i="16"/>
  <c r="C19" i="16"/>
  <c r="C18" i="16"/>
  <c r="C13" i="16"/>
  <c r="B13" i="16"/>
  <c r="C12" i="16"/>
  <c r="B12" i="16"/>
  <c r="C11" i="16"/>
  <c r="B11" i="16"/>
  <c r="C10" i="16"/>
  <c r="B10" i="16"/>
  <c r="C9" i="16"/>
  <c r="B9" i="16"/>
  <c r="C8" i="16"/>
  <c r="B8" i="16"/>
  <c r="B7" i="16"/>
  <c r="C6" i="16"/>
  <c r="B6" i="16"/>
  <c r="B5" i="16"/>
  <c r="C4" i="16"/>
  <c r="B4" i="16"/>
  <c r="C17" i="16" l="1"/>
  <c r="C225" i="15"/>
  <c r="C224" i="15"/>
  <c r="C223" i="15"/>
  <c r="C222" i="15"/>
  <c r="C221" i="15"/>
  <c r="C220" i="15"/>
  <c r="C219" i="15"/>
  <c r="C218" i="15"/>
  <c r="C217" i="15"/>
  <c r="C216" i="15"/>
  <c r="C215" i="15"/>
  <c r="C214" i="15"/>
  <c r="C213" i="15"/>
  <c r="C212" i="15"/>
  <c r="C211" i="15"/>
  <c r="C210" i="15"/>
  <c r="C209" i="15"/>
  <c r="C208" i="15"/>
  <c r="C207" i="15"/>
  <c r="C206" i="15"/>
  <c r="C205" i="15"/>
  <c r="C204" i="15"/>
  <c r="C203" i="15"/>
  <c r="C202" i="15"/>
  <c r="C201" i="15"/>
  <c r="C200" i="15"/>
  <c r="C199" i="15"/>
  <c r="C198" i="15"/>
  <c r="C197" i="15"/>
  <c r="C196" i="15"/>
  <c r="C195" i="15"/>
  <c r="C194" i="15"/>
  <c r="C193" i="15"/>
  <c r="C192" i="15"/>
  <c r="C191" i="15"/>
  <c r="C190" i="15"/>
  <c r="C189" i="15"/>
  <c r="C188" i="15"/>
  <c r="C187" i="15"/>
  <c r="C186" i="15"/>
  <c r="C185" i="15"/>
  <c r="C184" i="15"/>
  <c r="C183" i="15"/>
  <c r="C182" i="15"/>
  <c r="C181" i="15"/>
  <c r="C180" i="15"/>
  <c r="C179" i="15"/>
  <c r="C178" i="15"/>
  <c r="C177" i="15"/>
  <c r="C176" i="15"/>
  <c r="C175" i="15"/>
  <c r="C174" i="15"/>
  <c r="C173" i="15"/>
  <c r="C172" i="15"/>
  <c r="C171" i="15"/>
  <c r="C170" i="15"/>
  <c r="C169" i="15"/>
  <c r="C168" i="15"/>
  <c r="C167" i="15"/>
  <c r="C166" i="15"/>
  <c r="C165" i="15"/>
  <c r="C164" i="15"/>
  <c r="C163" i="15"/>
  <c r="C162" i="15"/>
  <c r="C161" i="15"/>
  <c r="C160" i="15"/>
  <c r="C159" i="15"/>
  <c r="C158" i="15"/>
  <c r="C157" i="15"/>
  <c r="C156" i="15"/>
  <c r="C155" i="15"/>
  <c r="C154" i="15"/>
  <c r="C153" i="15"/>
  <c r="C152" i="15"/>
  <c r="C151" i="15"/>
  <c r="C150" i="15"/>
  <c r="C149" i="15"/>
  <c r="C148" i="15"/>
  <c r="C147" i="15"/>
  <c r="C146" i="15"/>
  <c r="B146" i="15"/>
  <c r="B147" i="15" s="1"/>
  <c r="B148" i="15" s="1"/>
  <c r="B149" i="15" s="1"/>
  <c r="B150" i="15" s="1"/>
  <c r="B151" i="15" s="1"/>
  <c r="B152" i="15" s="1"/>
  <c r="B153" i="15" s="1"/>
  <c r="B154" i="15" s="1"/>
  <c r="B155" i="15" s="1"/>
  <c r="B156" i="15" s="1"/>
  <c r="B157" i="15" s="1"/>
  <c r="B158" i="15" s="1"/>
  <c r="B159" i="15" s="1"/>
  <c r="B160" i="15" s="1"/>
  <c r="B161" i="15" s="1"/>
  <c r="B162" i="15" s="1"/>
  <c r="C145" i="15"/>
  <c r="C142" i="15"/>
  <c r="C140" i="15"/>
  <c r="C139" i="15"/>
  <c r="C138" i="15"/>
  <c r="C137" i="15"/>
  <c r="C135" i="15"/>
  <c r="C134" i="15"/>
  <c r="C133" i="15"/>
  <c r="C132" i="15"/>
  <c r="C131" i="15"/>
  <c r="C130" i="15"/>
  <c r="C127" i="15"/>
  <c r="C124" i="15"/>
  <c r="C123" i="15"/>
  <c r="C122" i="15"/>
  <c r="C121" i="15"/>
  <c r="C120" i="15"/>
  <c r="C119" i="15"/>
  <c r="C118" i="15"/>
  <c r="C117" i="15"/>
  <c r="C116" i="15"/>
  <c r="C115" i="15"/>
  <c r="C114" i="15"/>
  <c r="C113" i="15"/>
  <c r="C112" i="15"/>
  <c r="C111" i="15"/>
  <c r="C110" i="15"/>
  <c r="C109" i="15"/>
  <c r="C108" i="15"/>
  <c r="C107" i="15"/>
  <c r="C106" i="15"/>
  <c r="C105" i="15"/>
  <c r="C104" i="15"/>
  <c r="C103" i="15"/>
  <c r="C102" i="15"/>
  <c r="C99" i="15"/>
  <c r="C98" i="15"/>
  <c r="C97" i="15"/>
  <c r="C96" i="15"/>
  <c r="C95" i="15"/>
  <c r="C94" i="15"/>
  <c r="C93" i="15"/>
  <c r="C92" i="15"/>
  <c r="C91" i="15"/>
  <c r="C88" i="15"/>
  <c r="C87" i="15"/>
  <c r="C86" i="15"/>
  <c r="C85" i="15"/>
  <c r="C84" i="15"/>
  <c r="C83" i="15"/>
  <c r="C82" i="15"/>
  <c r="C81" i="15"/>
  <c r="C80" i="15"/>
  <c r="C79" i="15"/>
  <c r="C78" i="15"/>
  <c r="C77" i="15"/>
  <c r="C76" i="15"/>
  <c r="C75" i="15"/>
  <c r="C74" i="15"/>
  <c r="C73" i="15"/>
  <c r="C72" i="15"/>
  <c r="C71" i="15"/>
  <c r="C70" i="15"/>
  <c r="C69" i="15"/>
  <c r="C68" i="15"/>
  <c r="C67" i="15"/>
  <c r="C66" i="15"/>
  <c r="C65" i="15"/>
  <c r="C64" i="15"/>
  <c r="C63" i="15"/>
  <c r="C62" i="15"/>
  <c r="C61" i="15"/>
  <c r="C60" i="15"/>
  <c r="C59" i="15"/>
  <c r="C58" i="15"/>
  <c r="C57" i="15"/>
  <c r="C56" i="15"/>
  <c r="C55" i="15"/>
  <c r="C54" i="15"/>
  <c r="C53" i="15"/>
  <c r="C52" i="15"/>
  <c r="C51" i="15"/>
  <c r="C50" i="15"/>
  <c r="C49" i="15"/>
  <c r="C48" i="15"/>
  <c r="C47" i="15"/>
  <c r="C46" i="15"/>
  <c r="C43" i="15"/>
  <c r="C42" i="15"/>
  <c r="C41" i="15"/>
  <c r="C40" i="15"/>
  <c r="C39" i="15"/>
  <c r="C38" i="15"/>
  <c r="C37" i="15"/>
  <c r="C36" i="15"/>
  <c r="C35" i="15"/>
  <c r="C34" i="15"/>
  <c r="B34" i="15"/>
  <c r="C33" i="15"/>
  <c r="B33" i="15"/>
  <c r="C32" i="15"/>
  <c r="B32" i="15"/>
  <c r="C31" i="15"/>
  <c r="B31" i="15"/>
  <c r="C30" i="15"/>
  <c r="C29" i="15"/>
  <c r="C28" i="15"/>
  <c r="C23" i="15"/>
  <c r="C17" i="15" s="1"/>
  <c r="C22" i="15"/>
  <c r="C21" i="15"/>
  <c r="C20" i="15"/>
  <c r="C19" i="15"/>
  <c r="C18" i="15"/>
  <c r="C13" i="15"/>
  <c r="B13" i="15"/>
  <c r="C12" i="15"/>
  <c r="B12" i="15"/>
  <c r="C11" i="15"/>
  <c r="B11" i="15"/>
  <c r="C10" i="15"/>
  <c r="B10" i="15"/>
  <c r="C9" i="15"/>
  <c r="B9" i="15"/>
  <c r="C8" i="15"/>
  <c r="B8" i="15"/>
  <c r="B7" i="15"/>
  <c r="C6" i="15"/>
  <c r="B6" i="15"/>
  <c r="B5" i="15"/>
  <c r="C4" i="15"/>
  <c r="B4" i="15"/>
  <c r="B225" i="15" l="1"/>
  <c r="B163" i="15"/>
  <c r="B164" i="15" s="1"/>
  <c r="B165" i="15" s="1"/>
  <c r="B166" i="15" s="1"/>
  <c r="B167" i="15" s="1"/>
  <c r="B168" i="15" s="1"/>
  <c r="B169" i="15" s="1"/>
  <c r="B170" i="15" s="1"/>
  <c r="B171" i="15" s="1"/>
  <c r="B172" i="15" s="1"/>
  <c r="B173" i="15" s="1"/>
  <c r="B174" i="15" s="1"/>
  <c r="B175" i="15" s="1"/>
  <c r="B176" i="15" s="1"/>
  <c r="B177" i="15" s="1"/>
  <c r="B178" i="15" s="1"/>
  <c r="B179" i="15" s="1"/>
  <c r="B180" i="15" s="1"/>
  <c r="B181" i="15" s="1"/>
  <c r="B182" i="15" s="1"/>
  <c r="B183" i="15" s="1"/>
  <c r="B184" i="15" s="1"/>
  <c r="B185" i="15" s="1"/>
  <c r="B186" i="15" s="1"/>
  <c r="B187" i="15" s="1"/>
  <c r="B188" i="15" s="1"/>
  <c r="B189" i="15" s="1"/>
  <c r="B190" i="15" s="1"/>
  <c r="B191" i="15" s="1"/>
  <c r="B192" i="15" s="1"/>
  <c r="B193" i="15" s="1"/>
  <c r="B194" i="15" s="1"/>
  <c r="B195" i="15" s="1"/>
  <c r="B196" i="15" s="1"/>
  <c r="B197" i="15" s="1"/>
  <c r="B198" i="15" s="1"/>
  <c r="B199" i="15" s="1"/>
  <c r="B200" i="15" s="1"/>
  <c r="B201" i="15" s="1"/>
  <c r="B202" i="15" s="1"/>
  <c r="B203" i="15" s="1"/>
  <c r="B204" i="15" s="1"/>
  <c r="B205" i="15" s="1"/>
  <c r="B206" i="15" s="1"/>
  <c r="B207" i="15" s="1"/>
  <c r="B208" i="15" s="1"/>
  <c r="B209" i="15" s="1"/>
  <c r="B210" i="15" s="1"/>
  <c r="B211" i="15" s="1"/>
  <c r="B212" i="15" s="1"/>
  <c r="B213" i="15" s="1"/>
  <c r="B214" i="15" s="1"/>
  <c r="B215" i="15" s="1"/>
  <c r="B216" i="15" s="1"/>
  <c r="B217" i="15" s="1"/>
  <c r="B218" i="15" s="1"/>
  <c r="B219" i="15" s="1"/>
  <c r="B220" i="15" s="1"/>
  <c r="B221" i="15" s="1"/>
  <c r="B222" i="15" s="1"/>
  <c r="B223" i="15" s="1"/>
  <c r="B224" i="15" s="1"/>
  <c r="C223" i="14" l="1"/>
  <c r="C222" i="14"/>
  <c r="C221" i="14"/>
  <c r="C220" i="14"/>
  <c r="C219" i="14"/>
  <c r="C218" i="14"/>
  <c r="C217" i="14"/>
  <c r="C216" i="14"/>
  <c r="C215" i="14"/>
  <c r="C214" i="14"/>
  <c r="C213" i="14"/>
  <c r="C212" i="14"/>
  <c r="C211" i="14"/>
  <c r="C210" i="14"/>
  <c r="C209" i="14"/>
  <c r="C208" i="14"/>
  <c r="C207" i="14"/>
  <c r="C206" i="14"/>
  <c r="C205" i="14"/>
  <c r="C204" i="14"/>
  <c r="C203" i="14"/>
  <c r="C202" i="14"/>
  <c r="C201" i="14"/>
  <c r="C200" i="14"/>
  <c r="C199" i="14"/>
  <c r="C198" i="14"/>
  <c r="C197" i="14"/>
  <c r="C196" i="14"/>
  <c r="C195" i="14"/>
  <c r="C194" i="14"/>
  <c r="C193" i="14"/>
  <c r="C192" i="14"/>
  <c r="C191" i="14"/>
  <c r="C190" i="14"/>
  <c r="C189" i="14"/>
  <c r="C188" i="14"/>
  <c r="C187" i="14"/>
  <c r="C186" i="14"/>
  <c r="C185" i="14"/>
  <c r="C184" i="14"/>
  <c r="C183" i="14"/>
  <c r="C182" i="14"/>
  <c r="C181" i="14"/>
  <c r="C180" i="14"/>
  <c r="C179" i="14"/>
  <c r="C178" i="14"/>
  <c r="C177" i="14"/>
  <c r="C176" i="14"/>
  <c r="C175" i="14"/>
  <c r="C174" i="14"/>
  <c r="C173" i="14"/>
  <c r="C172" i="14"/>
  <c r="C171" i="14"/>
  <c r="C170" i="14"/>
  <c r="C169" i="14"/>
  <c r="C168" i="14"/>
  <c r="C167" i="14"/>
  <c r="C166" i="14"/>
  <c r="C165" i="14"/>
  <c r="C164" i="14"/>
  <c r="C163" i="14"/>
  <c r="C162" i="14"/>
  <c r="C161" i="14"/>
  <c r="C160" i="14"/>
  <c r="C159" i="14"/>
  <c r="C158" i="14"/>
  <c r="C157" i="14"/>
  <c r="C156" i="14"/>
  <c r="C155" i="14"/>
  <c r="C154" i="14"/>
  <c r="C153" i="14"/>
  <c r="C152" i="14"/>
  <c r="C151" i="14"/>
  <c r="C150" i="14"/>
  <c r="C149" i="14"/>
  <c r="C148" i="14"/>
  <c r="C147" i="14"/>
  <c r="C146" i="14"/>
  <c r="C145" i="14"/>
  <c r="C144" i="14"/>
  <c r="B144" i="14"/>
  <c r="B145" i="14" s="1"/>
  <c r="B146" i="14" s="1"/>
  <c r="B147" i="14" s="1"/>
  <c r="B148" i="14" s="1"/>
  <c r="B149" i="14" s="1"/>
  <c r="B150" i="14" s="1"/>
  <c r="B151" i="14" s="1"/>
  <c r="B152" i="14" s="1"/>
  <c r="B153" i="14" s="1"/>
  <c r="B154" i="14" s="1"/>
  <c r="B155" i="14" s="1"/>
  <c r="B156" i="14" s="1"/>
  <c r="B157" i="14" s="1"/>
  <c r="B158" i="14" s="1"/>
  <c r="B159" i="14" s="1"/>
  <c r="B160" i="14" s="1"/>
  <c r="B161" i="14" s="1"/>
  <c r="B162" i="14" s="1"/>
  <c r="B163" i="14" s="1"/>
  <c r="B164" i="14" s="1"/>
  <c r="B165" i="14" s="1"/>
  <c r="B166" i="14" s="1"/>
  <c r="B167" i="14" s="1"/>
  <c r="B168" i="14" s="1"/>
  <c r="B169" i="14" s="1"/>
  <c r="B170" i="14" s="1"/>
  <c r="B171" i="14" s="1"/>
  <c r="B172" i="14" s="1"/>
  <c r="B173" i="14" s="1"/>
  <c r="B174" i="14" s="1"/>
  <c r="B175" i="14" s="1"/>
  <c r="B176" i="14" s="1"/>
  <c r="B177" i="14" s="1"/>
  <c r="B178" i="14" s="1"/>
  <c r="B179" i="14" s="1"/>
  <c r="B180" i="14" s="1"/>
  <c r="B181" i="14" s="1"/>
  <c r="B182" i="14" s="1"/>
  <c r="B183" i="14" s="1"/>
  <c r="B184" i="14" s="1"/>
  <c r="B185" i="14" s="1"/>
  <c r="B186" i="14" s="1"/>
  <c r="B187" i="14" s="1"/>
  <c r="B188" i="14" s="1"/>
  <c r="B189" i="14" s="1"/>
  <c r="B190" i="14" s="1"/>
  <c r="B191" i="14" s="1"/>
  <c r="B192" i="14" s="1"/>
  <c r="B193" i="14" s="1"/>
  <c r="B194" i="14" s="1"/>
  <c r="B195" i="14" s="1"/>
  <c r="B196" i="14" s="1"/>
  <c r="B197" i="14" s="1"/>
  <c r="B198" i="14" s="1"/>
  <c r="B199" i="14" s="1"/>
  <c r="B200" i="14" s="1"/>
  <c r="B201" i="14" s="1"/>
  <c r="B202" i="14" s="1"/>
  <c r="B203" i="14" s="1"/>
  <c r="B204" i="14" s="1"/>
  <c r="B205" i="14" s="1"/>
  <c r="B206" i="14" s="1"/>
  <c r="B207" i="14" s="1"/>
  <c r="B208" i="14" s="1"/>
  <c r="B209" i="14" s="1"/>
  <c r="B210" i="14" s="1"/>
  <c r="B211" i="14" s="1"/>
  <c r="B212" i="14" s="1"/>
  <c r="B213" i="14" s="1"/>
  <c r="B214" i="14" s="1"/>
  <c r="B215" i="14" s="1"/>
  <c r="B216" i="14" s="1"/>
  <c r="B217" i="14" s="1"/>
  <c r="B218" i="14" s="1"/>
  <c r="B219" i="14" s="1"/>
  <c r="B220" i="14" s="1"/>
  <c r="B221" i="14" s="1"/>
  <c r="B222" i="14" s="1"/>
  <c r="B223" i="14" s="1"/>
  <c r="C143" i="14"/>
  <c r="C140" i="14"/>
  <c r="C138" i="14"/>
  <c r="C137" i="14"/>
  <c r="C136" i="14"/>
  <c r="C135" i="14"/>
  <c r="C125" i="14"/>
  <c r="C122" i="14"/>
  <c r="C121" i="14"/>
  <c r="C120" i="14"/>
  <c r="C119" i="14"/>
  <c r="C118" i="14"/>
  <c r="C117" i="14"/>
  <c r="C116" i="14"/>
  <c r="C115" i="14"/>
  <c r="C114" i="14"/>
  <c r="C113" i="14"/>
  <c r="C112" i="14"/>
  <c r="C111" i="14"/>
  <c r="C110" i="14"/>
  <c r="C109" i="14"/>
  <c r="C108" i="14"/>
  <c r="C107" i="14"/>
  <c r="C106" i="14"/>
  <c r="C105" i="14"/>
  <c r="C104" i="14"/>
  <c r="C103" i="14"/>
  <c r="C102" i="14"/>
  <c r="C101" i="14"/>
  <c r="C100" i="14"/>
  <c r="C99" i="14"/>
  <c r="C98" i="14"/>
  <c r="C97" i="14"/>
  <c r="C96" i="14"/>
  <c r="C93" i="14"/>
  <c r="C92" i="14"/>
  <c r="C91" i="14"/>
  <c r="C90" i="14"/>
  <c r="C89" i="14"/>
  <c r="C88" i="14"/>
  <c r="C87" i="14"/>
  <c r="C86" i="14"/>
  <c r="C85" i="14"/>
  <c r="C82" i="14"/>
  <c r="C81" i="14"/>
  <c r="C80" i="14"/>
  <c r="C79" i="14"/>
  <c r="C78" i="14"/>
  <c r="C77" i="14"/>
  <c r="C76" i="14"/>
  <c r="C75" i="14"/>
  <c r="C74" i="14"/>
  <c r="C73" i="14"/>
  <c r="C72" i="14"/>
  <c r="C71" i="14"/>
  <c r="C70" i="14"/>
  <c r="C69" i="14"/>
  <c r="C68" i="14"/>
  <c r="C67" i="14"/>
  <c r="C66" i="14"/>
  <c r="C65" i="14"/>
  <c r="C64" i="14"/>
  <c r="C63" i="14"/>
  <c r="C62" i="14"/>
  <c r="C61" i="14"/>
  <c r="C60" i="14"/>
  <c r="C59" i="14"/>
  <c r="C58" i="14"/>
  <c r="C57" i="14"/>
  <c r="C56" i="14"/>
  <c r="C55" i="14"/>
  <c r="C54" i="14"/>
  <c r="C53" i="14"/>
  <c r="C52" i="14"/>
  <c r="C51" i="14"/>
  <c r="C50" i="14"/>
  <c r="C49" i="14"/>
  <c r="C48" i="14"/>
  <c r="C47" i="14"/>
  <c r="C46" i="14"/>
  <c r="C45" i="14"/>
  <c r="C44" i="14"/>
  <c r="C43" i="14"/>
  <c r="C42" i="14"/>
  <c r="C41" i="14"/>
  <c r="C38" i="14"/>
  <c r="C37" i="14"/>
  <c r="C36" i="14"/>
  <c r="C35" i="14"/>
  <c r="C34" i="14"/>
  <c r="C33" i="14"/>
  <c r="C32" i="14"/>
  <c r="C31" i="14"/>
  <c r="C30" i="14"/>
  <c r="C29" i="14"/>
  <c r="C28" i="14"/>
  <c r="C23" i="14"/>
  <c r="C22" i="14"/>
  <c r="C21" i="14"/>
  <c r="C20" i="14"/>
  <c r="C19" i="14"/>
  <c r="C18" i="14"/>
  <c r="C13" i="14"/>
  <c r="B13" i="14"/>
  <c r="C12" i="14"/>
  <c r="B12" i="14"/>
  <c r="C11" i="14"/>
  <c r="B11" i="14"/>
  <c r="C10" i="14"/>
  <c r="B10" i="14"/>
  <c r="C9" i="14"/>
  <c r="B9" i="14"/>
  <c r="C8" i="14"/>
  <c r="B8" i="14"/>
  <c r="B7" i="14"/>
  <c r="C6" i="14"/>
  <c r="B6" i="14"/>
  <c r="B5" i="14"/>
  <c r="C4" i="14"/>
  <c r="B4" i="14"/>
  <c r="C17" i="14" l="1"/>
  <c r="C223" i="21"/>
  <c r="C222" i="21"/>
  <c r="C221" i="21"/>
  <c r="C220" i="21"/>
  <c r="C219" i="21"/>
  <c r="C218" i="21"/>
  <c r="C217" i="21"/>
  <c r="C216" i="21"/>
  <c r="C215" i="21"/>
  <c r="C214" i="21"/>
  <c r="C213" i="21"/>
  <c r="C212" i="21"/>
  <c r="C211" i="21"/>
  <c r="C210" i="21"/>
  <c r="C209" i="21"/>
  <c r="C208" i="21"/>
  <c r="C207" i="21"/>
  <c r="C206" i="21"/>
  <c r="C205" i="21"/>
  <c r="C204" i="21"/>
  <c r="C203" i="21"/>
  <c r="C202" i="21"/>
  <c r="C201" i="21"/>
  <c r="C200" i="21"/>
  <c r="C199" i="21"/>
  <c r="C198" i="21"/>
  <c r="C197" i="21"/>
  <c r="C196" i="21"/>
  <c r="C195" i="21"/>
  <c r="C194" i="21"/>
  <c r="C193" i="21"/>
  <c r="C192" i="21"/>
  <c r="C191" i="21"/>
  <c r="C190" i="21"/>
  <c r="C189" i="21"/>
  <c r="C188" i="21"/>
  <c r="C187" i="21"/>
  <c r="C186" i="21"/>
  <c r="C185" i="21"/>
  <c r="C184" i="21"/>
  <c r="C183" i="21"/>
  <c r="C182" i="21"/>
  <c r="C181" i="21"/>
  <c r="C180" i="21"/>
  <c r="C179" i="21"/>
  <c r="C178" i="21"/>
  <c r="C177" i="21"/>
  <c r="C176" i="21"/>
  <c r="C175" i="21"/>
  <c r="C174" i="21"/>
  <c r="C173" i="21"/>
  <c r="C172" i="21"/>
  <c r="C171" i="21"/>
  <c r="C170" i="21"/>
  <c r="C169" i="21"/>
  <c r="C168" i="21"/>
  <c r="C167" i="21"/>
  <c r="C166" i="21"/>
  <c r="C165" i="21"/>
  <c r="C164" i="21"/>
  <c r="C163" i="21"/>
  <c r="C162" i="21"/>
  <c r="C161" i="21"/>
  <c r="C160" i="21"/>
  <c r="C159" i="21"/>
  <c r="C158" i="21"/>
  <c r="C157" i="21"/>
  <c r="C156" i="21"/>
  <c r="C155" i="21"/>
  <c r="C154" i="21"/>
  <c r="C153" i="21"/>
  <c r="C152" i="21"/>
  <c r="C151" i="21"/>
  <c r="C150" i="21"/>
  <c r="C149" i="21"/>
  <c r="C148" i="21"/>
  <c r="C147" i="21"/>
  <c r="C146" i="21"/>
  <c r="C145" i="21"/>
  <c r="C144" i="21"/>
  <c r="B144" i="21"/>
  <c r="B145" i="21" s="1"/>
  <c r="B146" i="21" s="1"/>
  <c r="B147" i="21" s="1"/>
  <c r="B148" i="21" s="1"/>
  <c r="B149" i="21" s="1"/>
  <c r="B150" i="21" s="1"/>
  <c r="B151" i="21" s="1"/>
  <c r="B152" i="21" s="1"/>
  <c r="B153" i="21" s="1"/>
  <c r="B154" i="21" s="1"/>
  <c r="B155" i="21" s="1"/>
  <c r="B156" i="21" s="1"/>
  <c r="B157" i="21" s="1"/>
  <c r="B158" i="21" s="1"/>
  <c r="B159" i="21" s="1"/>
  <c r="B160" i="21" s="1"/>
  <c r="B161" i="21" s="1"/>
  <c r="B162" i="21" s="1"/>
  <c r="B163" i="21" s="1"/>
  <c r="B164" i="21" s="1"/>
  <c r="B165" i="21" s="1"/>
  <c r="B166" i="21" s="1"/>
  <c r="B167" i="21" s="1"/>
  <c r="B168" i="21" s="1"/>
  <c r="B169" i="21" s="1"/>
  <c r="B170" i="21" s="1"/>
  <c r="B171" i="21" s="1"/>
  <c r="B172" i="21" s="1"/>
  <c r="B173" i="21" s="1"/>
  <c r="B174" i="21" s="1"/>
  <c r="B175" i="21" s="1"/>
  <c r="B176" i="21" s="1"/>
  <c r="B177" i="21" s="1"/>
  <c r="B178" i="21" s="1"/>
  <c r="B179" i="21" s="1"/>
  <c r="B180" i="21" s="1"/>
  <c r="B181" i="21" s="1"/>
  <c r="B182" i="21" s="1"/>
  <c r="B183" i="21" s="1"/>
  <c r="B184" i="21" s="1"/>
  <c r="B185" i="21" s="1"/>
  <c r="B186" i="21" s="1"/>
  <c r="B187" i="21" s="1"/>
  <c r="B188" i="21" s="1"/>
  <c r="B189" i="21" s="1"/>
  <c r="B190" i="21" s="1"/>
  <c r="B191" i="21" s="1"/>
  <c r="B192" i="21" s="1"/>
  <c r="B193" i="21" s="1"/>
  <c r="B194" i="21" s="1"/>
  <c r="B195" i="21" s="1"/>
  <c r="B196" i="21" s="1"/>
  <c r="B197" i="21" s="1"/>
  <c r="B198" i="21" s="1"/>
  <c r="B199" i="21" s="1"/>
  <c r="B200" i="21" s="1"/>
  <c r="B201" i="21" s="1"/>
  <c r="B202" i="21" s="1"/>
  <c r="B203" i="21" s="1"/>
  <c r="B204" i="21" s="1"/>
  <c r="B205" i="21" s="1"/>
  <c r="B206" i="21" s="1"/>
  <c r="B207" i="21" s="1"/>
  <c r="B208" i="21" s="1"/>
  <c r="B209" i="21" s="1"/>
  <c r="B210" i="21" s="1"/>
  <c r="B211" i="21" s="1"/>
  <c r="B212" i="21" s="1"/>
  <c r="B213" i="21" s="1"/>
  <c r="B214" i="21" s="1"/>
  <c r="B215" i="21" s="1"/>
  <c r="B216" i="21" s="1"/>
  <c r="B217" i="21" s="1"/>
  <c r="B218" i="21" s="1"/>
  <c r="B219" i="21" s="1"/>
  <c r="B220" i="21" s="1"/>
  <c r="B221" i="21" s="1"/>
  <c r="B222" i="21" s="1"/>
  <c r="B223" i="21" s="1"/>
  <c r="C143" i="21"/>
  <c r="C140" i="21"/>
  <c r="C138" i="21"/>
  <c r="C137" i="21"/>
  <c r="C136" i="21"/>
  <c r="C135" i="21"/>
  <c r="C125" i="21"/>
  <c r="C122" i="21"/>
  <c r="C121" i="21"/>
  <c r="C120" i="21"/>
  <c r="C119" i="21"/>
  <c r="C118" i="21"/>
  <c r="C117" i="21"/>
  <c r="C116" i="21"/>
  <c r="C115" i="21"/>
  <c r="C114" i="21"/>
  <c r="C113" i="21"/>
  <c r="C112" i="21"/>
  <c r="C111" i="21"/>
  <c r="C110" i="21"/>
  <c r="C109" i="21"/>
  <c r="C108" i="21"/>
  <c r="C107" i="21"/>
  <c r="C106" i="21"/>
  <c r="C105" i="21"/>
  <c r="C104" i="21"/>
  <c r="C103" i="21"/>
  <c r="C102" i="21"/>
  <c r="C101" i="21"/>
  <c r="C100" i="21"/>
  <c r="C99" i="21"/>
  <c r="C98" i="21"/>
  <c r="C97" i="21"/>
  <c r="C96" i="21"/>
  <c r="C93" i="21"/>
  <c r="C92" i="21"/>
  <c r="C91" i="21"/>
  <c r="C90" i="21"/>
  <c r="C89" i="21"/>
  <c r="C88" i="21"/>
  <c r="C87" i="21"/>
  <c r="C86" i="21"/>
  <c r="C85" i="21"/>
  <c r="C82" i="21"/>
  <c r="C81" i="21"/>
  <c r="C80" i="21"/>
  <c r="C79" i="21"/>
  <c r="C78" i="21"/>
  <c r="C77" i="21"/>
  <c r="C76" i="21"/>
  <c r="C75" i="21"/>
  <c r="C74" i="21"/>
  <c r="C73" i="21"/>
  <c r="C72" i="21"/>
  <c r="C71" i="21"/>
  <c r="C70" i="21"/>
  <c r="C69" i="21"/>
  <c r="C68" i="21"/>
  <c r="C67" i="21"/>
  <c r="C66" i="21"/>
  <c r="C65" i="21"/>
  <c r="C64" i="21"/>
  <c r="C63" i="21"/>
  <c r="C62" i="21"/>
  <c r="C61" i="21"/>
  <c r="C60" i="21"/>
  <c r="C59" i="21"/>
  <c r="C58" i="21"/>
  <c r="C57" i="21"/>
  <c r="C56" i="21"/>
  <c r="C55" i="21"/>
  <c r="C54" i="21"/>
  <c r="C53" i="21"/>
  <c r="C52" i="21"/>
  <c r="C51" i="21"/>
  <c r="C50" i="21"/>
  <c r="C49" i="21"/>
  <c r="C48" i="21"/>
  <c r="C47" i="21"/>
  <c r="C46" i="21"/>
  <c r="C45" i="21"/>
  <c r="C44" i="21"/>
  <c r="C43" i="21"/>
  <c r="C42" i="21"/>
  <c r="C41" i="21"/>
  <c r="C38" i="21"/>
  <c r="C37" i="21"/>
  <c r="C36" i="21"/>
  <c r="C35" i="21"/>
  <c r="C34" i="21"/>
  <c r="C33" i="21"/>
  <c r="C32" i="21"/>
  <c r="C31" i="21"/>
  <c r="C30" i="21"/>
  <c r="C29" i="21"/>
  <c r="C28" i="21"/>
  <c r="C23" i="21"/>
  <c r="C22" i="21"/>
  <c r="C21" i="21"/>
  <c r="C20" i="21"/>
  <c r="C19" i="21"/>
  <c r="C18" i="21"/>
  <c r="C13" i="21"/>
  <c r="B13" i="21"/>
  <c r="C12" i="21"/>
  <c r="B12" i="21"/>
  <c r="C11" i="21"/>
  <c r="B11" i="21"/>
  <c r="C10" i="21"/>
  <c r="B10" i="21"/>
  <c r="C9" i="21"/>
  <c r="B9" i="21"/>
  <c r="C8" i="21"/>
  <c r="B8" i="21"/>
  <c r="B7" i="21"/>
  <c r="C6" i="21"/>
  <c r="B6" i="21"/>
  <c r="B5" i="21"/>
  <c r="C4" i="21"/>
  <c r="B4" i="21"/>
  <c r="C17" i="21" l="1"/>
  <c r="C225" i="13"/>
  <c r="C224" i="13"/>
  <c r="C223" i="13"/>
  <c r="C222" i="13"/>
  <c r="C221" i="13"/>
  <c r="C220" i="13"/>
  <c r="C219" i="13"/>
  <c r="C218" i="13"/>
  <c r="C217" i="13"/>
  <c r="C216" i="13"/>
  <c r="C215" i="13"/>
  <c r="C214" i="13"/>
  <c r="C213" i="13"/>
  <c r="C212" i="13"/>
  <c r="C211" i="13"/>
  <c r="C210" i="13"/>
  <c r="C209" i="13"/>
  <c r="C208" i="13"/>
  <c r="C207" i="13"/>
  <c r="C206" i="13"/>
  <c r="C205" i="13"/>
  <c r="C204" i="13"/>
  <c r="C203" i="13"/>
  <c r="C202" i="13"/>
  <c r="C201" i="13"/>
  <c r="C200" i="13"/>
  <c r="C199" i="13"/>
  <c r="C198" i="13"/>
  <c r="C197" i="13"/>
  <c r="C196" i="13"/>
  <c r="C195" i="13"/>
  <c r="C194" i="13"/>
  <c r="C193" i="13"/>
  <c r="C192" i="13"/>
  <c r="C191" i="13"/>
  <c r="C190" i="13"/>
  <c r="C189" i="13"/>
  <c r="C188" i="13"/>
  <c r="C187" i="13"/>
  <c r="C186" i="13"/>
  <c r="C185" i="13"/>
  <c r="C184" i="13"/>
  <c r="C183" i="13"/>
  <c r="C182" i="13"/>
  <c r="C181" i="13"/>
  <c r="C180" i="13"/>
  <c r="C179" i="13"/>
  <c r="C178" i="13"/>
  <c r="C177" i="13"/>
  <c r="C176" i="13"/>
  <c r="C175" i="13"/>
  <c r="C174" i="13"/>
  <c r="C173" i="13"/>
  <c r="C172" i="13"/>
  <c r="C171" i="13"/>
  <c r="C170" i="13"/>
  <c r="C169" i="13"/>
  <c r="C168" i="13"/>
  <c r="C167" i="13"/>
  <c r="C166" i="13"/>
  <c r="C165" i="13"/>
  <c r="C164" i="13"/>
  <c r="C163" i="13"/>
  <c r="C162" i="13"/>
  <c r="C161" i="13"/>
  <c r="C160" i="13"/>
  <c r="C159" i="13"/>
  <c r="C158" i="13"/>
  <c r="C157" i="13"/>
  <c r="C156" i="13"/>
  <c r="C155" i="13"/>
  <c r="C154" i="13"/>
  <c r="C153" i="13"/>
  <c r="C152" i="13"/>
  <c r="C151" i="13"/>
  <c r="C150" i="13"/>
  <c r="C149" i="13"/>
  <c r="C148" i="13"/>
  <c r="C147" i="13"/>
  <c r="C146" i="13"/>
  <c r="B146" i="13"/>
  <c r="B147" i="13" s="1"/>
  <c r="B148" i="13" s="1"/>
  <c r="B149" i="13" s="1"/>
  <c r="B150" i="13" s="1"/>
  <c r="B151" i="13" s="1"/>
  <c r="B152" i="13" s="1"/>
  <c r="B153" i="13" s="1"/>
  <c r="B154" i="13" s="1"/>
  <c r="B155" i="13" s="1"/>
  <c r="B156" i="13" s="1"/>
  <c r="B157" i="13" s="1"/>
  <c r="B158" i="13" s="1"/>
  <c r="B159" i="13" s="1"/>
  <c r="B160" i="13" s="1"/>
  <c r="B161" i="13" s="1"/>
  <c r="B162" i="13" s="1"/>
  <c r="C145" i="13"/>
  <c r="C142" i="13"/>
  <c r="C140" i="13"/>
  <c r="C139" i="13"/>
  <c r="C138" i="13"/>
  <c r="C137" i="13"/>
  <c r="C135" i="13"/>
  <c r="C134" i="13"/>
  <c r="C133" i="13"/>
  <c r="C132" i="13"/>
  <c r="C131" i="13"/>
  <c r="C130" i="13"/>
  <c r="C127" i="13"/>
  <c r="C124" i="13"/>
  <c r="C123" i="13"/>
  <c r="C122" i="13"/>
  <c r="C121" i="13"/>
  <c r="C120" i="13"/>
  <c r="C119" i="13"/>
  <c r="C118" i="13"/>
  <c r="C117" i="13"/>
  <c r="C116" i="13"/>
  <c r="C115" i="13"/>
  <c r="C114" i="13"/>
  <c r="C113" i="13"/>
  <c r="C112" i="13"/>
  <c r="C111" i="13"/>
  <c r="C110" i="13"/>
  <c r="C109" i="13"/>
  <c r="C108" i="13"/>
  <c r="C107" i="13"/>
  <c r="C106" i="13"/>
  <c r="C105" i="13"/>
  <c r="C104" i="13"/>
  <c r="C103" i="13"/>
  <c r="C102" i="13"/>
  <c r="C99" i="13"/>
  <c r="C98" i="13"/>
  <c r="C97" i="13"/>
  <c r="C96" i="13"/>
  <c r="C95" i="13"/>
  <c r="C94" i="13"/>
  <c r="C93" i="13"/>
  <c r="C92" i="13"/>
  <c r="C91" i="13"/>
  <c r="C88" i="13"/>
  <c r="C87" i="13"/>
  <c r="C86" i="13"/>
  <c r="C85" i="13"/>
  <c r="C84" i="13"/>
  <c r="C83" i="13"/>
  <c r="C82" i="13"/>
  <c r="C81" i="13"/>
  <c r="C80" i="13"/>
  <c r="C79" i="13"/>
  <c r="C78" i="13"/>
  <c r="C77" i="13"/>
  <c r="C76" i="13"/>
  <c r="C75" i="13"/>
  <c r="C74" i="13"/>
  <c r="C73" i="13"/>
  <c r="C72" i="13"/>
  <c r="C71" i="13"/>
  <c r="C70" i="13"/>
  <c r="C69" i="13"/>
  <c r="C68" i="13"/>
  <c r="C67" i="13"/>
  <c r="C66" i="13"/>
  <c r="C65" i="13"/>
  <c r="C64" i="13"/>
  <c r="C63" i="13"/>
  <c r="C62" i="13"/>
  <c r="C61" i="13"/>
  <c r="C60" i="13"/>
  <c r="C59" i="13"/>
  <c r="C58" i="13"/>
  <c r="C57" i="13"/>
  <c r="C56" i="13"/>
  <c r="C55" i="13"/>
  <c r="C54" i="13"/>
  <c r="C53" i="13"/>
  <c r="C52" i="13"/>
  <c r="C51" i="13"/>
  <c r="C50" i="13"/>
  <c r="C49" i="13"/>
  <c r="C48" i="13"/>
  <c r="C47" i="13"/>
  <c r="C46" i="13"/>
  <c r="C43" i="13"/>
  <c r="C42" i="13"/>
  <c r="C41" i="13"/>
  <c r="C40" i="13"/>
  <c r="C39" i="13"/>
  <c r="C38" i="13"/>
  <c r="C37" i="13"/>
  <c r="C36" i="13"/>
  <c r="C35" i="13"/>
  <c r="C34" i="13"/>
  <c r="B34" i="13"/>
  <c r="C33" i="13"/>
  <c r="B33" i="13"/>
  <c r="C32" i="13"/>
  <c r="B32" i="13"/>
  <c r="C31" i="13"/>
  <c r="B31" i="13"/>
  <c r="C30" i="13"/>
  <c r="C29" i="13"/>
  <c r="C28" i="13"/>
  <c r="C23" i="13"/>
  <c r="C17" i="13" s="1"/>
  <c r="C22" i="13"/>
  <c r="C21" i="13"/>
  <c r="C20" i="13"/>
  <c r="C19" i="13"/>
  <c r="C18" i="13"/>
  <c r="C13" i="13"/>
  <c r="B13" i="13"/>
  <c r="C12" i="13"/>
  <c r="B12" i="13"/>
  <c r="C11" i="13"/>
  <c r="B11" i="13"/>
  <c r="C10" i="13"/>
  <c r="B10" i="13"/>
  <c r="C9" i="13"/>
  <c r="B9" i="13"/>
  <c r="C8" i="13"/>
  <c r="B8" i="13"/>
  <c r="B7" i="13"/>
  <c r="C6" i="13"/>
  <c r="B6" i="13"/>
  <c r="B5" i="13"/>
  <c r="C4" i="13"/>
  <c r="B4" i="13"/>
  <c r="B225" i="13" l="1"/>
  <c r="B163" i="13"/>
  <c r="B164" i="13" s="1"/>
  <c r="B165" i="13" s="1"/>
  <c r="B166" i="13" s="1"/>
  <c r="B167" i="13" s="1"/>
  <c r="B168" i="13" s="1"/>
  <c r="B169" i="13" s="1"/>
  <c r="B170" i="13" s="1"/>
  <c r="B171" i="13" s="1"/>
  <c r="B172" i="13" s="1"/>
  <c r="B173" i="13" s="1"/>
  <c r="B174" i="13" s="1"/>
  <c r="B175" i="13" s="1"/>
  <c r="B176" i="13" s="1"/>
  <c r="B177" i="13" s="1"/>
  <c r="B178" i="13" s="1"/>
  <c r="B179" i="13" s="1"/>
  <c r="B180" i="13" s="1"/>
  <c r="B181" i="13" s="1"/>
  <c r="B182" i="13" s="1"/>
  <c r="B183" i="13" s="1"/>
  <c r="B184" i="13" s="1"/>
  <c r="B185" i="13" s="1"/>
  <c r="B186" i="13" s="1"/>
  <c r="B187" i="13" s="1"/>
  <c r="B188" i="13" s="1"/>
  <c r="B189" i="13" s="1"/>
  <c r="B190" i="13" s="1"/>
  <c r="B191" i="13" s="1"/>
  <c r="B192" i="13" s="1"/>
  <c r="B193" i="13" s="1"/>
  <c r="B194" i="13" s="1"/>
  <c r="B195" i="13" s="1"/>
  <c r="B196" i="13" s="1"/>
  <c r="B197" i="13" s="1"/>
  <c r="B198" i="13" s="1"/>
  <c r="B199" i="13" s="1"/>
  <c r="B200" i="13" s="1"/>
  <c r="B201" i="13" s="1"/>
  <c r="B202" i="13" s="1"/>
  <c r="B203" i="13" s="1"/>
  <c r="B204" i="13" s="1"/>
  <c r="B205" i="13" s="1"/>
  <c r="B206" i="13" s="1"/>
  <c r="B207" i="13" s="1"/>
  <c r="B208" i="13" s="1"/>
  <c r="B209" i="13" s="1"/>
  <c r="B210" i="13" s="1"/>
  <c r="B211" i="13" s="1"/>
  <c r="B212" i="13" s="1"/>
  <c r="B213" i="13" s="1"/>
  <c r="B214" i="13" s="1"/>
  <c r="B215" i="13" s="1"/>
  <c r="B216" i="13" s="1"/>
  <c r="B217" i="13" s="1"/>
  <c r="B218" i="13" s="1"/>
  <c r="B219" i="13" s="1"/>
  <c r="B220" i="13" s="1"/>
  <c r="B221" i="13" s="1"/>
  <c r="B222" i="13" s="1"/>
  <c r="B223" i="13" s="1"/>
  <c r="B224" i="13" s="1"/>
  <c r="C225" i="12" l="1"/>
  <c r="C224" i="12"/>
  <c r="C223" i="12"/>
  <c r="C222" i="12"/>
  <c r="C221" i="12"/>
  <c r="C220" i="12"/>
  <c r="C219" i="12"/>
  <c r="C218" i="12"/>
  <c r="C217" i="12"/>
  <c r="C216" i="12"/>
  <c r="C215" i="12"/>
  <c r="C214" i="12"/>
  <c r="C213" i="12"/>
  <c r="C212" i="12"/>
  <c r="C211" i="12"/>
  <c r="C210" i="12"/>
  <c r="C209" i="12"/>
  <c r="C208" i="12"/>
  <c r="C207" i="12"/>
  <c r="C206" i="12"/>
  <c r="C205" i="12"/>
  <c r="C204" i="12"/>
  <c r="C203" i="12"/>
  <c r="C202" i="12"/>
  <c r="C201" i="12"/>
  <c r="C200" i="12"/>
  <c r="C199" i="12"/>
  <c r="C198" i="12"/>
  <c r="C197" i="12"/>
  <c r="C196" i="12"/>
  <c r="C195" i="12"/>
  <c r="C194" i="12"/>
  <c r="C193" i="12"/>
  <c r="C192" i="12"/>
  <c r="C191" i="12"/>
  <c r="C190" i="12"/>
  <c r="C189" i="12"/>
  <c r="C188" i="12"/>
  <c r="C187" i="12"/>
  <c r="C186" i="12"/>
  <c r="C185" i="12"/>
  <c r="C184" i="12"/>
  <c r="C183" i="12"/>
  <c r="C182" i="12"/>
  <c r="C181" i="12"/>
  <c r="C180" i="12"/>
  <c r="C179" i="12"/>
  <c r="C178" i="12"/>
  <c r="C177" i="12"/>
  <c r="C176" i="12"/>
  <c r="C175" i="12"/>
  <c r="C174" i="12"/>
  <c r="C173" i="12"/>
  <c r="C172" i="12"/>
  <c r="C171" i="12"/>
  <c r="C170" i="12"/>
  <c r="C169" i="12"/>
  <c r="C168" i="12"/>
  <c r="C167" i="12"/>
  <c r="C166" i="12"/>
  <c r="C165" i="12"/>
  <c r="C164" i="12"/>
  <c r="C163" i="12"/>
  <c r="C162" i="12"/>
  <c r="C161" i="12"/>
  <c r="C160" i="12"/>
  <c r="C159" i="12"/>
  <c r="C158" i="12"/>
  <c r="C157" i="12"/>
  <c r="C156" i="12"/>
  <c r="C155" i="12"/>
  <c r="C154" i="12"/>
  <c r="C153" i="12"/>
  <c r="C152" i="12"/>
  <c r="C151" i="12"/>
  <c r="C150" i="12"/>
  <c r="C149" i="12"/>
  <c r="C148" i="12"/>
  <c r="C147" i="12"/>
  <c r="C146" i="12"/>
  <c r="B146" i="12"/>
  <c r="B147" i="12" s="1"/>
  <c r="B148" i="12" s="1"/>
  <c r="B149" i="12" s="1"/>
  <c r="B150" i="12" s="1"/>
  <c r="B151" i="12" s="1"/>
  <c r="B152" i="12" s="1"/>
  <c r="B153" i="12" s="1"/>
  <c r="B154" i="12" s="1"/>
  <c r="B155" i="12" s="1"/>
  <c r="B156" i="12" s="1"/>
  <c r="B157" i="12" s="1"/>
  <c r="B158" i="12" s="1"/>
  <c r="B159" i="12" s="1"/>
  <c r="B160" i="12" s="1"/>
  <c r="B161" i="12" s="1"/>
  <c r="B162" i="12" s="1"/>
  <c r="C145" i="12"/>
  <c r="C142" i="12"/>
  <c r="C140" i="12"/>
  <c r="C139" i="12"/>
  <c r="C138" i="12"/>
  <c r="C137" i="12"/>
  <c r="C135" i="12"/>
  <c r="C134" i="12"/>
  <c r="C133" i="12"/>
  <c r="C132" i="12"/>
  <c r="C131" i="12"/>
  <c r="C130" i="12"/>
  <c r="C127" i="12"/>
  <c r="C124" i="12"/>
  <c r="C123" i="12"/>
  <c r="C122" i="12"/>
  <c r="C121" i="12"/>
  <c r="C120" i="12"/>
  <c r="C119" i="12"/>
  <c r="C118" i="12"/>
  <c r="C117" i="12"/>
  <c r="C116" i="12"/>
  <c r="C115" i="12"/>
  <c r="C114" i="12"/>
  <c r="C113" i="12"/>
  <c r="C112" i="12"/>
  <c r="C111" i="12"/>
  <c r="C110" i="12"/>
  <c r="C109" i="12"/>
  <c r="C108" i="12"/>
  <c r="C107" i="12"/>
  <c r="C106" i="12"/>
  <c r="C105" i="12"/>
  <c r="C104" i="12"/>
  <c r="C103" i="12"/>
  <c r="C102" i="12"/>
  <c r="C99" i="12"/>
  <c r="C98" i="12"/>
  <c r="C97" i="12"/>
  <c r="C96" i="12"/>
  <c r="C95" i="12"/>
  <c r="C94" i="12"/>
  <c r="C93" i="12"/>
  <c r="C92" i="12"/>
  <c r="C91" i="12"/>
  <c r="C88" i="12"/>
  <c r="C87" i="12"/>
  <c r="C86" i="12"/>
  <c r="C85" i="12"/>
  <c r="C84" i="12"/>
  <c r="C83" i="12"/>
  <c r="C82" i="12"/>
  <c r="C81" i="12"/>
  <c r="C80" i="12"/>
  <c r="C79" i="12"/>
  <c r="C78" i="12"/>
  <c r="C77" i="12"/>
  <c r="C76" i="12"/>
  <c r="C75" i="12"/>
  <c r="C74" i="12"/>
  <c r="C73" i="12"/>
  <c r="C72" i="12"/>
  <c r="C71" i="12"/>
  <c r="C70" i="12"/>
  <c r="C69" i="12"/>
  <c r="C68" i="12"/>
  <c r="C67" i="12"/>
  <c r="C66" i="12"/>
  <c r="C65" i="12"/>
  <c r="C64" i="12"/>
  <c r="C63" i="12"/>
  <c r="C62" i="12"/>
  <c r="C61" i="12"/>
  <c r="C60" i="12"/>
  <c r="C59" i="12"/>
  <c r="C58" i="12"/>
  <c r="C57" i="12"/>
  <c r="C56" i="12"/>
  <c r="C55" i="12"/>
  <c r="C54" i="12"/>
  <c r="C53" i="12"/>
  <c r="C52" i="12"/>
  <c r="C51" i="12"/>
  <c r="C50" i="12"/>
  <c r="C49" i="12"/>
  <c r="C48" i="12"/>
  <c r="C47" i="12"/>
  <c r="C46" i="12"/>
  <c r="C43" i="12"/>
  <c r="C42" i="12"/>
  <c r="C41" i="12"/>
  <c r="C40" i="12"/>
  <c r="C39" i="12"/>
  <c r="C38" i="12"/>
  <c r="C37" i="12"/>
  <c r="C36" i="12"/>
  <c r="C35" i="12"/>
  <c r="C34" i="12"/>
  <c r="B34" i="12"/>
  <c r="C33" i="12"/>
  <c r="B33" i="12"/>
  <c r="C32" i="12"/>
  <c r="B32" i="12"/>
  <c r="C31" i="12"/>
  <c r="B31" i="12"/>
  <c r="C30" i="12"/>
  <c r="C29" i="12"/>
  <c r="C28" i="12"/>
  <c r="C23" i="12"/>
  <c r="C22" i="12"/>
  <c r="C21" i="12"/>
  <c r="C20" i="12"/>
  <c r="C19" i="12"/>
  <c r="C18" i="12"/>
  <c r="C17" i="12"/>
  <c r="C13" i="12"/>
  <c r="B13" i="12"/>
  <c r="C12" i="12"/>
  <c r="B12" i="12"/>
  <c r="C11" i="12"/>
  <c r="B11" i="12"/>
  <c r="C10" i="12"/>
  <c r="B10" i="12"/>
  <c r="C9" i="12"/>
  <c r="B9" i="12"/>
  <c r="C8" i="12"/>
  <c r="B8" i="12"/>
  <c r="B7" i="12"/>
  <c r="C6" i="12"/>
  <c r="B6" i="12"/>
  <c r="B5" i="12"/>
  <c r="C4" i="12"/>
  <c r="B4" i="12"/>
  <c r="B225" i="12" l="1"/>
  <c r="B163" i="12"/>
  <c r="B164" i="12" s="1"/>
  <c r="B165" i="12" s="1"/>
  <c r="B166" i="12" s="1"/>
  <c r="B167" i="12" s="1"/>
  <c r="B168" i="12" s="1"/>
  <c r="B169" i="12" s="1"/>
  <c r="B170" i="12" s="1"/>
  <c r="B171" i="12" s="1"/>
  <c r="B172" i="12" s="1"/>
  <c r="B173" i="12" s="1"/>
  <c r="B174" i="12" s="1"/>
  <c r="B175" i="12" s="1"/>
  <c r="B176" i="12" s="1"/>
  <c r="B177" i="12" s="1"/>
  <c r="B178" i="12" s="1"/>
  <c r="B179" i="12" s="1"/>
  <c r="B180" i="12" s="1"/>
  <c r="B181" i="12" s="1"/>
  <c r="B182" i="12" s="1"/>
  <c r="B183" i="12" s="1"/>
  <c r="B184" i="12" s="1"/>
  <c r="B185" i="12" s="1"/>
  <c r="B186" i="12" s="1"/>
  <c r="B187" i="12" s="1"/>
  <c r="B188" i="12" s="1"/>
  <c r="B189" i="12" s="1"/>
  <c r="B190" i="12" s="1"/>
  <c r="B191" i="12" s="1"/>
  <c r="B192" i="12" s="1"/>
  <c r="B193" i="12" s="1"/>
  <c r="B194" i="12" s="1"/>
  <c r="B195" i="12" s="1"/>
  <c r="B196" i="12" s="1"/>
  <c r="B197" i="12" s="1"/>
  <c r="B198" i="12" s="1"/>
  <c r="B199" i="12" s="1"/>
  <c r="B200" i="12" s="1"/>
  <c r="B201" i="12" s="1"/>
  <c r="B202" i="12" s="1"/>
  <c r="B203" i="12" s="1"/>
  <c r="B204" i="12" s="1"/>
  <c r="B205" i="12" s="1"/>
  <c r="B206" i="12" s="1"/>
  <c r="B207" i="12" s="1"/>
  <c r="B208" i="12" s="1"/>
  <c r="B209" i="12" s="1"/>
  <c r="B210" i="12" s="1"/>
  <c r="B211" i="12" s="1"/>
  <c r="B212" i="12" s="1"/>
  <c r="B213" i="12" s="1"/>
  <c r="B214" i="12" s="1"/>
  <c r="B215" i="12" s="1"/>
  <c r="B216" i="12" s="1"/>
  <c r="B217" i="12" s="1"/>
  <c r="B218" i="12" s="1"/>
  <c r="B219" i="12" s="1"/>
  <c r="B220" i="12" s="1"/>
  <c r="B221" i="12" s="1"/>
  <c r="B222" i="12" s="1"/>
  <c r="B223" i="12" s="1"/>
  <c r="B224" i="12" s="1"/>
  <c r="C223" i="11" l="1"/>
  <c r="C222" i="11"/>
  <c r="C221" i="11"/>
  <c r="C220" i="11"/>
  <c r="C219" i="11"/>
  <c r="C218" i="11"/>
  <c r="C217" i="11"/>
  <c r="C216" i="11"/>
  <c r="C215" i="11"/>
  <c r="C214" i="11"/>
  <c r="C213" i="11"/>
  <c r="C212" i="11"/>
  <c r="C211" i="11"/>
  <c r="C210" i="11"/>
  <c r="C209" i="11"/>
  <c r="C208" i="11"/>
  <c r="C207" i="11"/>
  <c r="C206" i="11"/>
  <c r="C205" i="11"/>
  <c r="C204" i="11"/>
  <c r="C203" i="11"/>
  <c r="C202" i="11"/>
  <c r="C201" i="11"/>
  <c r="C200" i="11"/>
  <c r="C199" i="11"/>
  <c r="C198" i="11"/>
  <c r="C197" i="11"/>
  <c r="C196" i="11"/>
  <c r="C195" i="11"/>
  <c r="C194" i="11"/>
  <c r="C193" i="11"/>
  <c r="C192" i="11"/>
  <c r="C191" i="11"/>
  <c r="C190" i="11"/>
  <c r="C189" i="11"/>
  <c r="C188" i="11"/>
  <c r="C187" i="11"/>
  <c r="C186" i="11"/>
  <c r="C185" i="11"/>
  <c r="C184" i="11"/>
  <c r="C183" i="11"/>
  <c r="C182" i="11"/>
  <c r="C181" i="11"/>
  <c r="C180" i="11"/>
  <c r="C179" i="11"/>
  <c r="C178" i="11"/>
  <c r="C177" i="11"/>
  <c r="C176" i="11"/>
  <c r="C175" i="11"/>
  <c r="C174" i="11"/>
  <c r="C173" i="11"/>
  <c r="C172" i="11"/>
  <c r="C171" i="11"/>
  <c r="C170" i="11"/>
  <c r="C169" i="11"/>
  <c r="C168" i="11"/>
  <c r="C167" i="11"/>
  <c r="C166" i="11"/>
  <c r="C165" i="11"/>
  <c r="C164" i="11"/>
  <c r="C163" i="11"/>
  <c r="C162" i="11"/>
  <c r="C161" i="11"/>
  <c r="C160" i="11"/>
  <c r="C159" i="11"/>
  <c r="C158" i="11"/>
  <c r="C157" i="11"/>
  <c r="C156" i="11"/>
  <c r="C155" i="11"/>
  <c r="C154" i="11"/>
  <c r="C153" i="11"/>
  <c r="C152" i="11"/>
  <c r="C151" i="11"/>
  <c r="C150" i="11"/>
  <c r="C149" i="11"/>
  <c r="C148" i="11"/>
  <c r="C147" i="11"/>
  <c r="C146" i="11"/>
  <c r="C145" i="11"/>
  <c r="C144" i="11"/>
  <c r="B144" i="11"/>
  <c r="B145" i="11" s="1"/>
  <c r="B146" i="11" s="1"/>
  <c r="B147" i="11" s="1"/>
  <c r="B148" i="11" s="1"/>
  <c r="B149" i="11" s="1"/>
  <c r="B150" i="11" s="1"/>
  <c r="B151" i="11" s="1"/>
  <c r="B152" i="11" s="1"/>
  <c r="B153" i="11" s="1"/>
  <c r="B154" i="11" s="1"/>
  <c r="B155" i="11" s="1"/>
  <c r="B156" i="11" s="1"/>
  <c r="B157" i="11" s="1"/>
  <c r="B158" i="11" s="1"/>
  <c r="B159" i="11" s="1"/>
  <c r="B160" i="11" s="1"/>
  <c r="B161" i="11" s="1"/>
  <c r="B162" i="11" s="1"/>
  <c r="B163" i="11" s="1"/>
  <c r="B164" i="11" s="1"/>
  <c r="B165" i="11" s="1"/>
  <c r="B166" i="11" s="1"/>
  <c r="B167" i="11" s="1"/>
  <c r="B168" i="11" s="1"/>
  <c r="B169" i="11" s="1"/>
  <c r="B170" i="11" s="1"/>
  <c r="B171" i="11" s="1"/>
  <c r="B172" i="11" s="1"/>
  <c r="B173" i="11" s="1"/>
  <c r="B174" i="11" s="1"/>
  <c r="B175" i="11" s="1"/>
  <c r="B176" i="11" s="1"/>
  <c r="B177" i="11" s="1"/>
  <c r="B178" i="11" s="1"/>
  <c r="B179" i="11" s="1"/>
  <c r="B180" i="11" s="1"/>
  <c r="B181" i="11" s="1"/>
  <c r="B182" i="11" s="1"/>
  <c r="B183" i="11" s="1"/>
  <c r="B184" i="11" s="1"/>
  <c r="B185" i="11" s="1"/>
  <c r="B186" i="11" s="1"/>
  <c r="B187" i="11" s="1"/>
  <c r="B188" i="11" s="1"/>
  <c r="B189" i="11" s="1"/>
  <c r="B190" i="11" s="1"/>
  <c r="B191" i="11" s="1"/>
  <c r="B192" i="11" s="1"/>
  <c r="B193" i="11" s="1"/>
  <c r="B194" i="11" s="1"/>
  <c r="B195" i="11" s="1"/>
  <c r="B196" i="11" s="1"/>
  <c r="B197" i="11" s="1"/>
  <c r="B198" i="11" s="1"/>
  <c r="B199" i="11" s="1"/>
  <c r="B200" i="11" s="1"/>
  <c r="B201" i="11" s="1"/>
  <c r="B202" i="11" s="1"/>
  <c r="B203" i="11" s="1"/>
  <c r="B204" i="11" s="1"/>
  <c r="B205" i="11" s="1"/>
  <c r="B206" i="11" s="1"/>
  <c r="B207" i="11" s="1"/>
  <c r="B208" i="11" s="1"/>
  <c r="B209" i="11" s="1"/>
  <c r="B210" i="11" s="1"/>
  <c r="B211" i="11" s="1"/>
  <c r="B212" i="11" s="1"/>
  <c r="B213" i="11" s="1"/>
  <c r="B214" i="11" s="1"/>
  <c r="B215" i="11" s="1"/>
  <c r="B216" i="11" s="1"/>
  <c r="B217" i="11" s="1"/>
  <c r="B218" i="11" s="1"/>
  <c r="B219" i="11" s="1"/>
  <c r="B220" i="11" s="1"/>
  <c r="B221" i="11" s="1"/>
  <c r="B222" i="11" s="1"/>
  <c r="B223" i="11" s="1"/>
  <c r="C143" i="11"/>
  <c r="C140" i="11"/>
  <c r="C138" i="11"/>
  <c r="C137" i="11"/>
  <c r="C136" i="11"/>
  <c r="C135" i="11"/>
  <c r="C125" i="11"/>
  <c r="C122" i="11"/>
  <c r="C121" i="11"/>
  <c r="C120" i="11"/>
  <c r="C119" i="11"/>
  <c r="C118" i="11"/>
  <c r="C117" i="11"/>
  <c r="C116" i="11"/>
  <c r="C115" i="11"/>
  <c r="C114" i="11"/>
  <c r="C113" i="11"/>
  <c r="C112" i="11"/>
  <c r="C111" i="11"/>
  <c r="C110" i="11"/>
  <c r="C109" i="11"/>
  <c r="C108" i="11"/>
  <c r="C107" i="11"/>
  <c r="C106" i="11"/>
  <c r="C105" i="11"/>
  <c r="C104" i="11"/>
  <c r="C103" i="11"/>
  <c r="C102" i="11"/>
  <c r="C101" i="11"/>
  <c r="C100" i="11"/>
  <c r="C99" i="11"/>
  <c r="C98" i="11"/>
  <c r="C97" i="11"/>
  <c r="C96" i="11"/>
  <c r="C93" i="11"/>
  <c r="C92" i="11"/>
  <c r="C91" i="11"/>
  <c r="C90" i="11"/>
  <c r="C89" i="11"/>
  <c r="C88" i="11"/>
  <c r="C87" i="11"/>
  <c r="C86" i="11"/>
  <c r="C85" i="11"/>
  <c r="C82" i="11"/>
  <c r="C81" i="11"/>
  <c r="C80" i="11"/>
  <c r="C79" i="11"/>
  <c r="C78" i="11"/>
  <c r="C77" i="11"/>
  <c r="C76" i="11"/>
  <c r="C75" i="11"/>
  <c r="C74" i="11"/>
  <c r="C73" i="11"/>
  <c r="C72" i="11"/>
  <c r="C71" i="11"/>
  <c r="C70" i="11"/>
  <c r="C69" i="11"/>
  <c r="C68" i="11"/>
  <c r="C67" i="11"/>
  <c r="C66" i="11"/>
  <c r="C65" i="11"/>
  <c r="C64" i="11"/>
  <c r="C63" i="11"/>
  <c r="C62" i="11"/>
  <c r="C61" i="11"/>
  <c r="C60" i="11"/>
  <c r="C59" i="11"/>
  <c r="C58" i="11"/>
  <c r="C57" i="11"/>
  <c r="C56" i="11"/>
  <c r="C55" i="11"/>
  <c r="C54" i="11"/>
  <c r="C53" i="11"/>
  <c r="C52" i="11"/>
  <c r="C51" i="11"/>
  <c r="C50" i="11"/>
  <c r="C49" i="11"/>
  <c r="C48" i="11"/>
  <c r="C47" i="11"/>
  <c r="C46" i="11"/>
  <c r="C45" i="11"/>
  <c r="C44" i="11"/>
  <c r="C43" i="11"/>
  <c r="C42" i="11"/>
  <c r="C41" i="11"/>
  <c r="C38" i="11"/>
  <c r="C37" i="11"/>
  <c r="C36" i="11"/>
  <c r="C35" i="11"/>
  <c r="C34" i="11"/>
  <c r="C33" i="11"/>
  <c r="C32" i="11"/>
  <c r="C31" i="11"/>
  <c r="C30" i="11"/>
  <c r="C29" i="11"/>
  <c r="C28" i="11"/>
  <c r="C23" i="11"/>
  <c r="C22" i="11"/>
  <c r="C21" i="11"/>
  <c r="C20" i="11"/>
  <c r="C19" i="11"/>
  <c r="C17" i="11" s="1"/>
  <c r="C18" i="11"/>
  <c r="C13" i="11"/>
  <c r="B13" i="11"/>
  <c r="C12" i="11"/>
  <c r="B12" i="11"/>
  <c r="C11" i="11"/>
  <c r="B11" i="11"/>
  <c r="C10" i="11"/>
  <c r="B10" i="11"/>
  <c r="C9" i="11"/>
  <c r="B9" i="11"/>
  <c r="C8" i="11"/>
  <c r="B8" i="11"/>
  <c r="B7" i="11"/>
  <c r="C6" i="11"/>
  <c r="B6" i="11"/>
  <c r="B5" i="11"/>
  <c r="C4" i="11"/>
  <c r="B4" i="11"/>
  <c r="C225" i="10" l="1"/>
  <c r="C224" i="10"/>
  <c r="C223" i="10"/>
  <c r="C222" i="10"/>
  <c r="C221" i="10"/>
  <c r="C220" i="10"/>
  <c r="C219" i="10"/>
  <c r="C218" i="10"/>
  <c r="C217" i="10"/>
  <c r="C216" i="10"/>
  <c r="C215" i="10"/>
  <c r="C214" i="10"/>
  <c r="C213" i="10"/>
  <c r="C212" i="10"/>
  <c r="C211" i="10"/>
  <c r="C210" i="10"/>
  <c r="C209" i="10"/>
  <c r="C208" i="10"/>
  <c r="C207" i="10"/>
  <c r="C206" i="10"/>
  <c r="C205" i="10"/>
  <c r="C204" i="10"/>
  <c r="C203" i="10"/>
  <c r="C202" i="10"/>
  <c r="C201" i="10"/>
  <c r="C200" i="10"/>
  <c r="C199" i="10"/>
  <c r="C198" i="10"/>
  <c r="C197" i="10"/>
  <c r="C196" i="10"/>
  <c r="C195" i="10"/>
  <c r="C194" i="10"/>
  <c r="C193" i="10"/>
  <c r="C192" i="10"/>
  <c r="C191" i="10"/>
  <c r="C190" i="10"/>
  <c r="C189" i="10"/>
  <c r="C188" i="10"/>
  <c r="C187" i="10"/>
  <c r="C186" i="10"/>
  <c r="C185" i="10"/>
  <c r="C184" i="10"/>
  <c r="C183" i="10"/>
  <c r="C182" i="10"/>
  <c r="C181" i="10"/>
  <c r="C180" i="10"/>
  <c r="C179" i="10"/>
  <c r="C178" i="10"/>
  <c r="C177" i="10"/>
  <c r="C176" i="10"/>
  <c r="C175" i="10"/>
  <c r="C174" i="10"/>
  <c r="C173" i="10"/>
  <c r="C172" i="10"/>
  <c r="C171" i="10"/>
  <c r="C170" i="10"/>
  <c r="C169" i="10"/>
  <c r="C168" i="10"/>
  <c r="C167" i="10"/>
  <c r="C166" i="10"/>
  <c r="C165" i="10"/>
  <c r="C164" i="10"/>
  <c r="C163" i="10"/>
  <c r="C162" i="10"/>
  <c r="C161" i="10"/>
  <c r="C160" i="10"/>
  <c r="C159" i="10"/>
  <c r="C158" i="10"/>
  <c r="C157" i="10"/>
  <c r="C156" i="10"/>
  <c r="C155" i="10"/>
  <c r="C154" i="10"/>
  <c r="C153" i="10"/>
  <c r="C152" i="10"/>
  <c r="C151" i="10"/>
  <c r="C150" i="10"/>
  <c r="C149" i="10"/>
  <c r="C148" i="10"/>
  <c r="C147" i="10"/>
  <c r="C146" i="10"/>
  <c r="B146" i="10"/>
  <c r="B147" i="10" s="1"/>
  <c r="B148" i="10" s="1"/>
  <c r="B149" i="10" s="1"/>
  <c r="B150" i="10" s="1"/>
  <c r="B151" i="10" s="1"/>
  <c r="B152" i="10" s="1"/>
  <c r="B153" i="10" s="1"/>
  <c r="B154" i="10" s="1"/>
  <c r="B155" i="10" s="1"/>
  <c r="B156" i="10" s="1"/>
  <c r="B157" i="10" s="1"/>
  <c r="B158" i="10" s="1"/>
  <c r="B159" i="10" s="1"/>
  <c r="B160" i="10" s="1"/>
  <c r="B161" i="10" s="1"/>
  <c r="B162" i="10" s="1"/>
  <c r="C145" i="10"/>
  <c r="C142" i="10"/>
  <c r="C140" i="10"/>
  <c r="C139" i="10"/>
  <c r="C138" i="10"/>
  <c r="C137" i="10"/>
  <c r="C135" i="10"/>
  <c r="C134" i="10"/>
  <c r="C133" i="10"/>
  <c r="C132" i="10"/>
  <c r="C131" i="10"/>
  <c r="C130" i="10"/>
  <c r="C127" i="10"/>
  <c r="C124" i="10"/>
  <c r="C123" i="10"/>
  <c r="C122" i="10"/>
  <c r="C121" i="10"/>
  <c r="C120" i="10"/>
  <c r="C119" i="10"/>
  <c r="C118" i="10"/>
  <c r="C117" i="10"/>
  <c r="C116" i="10"/>
  <c r="C115" i="10"/>
  <c r="C114" i="10"/>
  <c r="C113" i="10"/>
  <c r="C112" i="10"/>
  <c r="C111" i="10"/>
  <c r="C110" i="10"/>
  <c r="C109" i="10"/>
  <c r="C108" i="10"/>
  <c r="C107" i="10"/>
  <c r="C106" i="10"/>
  <c r="C105" i="10"/>
  <c r="C104" i="10"/>
  <c r="C103" i="10"/>
  <c r="C102" i="10"/>
  <c r="C99" i="10"/>
  <c r="C98" i="10"/>
  <c r="C97" i="10"/>
  <c r="C96" i="10"/>
  <c r="C95" i="10"/>
  <c r="C94" i="10"/>
  <c r="C93" i="10"/>
  <c r="C92" i="10"/>
  <c r="C91" i="10"/>
  <c r="C88" i="10"/>
  <c r="C87" i="10"/>
  <c r="C86" i="10"/>
  <c r="C85" i="10"/>
  <c r="C84" i="10"/>
  <c r="C83" i="10"/>
  <c r="C82" i="10"/>
  <c r="C81" i="10"/>
  <c r="C80" i="10"/>
  <c r="C79" i="10"/>
  <c r="C78" i="10"/>
  <c r="C77" i="10"/>
  <c r="C76" i="10"/>
  <c r="C75" i="10"/>
  <c r="C74" i="10"/>
  <c r="C73" i="10"/>
  <c r="C72" i="10"/>
  <c r="C71" i="10"/>
  <c r="C70" i="10"/>
  <c r="C69" i="10"/>
  <c r="C68" i="10"/>
  <c r="C67" i="10"/>
  <c r="C66" i="10"/>
  <c r="C65" i="10"/>
  <c r="C64" i="10"/>
  <c r="C63" i="10"/>
  <c r="C62" i="10"/>
  <c r="C61" i="10"/>
  <c r="C60" i="10"/>
  <c r="C59" i="10"/>
  <c r="C58" i="10"/>
  <c r="C57" i="10"/>
  <c r="C56" i="10"/>
  <c r="C55" i="10"/>
  <c r="C54" i="10"/>
  <c r="C53" i="10"/>
  <c r="C52" i="10"/>
  <c r="C51" i="10"/>
  <c r="C50" i="10"/>
  <c r="C49" i="10"/>
  <c r="C48" i="10"/>
  <c r="C47" i="10"/>
  <c r="C46" i="10"/>
  <c r="C43" i="10"/>
  <c r="C42" i="10"/>
  <c r="C41" i="10"/>
  <c r="C40" i="10"/>
  <c r="C39" i="10"/>
  <c r="C38" i="10"/>
  <c r="C37" i="10"/>
  <c r="C36" i="10"/>
  <c r="C35" i="10"/>
  <c r="C34" i="10"/>
  <c r="B34" i="10"/>
  <c r="C33" i="10"/>
  <c r="B33" i="10"/>
  <c r="C32" i="10"/>
  <c r="B32" i="10"/>
  <c r="C31" i="10"/>
  <c r="B31" i="10"/>
  <c r="C30" i="10"/>
  <c r="C29" i="10"/>
  <c r="C28" i="10"/>
  <c r="C23" i="10"/>
  <c r="C17" i="10" s="1"/>
  <c r="C22" i="10"/>
  <c r="C21" i="10"/>
  <c r="C20" i="10"/>
  <c r="C19" i="10"/>
  <c r="C18" i="10"/>
  <c r="C13" i="10"/>
  <c r="B13" i="10"/>
  <c r="C12" i="10"/>
  <c r="B12" i="10"/>
  <c r="C11" i="10"/>
  <c r="B11" i="10"/>
  <c r="C10" i="10"/>
  <c r="B10" i="10"/>
  <c r="C9" i="10"/>
  <c r="B9" i="10"/>
  <c r="C8" i="10"/>
  <c r="B8" i="10"/>
  <c r="B7" i="10"/>
  <c r="C6" i="10"/>
  <c r="B6" i="10"/>
  <c r="B5" i="10"/>
  <c r="C4" i="10"/>
  <c r="B4" i="10"/>
  <c r="B225" i="10" l="1"/>
  <c r="B163" i="10"/>
  <c r="B164" i="10" s="1"/>
  <c r="B165" i="10" s="1"/>
  <c r="B166" i="10" s="1"/>
  <c r="B167" i="10" s="1"/>
  <c r="B168" i="10" s="1"/>
  <c r="B169" i="10" s="1"/>
  <c r="B170" i="10" s="1"/>
  <c r="B171" i="10" s="1"/>
  <c r="B172" i="10" s="1"/>
  <c r="B173" i="10" s="1"/>
  <c r="B174" i="10" s="1"/>
  <c r="B175" i="10" s="1"/>
  <c r="B176" i="10" s="1"/>
  <c r="B177" i="10" s="1"/>
  <c r="B178" i="10" s="1"/>
  <c r="B179" i="10" s="1"/>
  <c r="B180" i="10" s="1"/>
  <c r="B181" i="10" s="1"/>
  <c r="B182" i="10" s="1"/>
  <c r="B183" i="10" s="1"/>
  <c r="B184" i="10" s="1"/>
  <c r="B185" i="10" s="1"/>
  <c r="B186" i="10" s="1"/>
  <c r="B187" i="10" s="1"/>
  <c r="B188" i="10" s="1"/>
  <c r="B189" i="10" s="1"/>
  <c r="B190" i="10" s="1"/>
  <c r="B191" i="10" s="1"/>
  <c r="B192" i="10" s="1"/>
  <c r="B193" i="10" s="1"/>
  <c r="B194" i="10" s="1"/>
  <c r="B195" i="10" s="1"/>
  <c r="B196" i="10" s="1"/>
  <c r="B197" i="10" s="1"/>
  <c r="B198" i="10" s="1"/>
  <c r="B199" i="10" s="1"/>
  <c r="B200" i="10" s="1"/>
  <c r="B201" i="10" s="1"/>
  <c r="B202" i="10" s="1"/>
  <c r="B203" i="10" s="1"/>
  <c r="B204" i="10" s="1"/>
  <c r="B205" i="10" s="1"/>
  <c r="B206" i="10" s="1"/>
  <c r="B207" i="10" s="1"/>
  <c r="B208" i="10" s="1"/>
  <c r="B209" i="10" s="1"/>
  <c r="B210" i="10" s="1"/>
  <c r="B211" i="10" s="1"/>
  <c r="B212" i="10" s="1"/>
  <c r="B213" i="10" s="1"/>
  <c r="B214" i="10" s="1"/>
  <c r="B215" i="10" s="1"/>
  <c r="B216" i="10" s="1"/>
  <c r="B217" i="10" s="1"/>
  <c r="B218" i="10" s="1"/>
  <c r="B219" i="10" s="1"/>
  <c r="B220" i="10" s="1"/>
  <c r="B221" i="10" s="1"/>
  <c r="B222" i="10" s="1"/>
  <c r="B223" i="10" s="1"/>
  <c r="B224" i="10" s="1"/>
  <c r="C225" i="9" l="1"/>
  <c r="C224" i="9"/>
  <c r="C223" i="9"/>
  <c r="C222" i="9"/>
  <c r="C221" i="9"/>
  <c r="C220" i="9"/>
  <c r="C219" i="9"/>
  <c r="C218" i="9"/>
  <c r="C217" i="9"/>
  <c r="C216" i="9"/>
  <c r="C215" i="9"/>
  <c r="C214" i="9"/>
  <c r="C213" i="9"/>
  <c r="C212" i="9"/>
  <c r="C211" i="9"/>
  <c r="C210" i="9"/>
  <c r="C209" i="9"/>
  <c r="C208" i="9"/>
  <c r="C207" i="9"/>
  <c r="C206" i="9"/>
  <c r="C205" i="9"/>
  <c r="C204" i="9"/>
  <c r="C203" i="9"/>
  <c r="C202" i="9"/>
  <c r="C201" i="9"/>
  <c r="C200" i="9"/>
  <c r="C199" i="9"/>
  <c r="C198" i="9"/>
  <c r="C197" i="9"/>
  <c r="C196" i="9"/>
  <c r="C195" i="9"/>
  <c r="C194" i="9"/>
  <c r="C193" i="9"/>
  <c r="C192" i="9"/>
  <c r="C191" i="9"/>
  <c r="C190" i="9"/>
  <c r="C189" i="9"/>
  <c r="C188" i="9"/>
  <c r="C187" i="9"/>
  <c r="C186" i="9"/>
  <c r="C185" i="9"/>
  <c r="C184" i="9"/>
  <c r="C183" i="9"/>
  <c r="C182" i="9"/>
  <c r="C181" i="9"/>
  <c r="C180" i="9"/>
  <c r="C179" i="9"/>
  <c r="C178" i="9"/>
  <c r="C177" i="9"/>
  <c r="C176" i="9"/>
  <c r="C175" i="9"/>
  <c r="C174" i="9"/>
  <c r="C173" i="9"/>
  <c r="C172" i="9"/>
  <c r="C171" i="9"/>
  <c r="C170" i="9"/>
  <c r="C169" i="9"/>
  <c r="C168" i="9"/>
  <c r="C167" i="9"/>
  <c r="C166" i="9"/>
  <c r="C165" i="9"/>
  <c r="C164" i="9"/>
  <c r="C163" i="9"/>
  <c r="C162" i="9"/>
  <c r="C161" i="9"/>
  <c r="C160" i="9"/>
  <c r="C159" i="9"/>
  <c r="C158" i="9"/>
  <c r="C157" i="9"/>
  <c r="C156" i="9"/>
  <c r="C155" i="9"/>
  <c r="C154" i="9"/>
  <c r="C153" i="9"/>
  <c r="C152" i="9"/>
  <c r="C151" i="9"/>
  <c r="C150" i="9"/>
  <c r="C149" i="9"/>
  <c r="C148" i="9"/>
  <c r="C147" i="9"/>
  <c r="C146" i="9"/>
  <c r="B146" i="9"/>
  <c r="B147" i="9" s="1"/>
  <c r="B148" i="9" s="1"/>
  <c r="B149" i="9" s="1"/>
  <c r="B150" i="9" s="1"/>
  <c r="B151" i="9" s="1"/>
  <c r="B152" i="9" s="1"/>
  <c r="B153" i="9" s="1"/>
  <c r="B154" i="9" s="1"/>
  <c r="B155" i="9" s="1"/>
  <c r="B156" i="9" s="1"/>
  <c r="B157" i="9" s="1"/>
  <c r="B158" i="9" s="1"/>
  <c r="B159" i="9" s="1"/>
  <c r="B160" i="9" s="1"/>
  <c r="B161" i="9" s="1"/>
  <c r="B162" i="9" s="1"/>
  <c r="C145" i="9"/>
  <c r="C142" i="9"/>
  <c r="C140" i="9"/>
  <c r="C139" i="9"/>
  <c r="C138" i="9"/>
  <c r="C137" i="9"/>
  <c r="C135" i="9"/>
  <c r="C134" i="9"/>
  <c r="C133" i="9"/>
  <c r="C132" i="9"/>
  <c r="C131" i="9"/>
  <c r="C130" i="9"/>
  <c r="C127" i="9"/>
  <c r="C124" i="9"/>
  <c r="C123" i="9"/>
  <c r="C122" i="9"/>
  <c r="C121" i="9"/>
  <c r="C120" i="9"/>
  <c r="C119" i="9"/>
  <c r="C118" i="9"/>
  <c r="C117" i="9"/>
  <c r="C116" i="9"/>
  <c r="C115" i="9"/>
  <c r="C114" i="9"/>
  <c r="C113" i="9"/>
  <c r="C112" i="9"/>
  <c r="C111" i="9"/>
  <c r="C110" i="9"/>
  <c r="C109" i="9"/>
  <c r="C108" i="9"/>
  <c r="C107" i="9"/>
  <c r="C106" i="9"/>
  <c r="C105" i="9"/>
  <c r="C104" i="9"/>
  <c r="C103" i="9"/>
  <c r="C102" i="9"/>
  <c r="C99" i="9"/>
  <c r="C98" i="9"/>
  <c r="C97" i="9"/>
  <c r="C96" i="9"/>
  <c r="C95" i="9"/>
  <c r="C94" i="9"/>
  <c r="C93" i="9"/>
  <c r="C92" i="9"/>
  <c r="C91" i="9"/>
  <c r="C88" i="9"/>
  <c r="C87" i="9"/>
  <c r="C86" i="9"/>
  <c r="C85" i="9"/>
  <c r="C84" i="9"/>
  <c r="C83" i="9"/>
  <c r="C82" i="9"/>
  <c r="C81" i="9"/>
  <c r="C80" i="9"/>
  <c r="C79" i="9"/>
  <c r="C78" i="9"/>
  <c r="C77" i="9"/>
  <c r="C76" i="9"/>
  <c r="C75" i="9"/>
  <c r="C74" i="9"/>
  <c r="C73" i="9"/>
  <c r="C72" i="9"/>
  <c r="C71" i="9"/>
  <c r="C70" i="9"/>
  <c r="C69" i="9"/>
  <c r="C68" i="9"/>
  <c r="C67" i="9"/>
  <c r="C66" i="9"/>
  <c r="C65" i="9"/>
  <c r="C64" i="9"/>
  <c r="C63" i="9"/>
  <c r="C62" i="9"/>
  <c r="C61" i="9"/>
  <c r="C60" i="9"/>
  <c r="C59" i="9"/>
  <c r="C58" i="9"/>
  <c r="C57" i="9"/>
  <c r="C56" i="9"/>
  <c r="C55" i="9"/>
  <c r="C54" i="9"/>
  <c r="C53" i="9"/>
  <c r="C52" i="9"/>
  <c r="C51" i="9"/>
  <c r="C50" i="9"/>
  <c r="C49" i="9"/>
  <c r="C48" i="9"/>
  <c r="C47" i="9"/>
  <c r="C46" i="9"/>
  <c r="C43" i="9"/>
  <c r="C42" i="9"/>
  <c r="C41" i="9"/>
  <c r="C40" i="9"/>
  <c r="C39" i="9"/>
  <c r="C38" i="9"/>
  <c r="C37" i="9"/>
  <c r="C36" i="9"/>
  <c r="C35" i="9"/>
  <c r="C34" i="9"/>
  <c r="B34" i="9"/>
  <c r="C33" i="9"/>
  <c r="B33" i="9"/>
  <c r="C32" i="9"/>
  <c r="B32" i="9"/>
  <c r="C31" i="9"/>
  <c r="B31" i="9"/>
  <c r="C30" i="9"/>
  <c r="C29" i="9"/>
  <c r="C28" i="9"/>
  <c r="C23" i="9"/>
  <c r="C22" i="9"/>
  <c r="C21" i="9"/>
  <c r="C17" i="9" s="1"/>
  <c r="C20" i="9"/>
  <c r="C19" i="9"/>
  <c r="C18" i="9"/>
  <c r="C13" i="9"/>
  <c r="B13" i="9"/>
  <c r="C12" i="9"/>
  <c r="B12" i="9"/>
  <c r="C11" i="9"/>
  <c r="B11" i="9"/>
  <c r="C10" i="9"/>
  <c r="B10" i="9"/>
  <c r="C9" i="9"/>
  <c r="B9" i="9"/>
  <c r="C8" i="9"/>
  <c r="B8" i="9"/>
  <c r="B7" i="9"/>
  <c r="C6" i="9"/>
  <c r="B6" i="9"/>
  <c r="B5" i="9"/>
  <c r="C4" i="9"/>
  <c r="B4" i="9"/>
  <c r="B225" i="9" l="1"/>
  <c r="B163" i="9"/>
  <c r="B164" i="9" s="1"/>
  <c r="B165" i="9" s="1"/>
  <c r="B166" i="9" s="1"/>
  <c r="B167" i="9" s="1"/>
  <c r="B168" i="9" s="1"/>
  <c r="B169" i="9" s="1"/>
  <c r="B170" i="9" s="1"/>
  <c r="B171" i="9" s="1"/>
  <c r="B172" i="9" s="1"/>
  <c r="B173" i="9" s="1"/>
  <c r="B174" i="9" s="1"/>
  <c r="B175" i="9" s="1"/>
  <c r="B176" i="9" s="1"/>
  <c r="B177" i="9" s="1"/>
  <c r="B178" i="9" s="1"/>
  <c r="B179" i="9" s="1"/>
  <c r="B180" i="9" s="1"/>
  <c r="B181" i="9" s="1"/>
  <c r="B182" i="9" s="1"/>
  <c r="B183" i="9" s="1"/>
  <c r="B184" i="9" s="1"/>
  <c r="B185" i="9" s="1"/>
  <c r="B186" i="9" s="1"/>
  <c r="B187" i="9" s="1"/>
  <c r="B188" i="9" s="1"/>
  <c r="B189" i="9" s="1"/>
  <c r="B190" i="9" s="1"/>
  <c r="B191" i="9" s="1"/>
  <c r="B192" i="9" s="1"/>
  <c r="B193" i="9" s="1"/>
  <c r="B194" i="9" s="1"/>
  <c r="B195" i="9" s="1"/>
  <c r="B196" i="9" s="1"/>
  <c r="B197" i="9" s="1"/>
  <c r="B198" i="9" s="1"/>
  <c r="B199" i="9" s="1"/>
  <c r="B200" i="9" s="1"/>
  <c r="B201" i="9" s="1"/>
  <c r="B202" i="9" s="1"/>
  <c r="B203" i="9" s="1"/>
  <c r="B204" i="9" s="1"/>
  <c r="B205" i="9" s="1"/>
  <c r="B206" i="9" s="1"/>
  <c r="B207" i="9" s="1"/>
  <c r="B208" i="9" s="1"/>
  <c r="B209" i="9" s="1"/>
  <c r="B210" i="9" s="1"/>
  <c r="B211" i="9" s="1"/>
  <c r="B212" i="9" s="1"/>
  <c r="B213" i="9" s="1"/>
  <c r="B214" i="9" s="1"/>
  <c r="B215" i="9" s="1"/>
  <c r="B216" i="9" s="1"/>
  <c r="B217" i="9" s="1"/>
  <c r="B218" i="9" s="1"/>
  <c r="B219" i="9" s="1"/>
  <c r="B220" i="9" s="1"/>
  <c r="B221" i="9" s="1"/>
  <c r="B222" i="9" s="1"/>
  <c r="B223" i="9" s="1"/>
  <c r="B224" i="9" s="1"/>
  <c r="C223" i="7" l="1"/>
  <c r="C222" i="7"/>
  <c r="C221" i="7"/>
  <c r="C220" i="7"/>
  <c r="C219" i="7"/>
  <c r="C218" i="7"/>
  <c r="C217" i="7"/>
  <c r="C216" i="7"/>
  <c r="C215" i="7"/>
  <c r="C214" i="7"/>
  <c r="C213" i="7"/>
  <c r="C212" i="7"/>
  <c r="C211" i="7"/>
  <c r="C210" i="7"/>
  <c r="C209" i="7"/>
  <c r="C208" i="7"/>
  <c r="C207" i="7"/>
  <c r="C206" i="7"/>
  <c r="C205" i="7"/>
  <c r="C204" i="7"/>
  <c r="C203" i="7"/>
  <c r="C202" i="7"/>
  <c r="C201" i="7"/>
  <c r="C200" i="7"/>
  <c r="C199" i="7"/>
  <c r="C198" i="7"/>
  <c r="C197" i="7"/>
  <c r="C196" i="7"/>
  <c r="C195" i="7"/>
  <c r="C194" i="7"/>
  <c r="C193" i="7"/>
  <c r="C192" i="7"/>
  <c r="C191" i="7"/>
  <c r="C190" i="7"/>
  <c r="C189" i="7"/>
  <c r="C188" i="7"/>
  <c r="C187" i="7"/>
  <c r="C186" i="7"/>
  <c r="C185" i="7"/>
  <c r="C184" i="7"/>
  <c r="C183" i="7"/>
  <c r="C182" i="7"/>
  <c r="C181" i="7"/>
  <c r="C180" i="7"/>
  <c r="C179" i="7"/>
  <c r="C178" i="7"/>
  <c r="C177" i="7"/>
  <c r="C176" i="7"/>
  <c r="C175" i="7"/>
  <c r="C174" i="7"/>
  <c r="C173" i="7"/>
  <c r="C172" i="7"/>
  <c r="C171" i="7"/>
  <c r="C170" i="7"/>
  <c r="C169" i="7"/>
  <c r="C168" i="7"/>
  <c r="C167" i="7"/>
  <c r="C166" i="7"/>
  <c r="C165" i="7"/>
  <c r="C164" i="7"/>
  <c r="C163" i="7"/>
  <c r="C162" i="7"/>
  <c r="C161" i="7"/>
  <c r="C160" i="7"/>
  <c r="C159" i="7"/>
  <c r="C158" i="7"/>
  <c r="C157" i="7"/>
  <c r="C156" i="7"/>
  <c r="C155" i="7"/>
  <c r="C154" i="7"/>
  <c r="C153" i="7"/>
  <c r="C152" i="7"/>
  <c r="C151" i="7"/>
  <c r="C150" i="7"/>
  <c r="C149" i="7"/>
  <c r="C148" i="7"/>
  <c r="C147" i="7"/>
  <c r="C146" i="7"/>
  <c r="C145" i="7"/>
  <c r="C144" i="7"/>
  <c r="B144" i="7"/>
  <c r="B145" i="7" s="1"/>
  <c r="B146" i="7" s="1"/>
  <c r="B147" i="7" s="1"/>
  <c r="B148" i="7" s="1"/>
  <c r="B149" i="7" s="1"/>
  <c r="B150" i="7" s="1"/>
  <c r="B151" i="7" s="1"/>
  <c r="B152" i="7" s="1"/>
  <c r="B153" i="7" s="1"/>
  <c r="B154" i="7" s="1"/>
  <c r="B155" i="7" s="1"/>
  <c r="B156" i="7" s="1"/>
  <c r="B157" i="7" s="1"/>
  <c r="B158" i="7" s="1"/>
  <c r="B159" i="7" s="1"/>
  <c r="B160" i="7" s="1"/>
  <c r="B161" i="7" s="1"/>
  <c r="B162" i="7" s="1"/>
  <c r="B163" i="7" s="1"/>
  <c r="B164" i="7" s="1"/>
  <c r="B165" i="7" s="1"/>
  <c r="B166" i="7" s="1"/>
  <c r="B167" i="7" s="1"/>
  <c r="B168" i="7" s="1"/>
  <c r="B169" i="7" s="1"/>
  <c r="B170" i="7" s="1"/>
  <c r="B171" i="7" s="1"/>
  <c r="B172" i="7" s="1"/>
  <c r="B173" i="7" s="1"/>
  <c r="B174" i="7" s="1"/>
  <c r="B175" i="7" s="1"/>
  <c r="B176" i="7" s="1"/>
  <c r="B177" i="7" s="1"/>
  <c r="B178" i="7" s="1"/>
  <c r="B179" i="7" s="1"/>
  <c r="B180" i="7" s="1"/>
  <c r="B181" i="7" s="1"/>
  <c r="B182" i="7" s="1"/>
  <c r="B183" i="7" s="1"/>
  <c r="B184" i="7" s="1"/>
  <c r="B185" i="7" s="1"/>
  <c r="B186" i="7" s="1"/>
  <c r="B187" i="7" s="1"/>
  <c r="B188" i="7" s="1"/>
  <c r="B189" i="7" s="1"/>
  <c r="B190" i="7" s="1"/>
  <c r="B191" i="7" s="1"/>
  <c r="B192" i="7" s="1"/>
  <c r="B193" i="7" s="1"/>
  <c r="B194" i="7" s="1"/>
  <c r="B195" i="7" s="1"/>
  <c r="B196" i="7" s="1"/>
  <c r="B197" i="7" s="1"/>
  <c r="B198" i="7" s="1"/>
  <c r="B199" i="7" s="1"/>
  <c r="B200" i="7" s="1"/>
  <c r="B201" i="7" s="1"/>
  <c r="B202" i="7" s="1"/>
  <c r="B203" i="7" s="1"/>
  <c r="B204" i="7" s="1"/>
  <c r="B205" i="7" s="1"/>
  <c r="B206" i="7" s="1"/>
  <c r="B207" i="7" s="1"/>
  <c r="B208" i="7" s="1"/>
  <c r="B209" i="7" s="1"/>
  <c r="B210" i="7" s="1"/>
  <c r="B211" i="7" s="1"/>
  <c r="B212" i="7" s="1"/>
  <c r="B213" i="7" s="1"/>
  <c r="B214" i="7" s="1"/>
  <c r="B215" i="7" s="1"/>
  <c r="B216" i="7" s="1"/>
  <c r="B217" i="7" s="1"/>
  <c r="B218" i="7" s="1"/>
  <c r="B219" i="7" s="1"/>
  <c r="B220" i="7" s="1"/>
  <c r="B221" i="7" s="1"/>
  <c r="B222" i="7" s="1"/>
  <c r="B223" i="7" s="1"/>
  <c r="C143" i="7"/>
  <c r="C140" i="7"/>
  <c r="C138" i="7"/>
  <c r="C137" i="7"/>
  <c r="C136" i="7"/>
  <c r="C135" i="7"/>
  <c r="C125" i="7"/>
  <c r="C122" i="7"/>
  <c r="C121" i="7"/>
  <c r="C120" i="7"/>
  <c r="C119" i="7"/>
  <c r="C118" i="7"/>
  <c r="C117" i="7"/>
  <c r="C116" i="7"/>
  <c r="C115" i="7"/>
  <c r="C114" i="7"/>
  <c r="C113" i="7"/>
  <c r="C112" i="7"/>
  <c r="C111" i="7"/>
  <c r="C110" i="7"/>
  <c r="C109" i="7"/>
  <c r="C108" i="7"/>
  <c r="C107" i="7"/>
  <c r="C106" i="7"/>
  <c r="C105" i="7"/>
  <c r="C104" i="7"/>
  <c r="C103" i="7"/>
  <c r="C102" i="7"/>
  <c r="C101" i="7"/>
  <c r="C100" i="7"/>
  <c r="C99" i="7"/>
  <c r="C98" i="7"/>
  <c r="C97" i="7"/>
  <c r="C96" i="7"/>
  <c r="C93" i="7"/>
  <c r="C92" i="7"/>
  <c r="C91" i="7"/>
  <c r="C90" i="7"/>
  <c r="C89" i="7"/>
  <c r="C88" i="7"/>
  <c r="C87" i="7"/>
  <c r="C86" i="7"/>
  <c r="C85" i="7"/>
  <c r="C82" i="7"/>
  <c r="C81" i="7"/>
  <c r="C80" i="7"/>
  <c r="C79" i="7"/>
  <c r="C78" i="7"/>
  <c r="C77" i="7"/>
  <c r="C76" i="7"/>
  <c r="C75" i="7"/>
  <c r="C74" i="7"/>
  <c r="C73" i="7"/>
  <c r="C72" i="7"/>
  <c r="C71" i="7"/>
  <c r="C70" i="7"/>
  <c r="C69" i="7"/>
  <c r="C68" i="7"/>
  <c r="C67" i="7"/>
  <c r="C66" i="7"/>
  <c r="C65" i="7"/>
  <c r="C64" i="7"/>
  <c r="C63" i="7"/>
  <c r="C62" i="7"/>
  <c r="C61" i="7"/>
  <c r="C60" i="7"/>
  <c r="C59" i="7"/>
  <c r="C58" i="7"/>
  <c r="C57" i="7"/>
  <c r="C56" i="7"/>
  <c r="C55" i="7"/>
  <c r="C54" i="7"/>
  <c r="C53" i="7"/>
  <c r="C52" i="7"/>
  <c r="C51" i="7"/>
  <c r="C50" i="7"/>
  <c r="C49" i="7"/>
  <c r="C48" i="7"/>
  <c r="C47" i="7"/>
  <c r="C46" i="7"/>
  <c r="C45" i="7"/>
  <c r="C44" i="7"/>
  <c r="C43" i="7"/>
  <c r="C42" i="7"/>
  <c r="C41" i="7"/>
  <c r="C38" i="7"/>
  <c r="C37" i="7"/>
  <c r="C36" i="7"/>
  <c r="C35" i="7"/>
  <c r="C34" i="7"/>
  <c r="C33" i="7"/>
  <c r="C32" i="7"/>
  <c r="C31" i="7"/>
  <c r="C30" i="7"/>
  <c r="C29" i="7"/>
  <c r="C28" i="7"/>
  <c r="C23" i="7"/>
  <c r="C21" i="7"/>
  <c r="C20" i="7"/>
  <c r="C19" i="7"/>
  <c r="C18" i="7"/>
  <c r="C13" i="7"/>
  <c r="B13" i="7"/>
  <c r="C12" i="7"/>
  <c r="B12" i="7"/>
  <c r="C11" i="7"/>
  <c r="B11" i="7"/>
  <c r="C10" i="7"/>
  <c r="B10" i="7"/>
  <c r="C9" i="7"/>
  <c r="B9" i="7"/>
  <c r="C8" i="7"/>
  <c r="B8" i="7"/>
  <c r="B7" i="7"/>
  <c r="C6" i="7"/>
  <c r="B6" i="7"/>
  <c r="B5" i="7"/>
  <c r="C4" i="7"/>
  <c r="B4" i="7"/>
  <c r="C17" i="7" l="1"/>
  <c r="C225" i="6"/>
  <c r="C224" i="6"/>
  <c r="C223" i="6"/>
  <c r="C222" i="6"/>
  <c r="C221" i="6"/>
  <c r="C220" i="6"/>
  <c r="C219" i="6"/>
  <c r="C218" i="6"/>
  <c r="C217" i="6"/>
  <c r="C216" i="6"/>
  <c r="C215" i="6"/>
  <c r="C214" i="6"/>
  <c r="C213" i="6"/>
  <c r="C212" i="6"/>
  <c r="C211" i="6"/>
  <c r="C210" i="6"/>
  <c r="C209" i="6"/>
  <c r="C208" i="6"/>
  <c r="C207" i="6"/>
  <c r="C206" i="6"/>
  <c r="C205" i="6"/>
  <c r="C204" i="6"/>
  <c r="C203" i="6"/>
  <c r="C202" i="6"/>
  <c r="C201" i="6"/>
  <c r="C200" i="6"/>
  <c r="C199" i="6"/>
  <c r="C198" i="6"/>
  <c r="C197" i="6"/>
  <c r="C196" i="6"/>
  <c r="C195" i="6"/>
  <c r="C194" i="6"/>
  <c r="C193" i="6"/>
  <c r="C192" i="6"/>
  <c r="C191" i="6"/>
  <c r="C190" i="6"/>
  <c r="C189" i="6"/>
  <c r="C188" i="6"/>
  <c r="C187" i="6"/>
  <c r="C186" i="6"/>
  <c r="C185" i="6"/>
  <c r="C184" i="6"/>
  <c r="C183" i="6"/>
  <c r="C182" i="6"/>
  <c r="C181" i="6"/>
  <c r="C180" i="6"/>
  <c r="C179" i="6"/>
  <c r="C178" i="6"/>
  <c r="C177" i="6"/>
  <c r="C176" i="6"/>
  <c r="C175" i="6"/>
  <c r="C174" i="6"/>
  <c r="C173" i="6"/>
  <c r="C172" i="6"/>
  <c r="C171" i="6"/>
  <c r="C170" i="6"/>
  <c r="C169" i="6"/>
  <c r="C168" i="6"/>
  <c r="C167" i="6"/>
  <c r="C166" i="6"/>
  <c r="C165" i="6"/>
  <c r="C164" i="6"/>
  <c r="C163" i="6"/>
  <c r="C162" i="6"/>
  <c r="C161" i="6"/>
  <c r="C160" i="6"/>
  <c r="C159" i="6"/>
  <c r="C158" i="6"/>
  <c r="C157" i="6"/>
  <c r="C156" i="6"/>
  <c r="C155" i="6"/>
  <c r="C154" i="6"/>
  <c r="C153" i="6"/>
  <c r="C152" i="6"/>
  <c r="C151" i="6"/>
  <c r="C150" i="6"/>
  <c r="C149" i="6"/>
  <c r="C148" i="6"/>
  <c r="C147" i="6"/>
  <c r="C146" i="6"/>
  <c r="B146" i="6"/>
  <c r="B147" i="6" s="1"/>
  <c r="B148" i="6" s="1"/>
  <c r="B149" i="6" s="1"/>
  <c r="B150" i="6" s="1"/>
  <c r="B151" i="6" s="1"/>
  <c r="B152" i="6" s="1"/>
  <c r="B153" i="6" s="1"/>
  <c r="B154" i="6" s="1"/>
  <c r="B155" i="6" s="1"/>
  <c r="B156" i="6" s="1"/>
  <c r="B157" i="6" s="1"/>
  <c r="B158" i="6" s="1"/>
  <c r="B159" i="6" s="1"/>
  <c r="B160" i="6" s="1"/>
  <c r="B161" i="6" s="1"/>
  <c r="B162" i="6" s="1"/>
  <c r="C145" i="6"/>
  <c r="C142" i="6"/>
  <c r="C140" i="6"/>
  <c r="C139" i="6"/>
  <c r="C138" i="6"/>
  <c r="C137" i="6"/>
  <c r="C135" i="6"/>
  <c r="C134" i="6"/>
  <c r="C133" i="6"/>
  <c r="C132" i="6"/>
  <c r="C131" i="6"/>
  <c r="C130" i="6"/>
  <c r="C127" i="6"/>
  <c r="C124" i="6"/>
  <c r="C123" i="6"/>
  <c r="C122" i="6"/>
  <c r="C121" i="6"/>
  <c r="C120" i="6"/>
  <c r="C119" i="6"/>
  <c r="C118" i="6"/>
  <c r="C117" i="6"/>
  <c r="C116" i="6"/>
  <c r="C115" i="6"/>
  <c r="C114" i="6"/>
  <c r="C113" i="6"/>
  <c r="C112" i="6"/>
  <c r="C111" i="6"/>
  <c r="C110" i="6"/>
  <c r="C109" i="6"/>
  <c r="C108" i="6"/>
  <c r="C107" i="6"/>
  <c r="C106" i="6"/>
  <c r="C105" i="6"/>
  <c r="C104" i="6"/>
  <c r="C103" i="6"/>
  <c r="C102" i="6"/>
  <c r="C99" i="6"/>
  <c r="C98" i="6"/>
  <c r="C97" i="6"/>
  <c r="C96" i="6"/>
  <c r="C95" i="6"/>
  <c r="C94" i="6"/>
  <c r="C93" i="6"/>
  <c r="C92" i="6"/>
  <c r="C91" i="6"/>
  <c r="C88" i="6"/>
  <c r="C87" i="6"/>
  <c r="C86" i="6"/>
  <c r="C85" i="6"/>
  <c r="C84" i="6"/>
  <c r="C83" i="6"/>
  <c r="C82" i="6"/>
  <c r="C81" i="6"/>
  <c r="C80" i="6"/>
  <c r="C79" i="6"/>
  <c r="C78" i="6"/>
  <c r="C77" i="6"/>
  <c r="C76" i="6"/>
  <c r="C75" i="6"/>
  <c r="C74" i="6"/>
  <c r="C73" i="6"/>
  <c r="C72" i="6"/>
  <c r="C71" i="6"/>
  <c r="C70" i="6"/>
  <c r="C69" i="6"/>
  <c r="C68" i="6"/>
  <c r="C67" i="6"/>
  <c r="C66" i="6"/>
  <c r="C65" i="6"/>
  <c r="C64" i="6"/>
  <c r="C63" i="6"/>
  <c r="C62" i="6"/>
  <c r="C61" i="6"/>
  <c r="C60" i="6"/>
  <c r="C59" i="6"/>
  <c r="C58" i="6"/>
  <c r="C57" i="6"/>
  <c r="C56" i="6"/>
  <c r="C55" i="6"/>
  <c r="C54" i="6"/>
  <c r="C53" i="6"/>
  <c r="C52" i="6"/>
  <c r="C51" i="6"/>
  <c r="C50" i="6"/>
  <c r="C49" i="6"/>
  <c r="C48" i="6"/>
  <c r="C47" i="6"/>
  <c r="C46" i="6"/>
  <c r="C43" i="6"/>
  <c r="C42" i="6"/>
  <c r="C41" i="6"/>
  <c r="C40" i="6"/>
  <c r="C39" i="6"/>
  <c r="C38" i="6"/>
  <c r="C37" i="6"/>
  <c r="C36" i="6"/>
  <c r="C35" i="6"/>
  <c r="C34" i="6"/>
  <c r="B34" i="6"/>
  <c r="C33" i="6"/>
  <c r="B33" i="6"/>
  <c r="C32" i="6"/>
  <c r="B32" i="6"/>
  <c r="C31" i="6"/>
  <c r="B31" i="6"/>
  <c r="C30" i="6"/>
  <c r="C29" i="6"/>
  <c r="C28" i="6"/>
  <c r="C23" i="6"/>
  <c r="C22" i="6"/>
  <c r="C21" i="6"/>
  <c r="C17" i="6" s="1"/>
  <c r="C20" i="6"/>
  <c r="C19" i="6"/>
  <c r="C18" i="6"/>
  <c r="C13" i="6"/>
  <c r="B13" i="6"/>
  <c r="C12" i="6"/>
  <c r="B12" i="6"/>
  <c r="C11" i="6"/>
  <c r="B11" i="6"/>
  <c r="C10" i="6"/>
  <c r="B10" i="6"/>
  <c r="C9" i="6"/>
  <c r="B9" i="6"/>
  <c r="C8" i="6"/>
  <c r="B8" i="6"/>
  <c r="B7" i="6"/>
  <c r="C6" i="6"/>
  <c r="B6" i="6"/>
  <c r="B5" i="6"/>
  <c r="C4" i="6"/>
  <c r="B4" i="6"/>
  <c r="B225" i="6" l="1"/>
  <c r="B163" i="6"/>
  <c r="B164" i="6" s="1"/>
  <c r="B165" i="6" s="1"/>
  <c r="B166" i="6" s="1"/>
  <c r="B167" i="6" s="1"/>
  <c r="B168" i="6" s="1"/>
  <c r="B169" i="6" s="1"/>
  <c r="B170" i="6" s="1"/>
  <c r="B171" i="6" s="1"/>
  <c r="B172" i="6" s="1"/>
  <c r="B173" i="6" s="1"/>
  <c r="B174" i="6" s="1"/>
  <c r="B175" i="6" s="1"/>
  <c r="B176" i="6" s="1"/>
  <c r="B177" i="6" s="1"/>
  <c r="B178" i="6" s="1"/>
  <c r="B179" i="6" s="1"/>
  <c r="B180" i="6" s="1"/>
  <c r="B181" i="6" s="1"/>
  <c r="B182" i="6" s="1"/>
  <c r="B183" i="6" s="1"/>
  <c r="B184" i="6" s="1"/>
  <c r="B185" i="6" s="1"/>
  <c r="B186" i="6" s="1"/>
  <c r="B187" i="6" s="1"/>
  <c r="B188" i="6" s="1"/>
  <c r="B189" i="6" s="1"/>
  <c r="B190" i="6" s="1"/>
  <c r="B191" i="6" s="1"/>
  <c r="B192" i="6" s="1"/>
  <c r="B193" i="6" s="1"/>
  <c r="B194" i="6" s="1"/>
  <c r="B195" i="6" s="1"/>
  <c r="B196" i="6" s="1"/>
  <c r="B197" i="6" s="1"/>
  <c r="B198" i="6" s="1"/>
  <c r="B199" i="6" s="1"/>
  <c r="B200" i="6" s="1"/>
  <c r="B201" i="6" s="1"/>
  <c r="B202" i="6" s="1"/>
  <c r="B203" i="6" s="1"/>
  <c r="B204" i="6" s="1"/>
  <c r="B205" i="6" s="1"/>
  <c r="B206" i="6" s="1"/>
  <c r="B207" i="6" s="1"/>
  <c r="B208" i="6" s="1"/>
  <c r="B209" i="6" s="1"/>
  <c r="B210" i="6" s="1"/>
  <c r="B211" i="6" s="1"/>
  <c r="B212" i="6" s="1"/>
  <c r="B213" i="6" s="1"/>
  <c r="B214" i="6" s="1"/>
  <c r="B215" i="6" s="1"/>
  <c r="B216" i="6" s="1"/>
  <c r="B217" i="6" s="1"/>
  <c r="B218" i="6" s="1"/>
  <c r="B219" i="6" s="1"/>
  <c r="B220" i="6" s="1"/>
  <c r="B221" i="6" s="1"/>
  <c r="B222" i="6" s="1"/>
  <c r="B223" i="6" s="1"/>
  <c r="B224" i="6" s="1"/>
  <c r="C223" i="5" l="1"/>
  <c r="C222" i="5"/>
  <c r="C221" i="5"/>
  <c r="C220" i="5"/>
  <c r="C219" i="5"/>
  <c r="C218" i="5"/>
  <c r="C217" i="5"/>
  <c r="C216" i="5"/>
  <c r="C215" i="5"/>
  <c r="C214" i="5"/>
  <c r="C213" i="5"/>
  <c r="C212" i="5"/>
  <c r="C211" i="5"/>
  <c r="C210" i="5"/>
  <c r="C209" i="5"/>
  <c r="C208" i="5"/>
  <c r="C207" i="5"/>
  <c r="C206" i="5"/>
  <c r="C205" i="5"/>
  <c r="C204" i="5"/>
  <c r="C203" i="5"/>
  <c r="C202" i="5"/>
  <c r="C201" i="5"/>
  <c r="C200" i="5"/>
  <c r="C199" i="5"/>
  <c r="C198" i="5"/>
  <c r="C197" i="5"/>
  <c r="C196" i="5"/>
  <c r="C195" i="5"/>
  <c r="C194" i="5"/>
  <c r="C193" i="5"/>
  <c r="C192" i="5"/>
  <c r="C191" i="5"/>
  <c r="C190" i="5"/>
  <c r="C189" i="5"/>
  <c r="C188" i="5"/>
  <c r="C187" i="5"/>
  <c r="C186" i="5"/>
  <c r="C185" i="5"/>
  <c r="C184" i="5"/>
  <c r="C183" i="5"/>
  <c r="C182" i="5"/>
  <c r="C181" i="5"/>
  <c r="C180" i="5"/>
  <c r="C179" i="5"/>
  <c r="C178" i="5"/>
  <c r="C177" i="5"/>
  <c r="C176" i="5"/>
  <c r="C175" i="5"/>
  <c r="C174" i="5"/>
  <c r="C173" i="5"/>
  <c r="C172" i="5"/>
  <c r="C171" i="5"/>
  <c r="C170" i="5"/>
  <c r="C169" i="5"/>
  <c r="C168" i="5"/>
  <c r="C167" i="5"/>
  <c r="C166" i="5"/>
  <c r="C165" i="5"/>
  <c r="C164" i="5"/>
  <c r="C163" i="5"/>
  <c r="C162" i="5"/>
  <c r="C161" i="5"/>
  <c r="C160" i="5"/>
  <c r="C159" i="5"/>
  <c r="C158" i="5"/>
  <c r="C157" i="5"/>
  <c r="C156" i="5"/>
  <c r="C155" i="5"/>
  <c r="C154" i="5"/>
  <c r="C153" i="5"/>
  <c r="C152" i="5"/>
  <c r="C151" i="5"/>
  <c r="C150" i="5"/>
  <c r="C149" i="5"/>
  <c r="C148" i="5"/>
  <c r="C147" i="5"/>
  <c r="C146" i="5"/>
  <c r="C145" i="5"/>
  <c r="C144" i="5"/>
  <c r="B144" i="5"/>
  <c r="B145" i="5" s="1"/>
  <c r="B146" i="5" s="1"/>
  <c r="B147" i="5" s="1"/>
  <c r="B148" i="5" s="1"/>
  <c r="B149" i="5" s="1"/>
  <c r="B150" i="5" s="1"/>
  <c r="B151" i="5" s="1"/>
  <c r="B152" i="5" s="1"/>
  <c r="B153" i="5" s="1"/>
  <c r="B154" i="5" s="1"/>
  <c r="B155" i="5" s="1"/>
  <c r="B156" i="5" s="1"/>
  <c r="B157" i="5" s="1"/>
  <c r="B158" i="5" s="1"/>
  <c r="B159" i="5" s="1"/>
  <c r="B160" i="5" s="1"/>
  <c r="B161" i="5" s="1"/>
  <c r="B162" i="5" s="1"/>
  <c r="B163" i="5" s="1"/>
  <c r="B164" i="5" s="1"/>
  <c r="B165" i="5" s="1"/>
  <c r="B166" i="5" s="1"/>
  <c r="B167" i="5" s="1"/>
  <c r="B168" i="5" s="1"/>
  <c r="B169" i="5" s="1"/>
  <c r="B170" i="5" s="1"/>
  <c r="B171" i="5" s="1"/>
  <c r="B172" i="5" s="1"/>
  <c r="B173" i="5" s="1"/>
  <c r="B174" i="5" s="1"/>
  <c r="B175" i="5" s="1"/>
  <c r="B176" i="5" s="1"/>
  <c r="B177" i="5" s="1"/>
  <c r="B178" i="5" s="1"/>
  <c r="B179" i="5" s="1"/>
  <c r="B180" i="5" s="1"/>
  <c r="B181" i="5" s="1"/>
  <c r="B182" i="5" s="1"/>
  <c r="B183" i="5" s="1"/>
  <c r="B184" i="5" s="1"/>
  <c r="B185" i="5" s="1"/>
  <c r="B186" i="5" s="1"/>
  <c r="B187" i="5" s="1"/>
  <c r="B188" i="5" s="1"/>
  <c r="B189" i="5" s="1"/>
  <c r="B190" i="5" s="1"/>
  <c r="B191" i="5" s="1"/>
  <c r="B192" i="5" s="1"/>
  <c r="B193" i="5" s="1"/>
  <c r="B194" i="5" s="1"/>
  <c r="B195" i="5" s="1"/>
  <c r="B196" i="5" s="1"/>
  <c r="B197" i="5" s="1"/>
  <c r="B198" i="5" s="1"/>
  <c r="B199" i="5" s="1"/>
  <c r="B200" i="5" s="1"/>
  <c r="B201" i="5" s="1"/>
  <c r="B202" i="5" s="1"/>
  <c r="B203" i="5" s="1"/>
  <c r="B204" i="5" s="1"/>
  <c r="B205" i="5" s="1"/>
  <c r="B206" i="5" s="1"/>
  <c r="B207" i="5" s="1"/>
  <c r="B208" i="5" s="1"/>
  <c r="B209" i="5" s="1"/>
  <c r="B210" i="5" s="1"/>
  <c r="B211" i="5" s="1"/>
  <c r="B212" i="5" s="1"/>
  <c r="B213" i="5" s="1"/>
  <c r="B214" i="5" s="1"/>
  <c r="B215" i="5" s="1"/>
  <c r="B216" i="5" s="1"/>
  <c r="B217" i="5" s="1"/>
  <c r="B218" i="5" s="1"/>
  <c r="B219" i="5" s="1"/>
  <c r="B220" i="5" s="1"/>
  <c r="B221" i="5" s="1"/>
  <c r="B222" i="5" s="1"/>
  <c r="B223" i="5" s="1"/>
  <c r="C143" i="5"/>
  <c r="C140" i="5"/>
  <c r="C138" i="5"/>
  <c r="C137" i="5"/>
  <c r="C136" i="5"/>
  <c r="C135" i="5"/>
  <c r="C125" i="5"/>
  <c r="C122" i="5"/>
  <c r="C121" i="5"/>
  <c r="C120" i="5"/>
  <c r="C119" i="5"/>
  <c r="C118" i="5"/>
  <c r="C117" i="5"/>
  <c r="C116" i="5"/>
  <c r="C115" i="5"/>
  <c r="C114" i="5"/>
  <c r="C113" i="5"/>
  <c r="C112" i="5"/>
  <c r="C111" i="5"/>
  <c r="C110" i="5"/>
  <c r="C109" i="5"/>
  <c r="C108" i="5"/>
  <c r="C107" i="5"/>
  <c r="C106" i="5"/>
  <c r="C105" i="5"/>
  <c r="C104" i="5"/>
  <c r="C103" i="5"/>
  <c r="C102" i="5"/>
  <c r="C101" i="5"/>
  <c r="C100" i="5"/>
  <c r="C99" i="5"/>
  <c r="C98" i="5"/>
  <c r="C97" i="5"/>
  <c r="C96" i="5"/>
  <c r="C93" i="5"/>
  <c r="C92" i="5"/>
  <c r="C91" i="5"/>
  <c r="C90" i="5"/>
  <c r="C89" i="5"/>
  <c r="C88" i="5"/>
  <c r="C87" i="5"/>
  <c r="C86" i="5"/>
  <c r="C85" i="5"/>
  <c r="C82" i="5"/>
  <c r="C81" i="5"/>
  <c r="C80" i="5"/>
  <c r="C79" i="5"/>
  <c r="C78" i="5"/>
  <c r="C77" i="5"/>
  <c r="C76" i="5"/>
  <c r="C75" i="5"/>
  <c r="C74" i="5"/>
  <c r="C73" i="5"/>
  <c r="C72" i="5"/>
  <c r="C71" i="5"/>
  <c r="C70" i="5"/>
  <c r="C69" i="5"/>
  <c r="C68" i="5"/>
  <c r="C67" i="5"/>
  <c r="C66" i="5"/>
  <c r="C65" i="5"/>
  <c r="C64" i="5"/>
  <c r="C63" i="5"/>
  <c r="C62" i="5"/>
  <c r="C61" i="5"/>
  <c r="C60" i="5"/>
  <c r="C59" i="5"/>
  <c r="C58" i="5"/>
  <c r="C57" i="5"/>
  <c r="C56" i="5"/>
  <c r="C55" i="5"/>
  <c r="C54" i="5"/>
  <c r="C53" i="5"/>
  <c r="C52" i="5"/>
  <c r="C51" i="5"/>
  <c r="C50" i="5"/>
  <c r="C49" i="5"/>
  <c r="C48" i="5"/>
  <c r="C47" i="5"/>
  <c r="C46" i="5"/>
  <c r="C45" i="5"/>
  <c r="C44" i="5"/>
  <c r="C43" i="5"/>
  <c r="C42" i="5"/>
  <c r="C41" i="5"/>
  <c r="C38" i="5"/>
  <c r="C37" i="5"/>
  <c r="C36" i="5"/>
  <c r="C35" i="5"/>
  <c r="C34" i="5"/>
  <c r="C33" i="5"/>
  <c r="C32" i="5"/>
  <c r="C31" i="5"/>
  <c r="C30" i="5"/>
  <c r="C29" i="5"/>
  <c r="C28" i="5"/>
  <c r="C23" i="5"/>
  <c r="C22" i="5"/>
  <c r="C21" i="5"/>
  <c r="C20" i="5"/>
  <c r="C19" i="5"/>
  <c r="C18" i="5"/>
  <c r="C13" i="5"/>
  <c r="B13" i="5"/>
  <c r="C12" i="5"/>
  <c r="B12" i="5"/>
  <c r="C11" i="5"/>
  <c r="B11" i="5"/>
  <c r="C10" i="5"/>
  <c r="B10" i="5"/>
  <c r="C9" i="5"/>
  <c r="B9" i="5"/>
  <c r="C8" i="5"/>
  <c r="B8" i="5"/>
  <c r="B7" i="5"/>
  <c r="C6" i="5"/>
  <c r="B6" i="5"/>
  <c r="B5" i="5"/>
  <c r="C4" i="5"/>
  <c r="B4" i="5"/>
  <c r="C17" i="5" l="1"/>
  <c r="C223" i="4"/>
  <c r="C222" i="4"/>
  <c r="C221" i="4"/>
  <c r="C220" i="4"/>
  <c r="C219" i="4"/>
  <c r="C218" i="4"/>
  <c r="C217" i="4"/>
  <c r="C216" i="4"/>
  <c r="C215" i="4"/>
  <c r="C214" i="4"/>
  <c r="C213" i="4"/>
  <c r="C212" i="4"/>
  <c r="C211" i="4"/>
  <c r="C210" i="4"/>
  <c r="C209" i="4"/>
  <c r="C208" i="4"/>
  <c r="C207" i="4"/>
  <c r="C206" i="4"/>
  <c r="C205" i="4"/>
  <c r="C204" i="4"/>
  <c r="C203" i="4"/>
  <c r="C202" i="4"/>
  <c r="C201" i="4"/>
  <c r="C200" i="4"/>
  <c r="C199" i="4"/>
  <c r="C198" i="4"/>
  <c r="C197" i="4"/>
  <c r="C196" i="4"/>
  <c r="C195" i="4"/>
  <c r="C194" i="4"/>
  <c r="C193" i="4"/>
  <c r="C192" i="4"/>
  <c r="C191" i="4"/>
  <c r="C190" i="4"/>
  <c r="C189" i="4"/>
  <c r="C188" i="4"/>
  <c r="C187" i="4"/>
  <c r="C186" i="4"/>
  <c r="C185" i="4"/>
  <c r="C184" i="4"/>
  <c r="C183" i="4"/>
  <c r="C182" i="4"/>
  <c r="C181" i="4"/>
  <c r="C180" i="4"/>
  <c r="C179" i="4"/>
  <c r="C178" i="4"/>
  <c r="C177" i="4"/>
  <c r="C176" i="4"/>
  <c r="C175" i="4"/>
  <c r="C174" i="4"/>
  <c r="C173" i="4"/>
  <c r="C172" i="4"/>
  <c r="C171" i="4"/>
  <c r="C170" i="4"/>
  <c r="C169" i="4"/>
  <c r="C168" i="4"/>
  <c r="C167" i="4"/>
  <c r="C166" i="4"/>
  <c r="C165" i="4"/>
  <c r="C164" i="4"/>
  <c r="C163" i="4"/>
  <c r="C162" i="4"/>
  <c r="C161" i="4"/>
  <c r="C160" i="4"/>
  <c r="C159" i="4"/>
  <c r="C158" i="4"/>
  <c r="C157" i="4"/>
  <c r="C156" i="4"/>
  <c r="C155" i="4"/>
  <c r="C154" i="4"/>
  <c r="C153" i="4"/>
  <c r="C152" i="4"/>
  <c r="C151" i="4"/>
  <c r="C150" i="4"/>
  <c r="C149" i="4"/>
  <c r="C148" i="4"/>
  <c r="C147" i="4"/>
  <c r="C146" i="4"/>
  <c r="C145" i="4"/>
  <c r="C144" i="4"/>
  <c r="B144" i="4"/>
  <c r="B145" i="4" s="1"/>
  <c r="B146" i="4" s="1"/>
  <c r="B147" i="4" s="1"/>
  <c r="B148" i="4" s="1"/>
  <c r="B149" i="4" s="1"/>
  <c r="B150" i="4" s="1"/>
  <c r="B151" i="4" s="1"/>
  <c r="B152" i="4" s="1"/>
  <c r="B153" i="4" s="1"/>
  <c r="B154" i="4" s="1"/>
  <c r="B155" i="4" s="1"/>
  <c r="B156" i="4" s="1"/>
  <c r="B157" i="4" s="1"/>
  <c r="B158" i="4" s="1"/>
  <c r="B159" i="4" s="1"/>
  <c r="B160" i="4" s="1"/>
  <c r="B161" i="4" s="1"/>
  <c r="B162" i="4" s="1"/>
  <c r="B163" i="4" s="1"/>
  <c r="B164" i="4" s="1"/>
  <c r="B165" i="4" s="1"/>
  <c r="B166" i="4" s="1"/>
  <c r="B167" i="4" s="1"/>
  <c r="B168" i="4" s="1"/>
  <c r="B169" i="4" s="1"/>
  <c r="B170" i="4" s="1"/>
  <c r="B171" i="4" s="1"/>
  <c r="B172" i="4" s="1"/>
  <c r="B173" i="4" s="1"/>
  <c r="B174" i="4" s="1"/>
  <c r="B175" i="4" s="1"/>
  <c r="B176" i="4" s="1"/>
  <c r="B177" i="4" s="1"/>
  <c r="B178" i="4" s="1"/>
  <c r="B179" i="4" s="1"/>
  <c r="B180" i="4" s="1"/>
  <c r="B181" i="4" s="1"/>
  <c r="B182" i="4" s="1"/>
  <c r="B183" i="4" s="1"/>
  <c r="B184" i="4" s="1"/>
  <c r="B185" i="4" s="1"/>
  <c r="B186" i="4" s="1"/>
  <c r="B187" i="4" s="1"/>
  <c r="B188" i="4" s="1"/>
  <c r="B189" i="4" s="1"/>
  <c r="B190" i="4" s="1"/>
  <c r="B191" i="4" s="1"/>
  <c r="B192" i="4" s="1"/>
  <c r="B193" i="4" s="1"/>
  <c r="B194" i="4" s="1"/>
  <c r="B195" i="4" s="1"/>
  <c r="B196" i="4" s="1"/>
  <c r="B197" i="4" s="1"/>
  <c r="B198" i="4" s="1"/>
  <c r="B199" i="4" s="1"/>
  <c r="B200" i="4" s="1"/>
  <c r="B201" i="4" s="1"/>
  <c r="B202" i="4" s="1"/>
  <c r="B203" i="4" s="1"/>
  <c r="B204" i="4" s="1"/>
  <c r="B205" i="4" s="1"/>
  <c r="B206" i="4" s="1"/>
  <c r="B207" i="4" s="1"/>
  <c r="B208" i="4" s="1"/>
  <c r="B209" i="4" s="1"/>
  <c r="B210" i="4" s="1"/>
  <c r="B211" i="4" s="1"/>
  <c r="B212" i="4" s="1"/>
  <c r="B213" i="4" s="1"/>
  <c r="B214" i="4" s="1"/>
  <c r="B215" i="4" s="1"/>
  <c r="B216" i="4" s="1"/>
  <c r="B217" i="4" s="1"/>
  <c r="B218" i="4" s="1"/>
  <c r="B219" i="4" s="1"/>
  <c r="B220" i="4" s="1"/>
  <c r="B221" i="4" s="1"/>
  <c r="B222" i="4" s="1"/>
  <c r="B223" i="4" s="1"/>
  <c r="C143" i="4"/>
  <c r="C140" i="4"/>
  <c r="C138" i="4"/>
  <c r="C137" i="4"/>
  <c r="C136" i="4"/>
  <c r="C135" i="4"/>
  <c r="C125" i="4"/>
  <c r="C122" i="4"/>
  <c r="C121" i="4"/>
  <c r="C120" i="4"/>
  <c r="C119" i="4"/>
  <c r="C118" i="4"/>
  <c r="C117" i="4"/>
  <c r="C116" i="4"/>
  <c r="C115" i="4"/>
  <c r="C114" i="4"/>
  <c r="C113" i="4"/>
  <c r="C112" i="4"/>
  <c r="C111" i="4"/>
  <c r="C110" i="4"/>
  <c r="C109" i="4"/>
  <c r="C108" i="4"/>
  <c r="C107" i="4"/>
  <c r="C106" i="4"/>
  <c r="C105" i="4"/>
  <c r="C104" i="4"/>
  <c r="C103" i="4"/>
  <c r="C102" i="4"/>
  <c r="C101" i="4"/>
  <c r="C100" i="4"/>
  <c r="C99" i="4"/>
  <c r="C98" i="4"/>
  <c r="C97" i="4"/>
  <c r="C96" i="4"/>
  <c r="C93" i="4"/>
  <c r="C92" i="4"/>
  <c r="C91" i="4"/>
  <c r="C90" i="4"/>
  <c r="C89" i="4"/>
  <c r="C88" i="4"/>
  <c r="C87" i="4"/>
  <c r="C86" i="4"/>
  <c r="C85" i="4"/>
  <c r="C82" i="4"/>
  <c r="C81" i="4"/>
  <c r="C80" i="4"/>
  <c r="C79" i="4"/>
  <c r="C78" i="4"/>
  <c r="C77" i="4"/>
  <c r="C76" i="4"/>
  <c r="C75" i="4"/>
  <c r="C74" i="4"/>
  <c r="C73" i="4"/>
  <c r="C72" i="4"/>
  <c r="C71" i="4"/>
  <c r="C70" i="4"/>
  <c r="C69" i="4"/>
  <c r="C68" i="4"/>
  <c r="C67" i="4"/>
  <c r="C66" i="4"/>
  <c r="C65" i="4"/>
  <c r="C64" i="4"/>
  <c r="C63" i="4"/>
  <c r="C62" i="4"/>
  <c r="C61" i="4"/>
  <c r="C60" i="4"/>
  <c r="C59" i="4"/>
  <c r="C58" i="4"/>
  <c r="C57" i="4"/>
  <c r="C56" i="4"/>
  <c r="C55" i="4"/>
  <c r="C54" i="4"/>
  <c r="C53" i="4"/>
  <c r="C52" i="4"/>
  <c r="C51" i="4"/>
  <c r="C50" i="4"/>
  <c r="C49" i="4"/>
  <c r="C48" i="4"/>
  <c r="C47" i="4"/>
  <c r="C46" i="4"/>
  <c r="C45" i="4"/>
  <c r="C44" i="4"/>
  <c r="C43" i="4"/>
  <c r="C42" i="4"/>
  <c r="C41" i="4"/>
  <c r="C38" i="4"/>
  <c r="C37" i="4"/>
  <c r="C36" i="4"/>
  <c r="C35" i="4"/>
  <c r="C34" i="4"/>
  <c r="C33" i="4"/>
  <c r="C32" i="4"/>
  <c r="C31" i="4"/>
  <c r="C30" i="4"/>
  <c r="C29" i="4"/>
  <c r="C28" i="4"/>
  <c r="C23" i="4"/>
  <c r="C22" i="4"/>
  <c r="C21" i="4"/>
  <c r="C20" i="4"/>
  <c r="C19" i="4"/>
  <c r="C18" i="4"/>
  <c r="C13" i="4"/>
  <c r="B13" i="4"/>
  <c r="C12" i="4"/>
  <c r="B12" i="4"/>
  <c r="C11" i="4"/>
  <c r="B11" i="4"/>
  <c r="C10" i="4"/>
  <c r="B10" i="4"/>
  <c r="C9" i="4"/>
  <c r="B9" i="4"/>
  <c r="C8" i="4"/>
  <c r="B8" i="4"/>
  <c r="B7" i="4"/>
  <c r="C6" i="4"/>
  <c r="B6" i="4"/>
  <c r="B5" i="4"/>
  <c r="C4" i="4"/>
  <c r="B4" i="4"/>
  <c r="C17" i="4" l="1"/>
  <c r="C225" i="3"/>
  <c r="C224" i="3"/>
  <c r="C223" i="3"/>
  <c r="C222" i="3"/>
  <c r="C221" i="3"/>
  <c r="C220" i="3"/>
  <c r="C219" i="3"/>
  <c r="C218" i="3"/>
  <c r="C217" i="3"/>
  <c r="C216" i="3"/>
  <c r="C215" i="3"/>
  <c r="C214" i="3"/>
  <c r="C213" i="3"/>
  <c r="C212" i="3"/>
  <c r="C211" i="3"/>
  <c r="C210" i="3"/>
  <c r="C209" i="3"/>
  <c r="C208" i="3"/>
  <c r="C207" i="3"/>
  <c r="C206" i="3"/>
  <c r="C205" i="3"/>
  <c r="C204" i="3"/>
  <c r="C203" i="3"/>
  <c r="C202" i="3"/>
  <c r="C201" i="3"/>
  <c r="C200" i="3"/>
  <c r="C199" i="3"/>
  <c r="C198" i="3"/>
  <c r="C197" i="3"/>
  <c r="C196" i="3"/>
  <c r="C195" i="3"/>
  <c r="C194" i="3"/>
  <c r="C193" i="3"/>
  <c r="C192" i="3"/>
  <c r="C191" i="3"/>
  <c r="C190" i="3"/>
  <c r="C189" i="3"/>
  <c r="C188" i="3"/>
  <c r="C187" i="3"/>
  <c r="C186" i="3"/>
  <c r="C185" i="3"/>
  <c r="C184" i="3"/>
  <c r="C183" i="3"/>
  <c r="C182" i="3"/>
  <c r="C181" i="3"/>
  <c r="C180" i="3"/>
  <c r="C179" i="3"/>
  <c r="C178" i="3"/>
  <c r="C177" i="3"/>
  <c r="C176" i="3"/>
  <c r="C175" i="3"/>
  <c r="C174" i="3"/>
  <c r="C173" i="3"/>
  <c r="C172" i="3"/>
  <c r="C171" i="3"/>
  <c r="C170" i="3"/>
  <c r="C169" i="3"/>
  <c r="C168" i="3"/>
  <c r="C167" i="3"/>
  <c r="C166" i="3"/>
  <c r="C165" i="3"/>
  <c r="C164" i="3"/>
  <c r="C163" i="3"/>
  <c r="C162" i="3"/>
  <c r="C161" i="3"/>
  <c r="C160" i="3"/>
  <c r="C159" i="3"/>
  <c r="C158" i="3"/>
  <c r="C157" i="3"/>
  <c r="C156" i="3"/>
  <c r="C155" i="3"/>
  <c r="C154" i="3"/>
  <c r="C153" i="3"/>
  <c r="C152" i="3"/>
  <c r="C151" i="3"/>
  <c r="C150" i="3"/>
  <c r="C149" i="3"/>
  <c r="C148" i="3"/>
  <c r="C147" i="3"/>
  <c r="C146" i="3"/>
  <c r="B146" i="3"/>
  <c r="B147" i="3" s="1"/>
  <c r="B148" i="3" s="1"/>
  <c r="B149" i="3" s="1"/>
  <c r="B150" i="3" s="1"/>
  <c r="B151" i="3" s="1"/>
  <c r="B152" i="3" s="1"/>
  <c r="B153" i="3" s="1"/>
  <c r="B154" i="3" s="1"/>
  <c r="B155" i="3" s="1"/>
  <c r="B156" i="3" s="1"/>
  <c r="B157" i="3" s="1"/>
  <c r="B158" i="3" s="1"/>
  <c r="B159" i="3" s="1"/>
  <c r="B160" i="3" s="1"/>
  <c r="B161" i="3" s="1"/>
  <c r="B162" i="3" s="1"/>
  <c r="C145" i="3"/>
  <c r="C142" i="3"/>
  <c r="C140" i="3"/>
  <c r="C139" i="3"/>
  <c r="C138" i="3"/>
  <c r="C137" i="3"/>
  <c r="C135" i="3"/>
  <c r="C134" i="3"/>
  <c r="C133" i="3"/>
  <c r="C132" i="3"/>
  <c r="C131" i="3"/>
  <c r="C130" i="3"/>
  <c r="C127" i="3"/>
  <c r="C124" i="3"/>
  <c r="C123" i="3"/>
  <c r="C122" i="3"/>
  <c r="C121" i="3"/>
  <c r="C120" i="3"/>
  <c r="C119" i="3"/>
  <c r="C118" i="3"/>
  <c r="C117" i="3"/>
  <c r="C116" i="3"/>
  <c r="C115" i="3"/>
  <c r="C114" i="3"/>
  <c r="C113" i="3"/>
  <c r="C112" i="3"/>
  <c r="C111" i="3"/>
  <c r="C110" i="3"/>
  <c r="C109" i="3"/>
  <c r="C108" i="3"/>
  <c r="C107" i="3"/>
  <c r="C106" i="3"/>
  <c r="C105" i="3"/>
  <c r="C104" i="3"/>
  <c r="C103" i="3"/>
  <c r="C102" i="3"/>
  <c r="C99" i="3"/>
  <c r="C98" i="3"/>
  <c r="C97" i="3"/>
  <c r="C96" i="3"/>
  <c r="C95" i="3"/>
  <c r="C94" i="3"/>
  <c r="C93" i="3"/>
  <c r="C92" i="3"/>
  <c r="C91" i="3"/>
  <c r="C88" i="3"/>
  <c r="C87" i="3"/>
  <c r="C86" i="3"/>
  <c r="C85" i="3"/>
  <c r="C84" i="3"/>
  <c r="C83" i="3"/>
  <c r="C82" i="3"/>
  <c r="C81" i="3"/>
  <c r="C80" i="3"/>
  <c r="C79" i="3"/>
  <c r="C78" i="3"/>
  <c r="C77" i="3"/>
  <c r="C76" i="3"/>
  <c r="C75" i="3"/>
  <c r="C74" i="3"/>
  <c r="C73" i="3"/>
  <c r="C72" i="3"/>
  <c r="C71" i="3"/>
  <c r="C70" i="3"/>
  <c r="C69" i="3"/>
  <c r="C68" i="3"/>
  <c r="C67" i="3"/>
  <c r="C66" i="3"/>
  <c r="C65" i="3"/>
  <c r="C64" i="3"/>
  <c r="C63" i="3"/>
  <c r="C62" i="3"/>
  <c r="C61" i="3"/>
  <c r="C60" i="3"/>
  <c r="C59" i="3"/>
  <c r="C58" i="3"/>
  <c r="C57" i="3"/>
  <c r="C56" i="3"/>
  <c r="C55" i="3"/>
  <c r="C54" i="3"/>
  <c r="C53" i="3"/>
  <c r="C52" i="3"/>
  <c r="C51" i="3"/>
  <c r="C50" i="3"/>
  <c r="C49" i="3"/>
  <c r="C48" i="3"/>
  <c r="C47" i="3"/>
  <c r="C46" i="3"/>
  <c r="C43" i="3"/>
  <c r="C42" i="3"/>
  <c r="C41" i="3"/>
  <c r="C40" i="3"/>
  <c r="C39" i="3"/>
  <c r="C38" i="3"/>
  <c r="C37" i="3"/>
  <c r="C36" i="3"/>
  <c r="C35" i="3"/>
  <c r="C34" i="3"/>
  <c r="B34" i="3"/>
  <c r="C33" i="3"/>
  <c r="B33" i="3"/>
  <c r="C32" i="3"/>
  <c r="B32" i="3"/>
  <c r="C31" i="3"/>
  <c r="B31" i="3"/>
  <c r="C30" i="3"/>
  <c r="C29" i="3"/>
  <c r="C28" i="3"/>
  <c r="C23" i="3"/>
  <c r="C22" i="3"/>
  <c r="C21" i="3"/>
  <c r="C20" i="3"/>
  <c r="C19" i="3"/>
  <c r="C18" i="3"/>
  <c r="C13" i="3"/>
  <c r="B13" i="3"/>
  <c r="C12" i="3"/>
  <c r="B12" i="3"/>
  <c r="C11" i="3"/>
  <c r="B11" i="3"/>
  <c r="C10" i="3"/>
  <c r="B10" i="3"/>
  <c r="C9" i="3"/>
  <c r="B9" i="3"/>
  <c r="C8" i="3"/>
  <c r="B8" i="3"/>
  <c r="B7" i="3"/>
  <c r="C6" i="3"/>
  <c r="B6" i="3"/>
  <c r="B5" i="3"/>
  <c r="C4" i="3"/>
  <c r="B4" i="3"/>
  <c r="C17" i="3" l="1"/>
  <c r="B225" i="3"/>
  <c r="B163" i="3"/>
  <c r="B164" i="3" s="1"/>
  <c r="B165" i="3" s="1"/>
  <c r="B166" i="3" s="1"/>
  <c r="B167" i="3" s="1"/>
  <c r="B168" i="3" s="1"/>
  <c r="B169" i="3" s="1"/>
  <c r="B170" i="3" s="1"/>
  <c r="B171" i="3" s="1"/>
  <c r="B172" i="3" s="1"/>
  <c r="B173" i="3" s="1"/>
  <c r="B174" i="3" s="1"/>
  <c r="B175" i="3" s="1"/>
  <c r="B176" i="3" s="1"/>
  <c r="B177" i="3" s="1"/>
  <c r="B178" i="3" s="1"/>
  <c r="B179" i="3" s="1"/>
  <c r="B180" i="3" s="1"/>
  <c r="B181" i="3" s="1"/>
  <c r="B182" i="3" s="1"/>
  <c r="B183" i="3" s="1"/>
  <c r="B184" i="3" s="1"/>
  <c r="B185" i="3" s="1"/>
  <c r="B186" i="3" s="1"/>
  <c r="B187" i="3" s="1"/>
  <c r="B188" i="3" s="1"/>
  <c r="B189" i="3" s="1"/>
  <c r="B190" i="3" s="1"/>
  <c r="B191" i="3" s="1"/>
  <c r="B192" i="3" s="1"/>
  <c r="B193" i="3" s="1"/>
  <c r="B194" i="3" s="1"/>
  <c r="B195" i="3" s="1"/>
  <c r="B196" i="3" s="1"/>
  <c r="B197" i="3" s="1"/>
  <c r="B198" i="3" s="1"/>
  <c r="B199" i="3" s="1"/>
  <c r="B200" i="3" s="1"/>
  <c r="B201" i="3" s="1"/>
  <c r="B202" i="3" s="1"/>
  <c r="B203" i="3" s="1"/>
  <c r="B204" i="3" s="1"/>
  <c r="B205" i="3" s="1"/>
  <c r="B206" i="3" s="1"/>
  <c r="B207" i="3" s="1"/>
  <c r="B208" i="3" s="1"/>
  <c r="B209" i="3" s="1"/>
  <c r="B210" i="3" s="1"/>
  <c r="B211" i="3" s="1"/>
  <c r="B212" i="3" s="1"/>
  <c r="B213" i="3" s="1"/>
  <c r="B214" i="3" s="1"/>
  <c r="B215" i="3" s="1"/>
  <c r="B216" i="3" s="1"/>
  <c r="B217" i="3" s="1"/>
  <c r="B218" i="3" s="1"/>
  <c r="B219" i="3" s="1"/>
  <c r="B220" i="3" s="1"/>
  <c r="B221" i="3" s="1"/>
  <c r="B222" i="3" s="1"/>
  <c r="B223" i="3" s="1"/>
  <c r="B224" i="3" s="1"/>
  <c r="C223" i="2" l="1"/>
  <c r="C222" i="2"/>
  <c r="C221" i="2"/>
  <c r="C220" i="2"/>
  <c r="C219" i="2"/>
  <c r="C218" i="2"/>
  <c r="C217" i="2"/>
  <c r="C216" i="2"/>
  <c r="C215" i="2"/>
  <c r="C214" i="2"/>
  <c r="C213" i="2"/>
  <c r="C212" i="2"/>
  <c r="C211" i="2"/>
  <c r="C210" i="2"/>
  <c r="C209" i="2"/>
  <c r="C208" i="2"/>
  <c r="C207" i="2"/>
  <c r="C206" i="2"/>
  <c r="C205" i="2"/>
  <c r="C204" i="2"/>
  <c r="C203" i="2"/>
  <c r="C202" i="2"/>
  <c r="C201" i="2"/>
  <c r="C200" i="2"/>
  <c r="C199" i="2"/>
  <c r="C198" i="2"/>
  <c r="C197" i="2"/>
  <c r="C196" i="2"/>
  <c r="C195" i="2"/>
  <c r="C194" i="2"/>
  <c r="C193" i="2"/>
  <c r="C192" i="2"/>
  <c r="C191" i="2"/>
  <c r="C190" i="2"/>
  <c r="C189" i="2"/>
  <c r="C188" i="2"/>
  <c r="C187" i="2"/>
  <c r="C186" i="2"/>
  <c r="C185" i="2"/>
  <c r="C184" i="2"/>
  <c r="C183" i="2"/>
  <c r="C182" i="2"/>
  <c r="C181" i="2"/>
  <c r="C180" i="2"/>
  <c r="C179" i="2"/>
  <c r="C178" i="2"/>
  <c r="C177" i="2"/>
  <c r="C176" i="2"/>
  <c r="C175" i="2"/>
  <c r="C174" i="2"/>
  <c r="C173" i="2"/>
  <c r="C172" i="2"/>
  <c r="C171" i="2"/>
  <c r="C170" i="2"/>
  <c r="C169" i="2"/>
  <c r="C168" i="2"/>
  <c r="C167" i="2"/>
  <c r="C166" i="2"/>
  <c r="C165" i="2"/>
  <c r="C164" i="2"/>
  <c r="C163" i="2"/>
  <c r="C162" i="2"/>
  <c r="C161" i="2"/>
  <c r="C160" i="2"/>
  <c r="C159" i="2"/>
  <c r="C158" i="2"/>
  <c r="C157" i="2"/>
  <c r="C156" i="2"/>
  <c r="C155" i="2"/>
  <c r="C154" i="2"/>
  <c r="C153" i="2"/>
  <c r="C152" i="2"/>
  <c r="C151" i="2"/>
  <c r="C150" i="2"/>
  <c r="C149" i="2"/>
  <c r="C148" i="2"/>
  <c r="C147" i="2"/>
  <c r="C146" i="2"/>
  <c r="C145" i="2"/>
  <c r="C144" i="2"/>
  <c r="B144" i="2"/>
  <c r="B145" i="2" s="1"/>
  <c r="B146" i="2" s="1"/>
  <c r="B147" i="2" s="1"/>
  <c r="B148" i="2" s="1"/>
  <c r="B149" i="2" s="1"/>
  <c r="B150" i="2" s="1"/>
  <c r="B151" i="2" s="1"/>
  <c r="B152" i="2" s="1"/>
  <c r="B153" i="2" s="1"/>
  <c r="B154" i="2" s="1"/>
  <c r="B155" i="2" s="1"/>
  <c r="B156" i="2" s="1"/>
  <c r="B157" i="2" s="1"/>
  <c r="B158" i="2" s="1"/>
  <c r="B159" i="2" s="1"/>
  <c r="B160" i="2" s="1"/>
  <c r="B161" i="2" s="1"/>
  <c r="B162" i="2" s="1"/>
  <c r="B163" i="2" s="1"/>
  <c r="B164" i="2" s="1"/>
  <c r="B165" i="2" s="1"/>
  <c r="B166" i="2" s="1"/>
  <c r="B167" i="2" s="1"/>
  <c r="B168" i="2" s="1"/>
  <c r="B169" i="2" s="1"/>
  <c r="B170" i="2" s="1"/>
  <c r="B171" i="2" s="1"/>
  <c r="B172" i="2" s="1"/>
  <c r="B173" i="2" s="1"/>
  <c r="B174" i="2" s="1"/>
  <c r="B175" i="2" s="1"/>
  <c r="B176" i="2" s="1"/>
  <c r="B177" i="2" s="1"/>
  <c r="B178" i="2" s="1"/>
  <c r="B179" i="2" s="1"/>
  <c r="B180" i="2" s="1"/>
  <c r="B181" i="2" s="1"/>
  <c r="B182" i="2" s="1"/>
  <c r="B183" i="2" s="1"/>
  <c r="B184" i="2" s="1"/>
  <c r="B185" i="2" s="1"/>
  <c r="B186" i="2" s="1"/>
  <c r="B187" i="2" s="1"/>
  <c r="B188" i="2" s="1"/>
  <c r="B189" i="2" s="1"/>
  <c r="B190" i="2" s="1"/>
  <c r="B191" i="2" s="1"/>
  <c r="B192" i="2" s="1"/>
  <c r="B193" i="2" s="1"/>
  <c r="B194" i="2" s="1"/>
  <c r="B195" i="2" s="1"/>
  <c r="B196" i="2" s="1"/>
  <c r="B197" i="2" s="1"/>
  <c r="B198" i="2" s="1"/>
  <c r="B199" i="2" s="1"/>
  <c r="B200" i="2" s="1"/>
  <c r="B201" i="2" s="1"/>
  <c r="B202" i="2" s="1"/>
  <c r="B203" i="2" s="1"/>
  <c r="B204" i="2" s="1"/>
  <c r="B205" i="2" s="1"/>
  <c r="B206" i="2" s="1"/>
  <c r="B207" i="2" s="1"/>
  <c r="B208" i="2" s="1"/>
  <c r="B209" i="2" s="1"/>
  <c r="B210" i="2" s="1"/>
  <c r="B211" i="2" s="1"/>
  <c r="B212" i="2" s="1"/>
  <c r="B213" i="2" s="1"/>
  <c r="B214" i="2" s="1"/>
  <c r="B215" i="2" s="1"/>
  <c r="B216" i="2" s="1"/>
  <c r="B217" i="2" s="1"/>
  <c r="B218" i="2" s="1"/>
  <c r="B219" i="2" s="1"/>
  <c r="B220" i="2" s="1"/>
  <c r="B221" i="2" s="1"/>
  <c r="B222" i="2" s="1"/>
  <c r="B223" i="2" s="1"/>
  <c r="C143" i="2"/>
  <c r="C140" i="2"/>
  <c r="C138" i="2"/>
  <c r="C137" i="2"/>
  <c r="C136" i="2"/>
  <c r="C135" i="2"/>
  <c r="C125" i="2"/>
  <c r="C122" i="2"/>
  <c r="C121" i="2"/>
  <c r="C120" i="2"/>
  <c r="C119" i="2"/>
  <c r="C118" i="2"/>
  <c r="C117" i="2"/>
  <c r="C116" i="2"/>
  <c r="C115" i="2"/>
  <c r="C114" i="2"/>
  <c r="C113" i="2"/>
  <c r="C112" i="2"/>
  <c r="C111" i="2"/>
  <c r="C110" i="2"/>
  <c r="C109" i="2"/>
  <c r="C108" i="2"/>
  <c r="C107" i="2"/>
  <c r="C106" i="2"/>
  <c r="C105" i="2"/>
  <c r="C104" i="2"/>
  <c r="C103" i="2"/>
  <c r="C102" i="2"/>
  <c r="C101" i="2"/>
  <c r="C100" i="2"/>
  <c r="C99" i="2"/>
  <c r="C98" i="2"/>
  <c r="C97" i="2"/>
  <c r="C96" i="2"/>
  <c r="C93" i="2"/>
  <c r="C92" i="2"/>
  <c r="C91" i="2"/>
  <c r="C90" i="2"/>
  <c r="C89" i="2"/>
  <c r="C88" i="2"/>
  <c r="C87" i="2"/>
  <c r="C86" i="2"/>
  <c r="C85" i="2"/>
  <c r="C82" i="2"/>
  <c r="C81" i="2"/>
  <c r="C80" i="2"/>
  <c r="C79" i="2"/>
  <c r="C78" i="2"/>
  <c r="C77" i="2"/>
  <c r="C76" i="2"/>
  <c r="C75" i="2"/>
  <c r="C74" i="2"/>
  <c r="C73" i="2"/>
  <c r="C72" i="2"/>
  <c r="C71" i="2"/>
  <c r="C70" i="2"/>
  <c r="C69" i="2"/>
  <c r="C68" i="2"/>
  <c r="C67" i="2"/>
  <c r="C66" i="2"/>
  <c r="C65" i="2"/>
  <c r="C64" i="2"/>
  <c r="C63" i="2"/>
  <c r="C62" i="2"/>
  <c r="C61" i="2"/>
  <c r="C60" i="2"/>
  <c r="C59" i="2"/>
  <c r="C58" i="2"/>
  <c r="C57" i="2"/>
  <c r="C56" i="2"/>
  <c r="C55" i="2"/>
  <c r="C54" i="2"/>
  <c r="C53" i="2"/>
  <c r="C52" i="2"/>
  <c r="C51" i="2"/>
  <c r="C50" i="2"/>
  <c r="C49" i="2"/>
  <c r="C48" i="2"/>
  <c r="C47" i="2"/>
  <c r="C46" i="2"/>
  <c r="C45" i="2"/>
  <c r="C44" i="2"/>
  <c r="C43" i="2"/>
  <c r="C42" i="2"/>
  <c r="C41" i="2"/>
  <c r="C38" i="2"/>
  <c r="C37" i="2"/>
  <c r="C36" i="2"/>
  <c r="C35" i="2"/>
  <c r="C34" i="2"/>
  <c r="C33" i="2"/>
  <c r="C32" i="2"/>
  <c r="C31" i="2"/>
  <c r="C30" i="2"/>
  <c r="C29" i="2"/>
  <c r="C28" i="2"/>
  <c r="C23" i="2"/>
  <c r="C22" i="2"/>
  <c r="C21" i="2"/>
  <c r="C20" i="2"/>
  <c r="C19" i="2"/>
  <c r="C18" i="2"/>
  <c r="C13" i="2"/>
  <c r="B13" i="2"/>
  <c r="C12" i="2"/>
  <c r="B12" i="2"/>
  <c r="C11" i="2"/>
  <c r="B11" i="2"/>
  <c r="C10" i="2"/>
  <c r="B10" i="2"/>
  <c r="C9" i="2"/>
  <c r="B9" i="2"/>
  <c r="C8" i="2"/>
  <c r="B8" i="2"/>
  <c r="B7" i="2"/>
  <c r="C6" i="2"/>
  <c r="B6" i="2"/>
  <c r="B5" i="2"/>
  <c r="C4" i="2"/>
  <c r="B4" i="2"/>
  <c r="C17" i="2" l="1"/>
  <c r="C223" i="1"/>
  <c r="C222" i="1"/>
  <c r="C221" i="1"/>
  <c r="C220" i="1"/>
  <c r="C219" i="1"/>
  <c r="C218" i="1"/>
  <c r="C217" i="1"/>
  <c r="C216" i="1"/>
  <c r="C215" i="1"/>
  <c r="C214" i="1"/>
  <c r="C213" i="1"/>
  <c r="C212" i="1"/>
  <c r="C211" i="1"/>
  <c r="C210" i="1"/>
  <c r="C209" i="1"/>
  <c r="C208" i="1"/>
  <c r="C207" i="1"/>
  <c r="C206" i="1"/>
  <c r="C205" i="1"/>
  <c r="C204" i="1"/>
  <c r="C203" i="1"/>
  <c r="C202" i="1"/>
  <c r="C201" i="1"/>
  <c r="C200" i="1"/>
  <c r="C199" i="1"/>
  <c r="C198" i="1"/>
  <c r="C197" i="1"/>
  <c r="C196" i="1"/>
  <c r="C195" i="1"/>
  <c r="C194" i="1"/>
  <c r="C193" i="1"/>
  <c r="C192" i="1"/>
  <c r="C191" i="1"/>
  <c r="C190" i="1"/>
  <c r="C189" i="1"/>
  <c r="C188" i="1"/>
  <c r="C187" i="1"/>
  <c r="C186" i="1"/>
  <c r="C185" i="1"/>
  <c r="C184" i="1"/>
  <c r="C183" i="1"/>
  <c r="C182" i="1"/>
  <c r="C181" i="1"/>
  <c r="C180" i="1"/>
  <c r="C179" i="1"/>
  <c r="C178" i="1"/>
  <c r="C177" i="1"/>
  <c r="C176" i="1"/>
  <c r="C175" i="1"/>
  <c r="C174" i="1"/>
  <c r="C173" i="1"/>
  <c r="C172" i="1"/>
  <c r="C171" i="1"/>
  <c r="C170" i="1"/>
  <c r="C169" i="1"/>
  <c r="C168" i="1"/>
  <c r="C167" i="1"/>
  <c r="C166" i="1"/>
  <c r="C165" i="1"/>
  <c r="C164" i="1"/>
  <c r="C163" i="1"/>
  <c r="C162" i="1"/>
  <c r="C161" i="1"/>
  <c r="C160" i="1"/>
  <c r="C159" i="1"/>
  <c r="C158" i="1"/>
  <c r="C157" i="1"/>
  <c r="C156" i="1"/>
  <c r="C155" i="1"/>
  <c r="C154" i="1"/>
  <c r="C153" i="1"/>
  <c r="C152" i="1"/>
  <c r="C151" i="1"/>
  <c r="C150" i="1"/>
  <c r="C149" i="1"/>
  <c r="C148" i="1"/>
  <c r="C147" i="1"/>
  <c r="C146" i="1"/>
  <c r="C145" i="1"/>
  <c r="C144" i="1"/>
  <c r="B144" i="1"/>
  <c r="B145" i="1" s="1"/>
  <c r="B146" i="1" s="1"/>
  <c r="B147" i="1" s="1"/>
  <c r="B148" i="1" s="1"/>
  <c r="B149" i="1" s="1"/>
  <c r="B150" i="1" s="1"/>
  <c r="B151" i="1" s="1"/>
  <c r="B152" i="1" s="1"/>
  <c r="B153" i="1" s="1"/>
  <c r="B154" i="1" s="1"/>
  <c r="B155" i="1" s="1"/>
  <c r="B156" i="1" s="1"/>
  <c r="B157" i="1" s="1"/>
  <c r="B158" i="1" s="1"/>
  <c r="B159" i="1" s="1"/>
  <c r="B160" i="1" s="1"/>
  <c r="B161" i="1" s="1"/>
  <c r="B162" i="1" s="1"/>
  <c r="B163" i="1" s="1"/>
  <c r="B164" i="1" s="1"/>
  <c r="B165" i="1" s="1"/>
  <c r="B166" i="1" s="1"/>
  <c r="B167" i="1" s="1"/>
  <c r="B168" i="1" s="1"/>
  <c r="B169" i="1" s="1"/>
  <c r="B170" i="1" s="1"/>
  <c r="B171" i="1" s="1"/>
  <c r="B172" i="1" s="1"/>
  <c r="B173" i="1" s="1"/>
  <c r="B174" i="1" s="1"/>
  <c r="B175" i="1" s="1"/>
  <c r="B176" i="1" s="1"/>
  <c r="B177" i="1" s="1"/>
  <c r="B178" i="1" s="1"/>
  <c r="B179" i="1" s="1"/>
  <c r="B180" i="1" s="1"/>
  <c r="B181" i="1" s="1"/>
  <c r="B182" i="1" s="1"/>
  <c r="B183" i="1" s="1"/>
  <c r="B184" i="1" s="1"/>
  <c r="B185" i="1" s="1"/>
  <c r="B186" i="1" s="1"/>
  <c r="B187" i="1" s="1"/>
  <c r="B188" i="1" s="1"/>
  <c r="B189" i="1" s="1"/>
  <c r="B190" i="1" s="1"/>
  <c r="B191" i="1" s="1"/>
  <c r="B192" i="1" s="1"/>
  <c r="B193" i="1" s="1"/>
  <c r="B194" i="1" s="1"/>
  <c r="B195" i="1" s="1"/>
  <c r="B196" i="1" s="1"/>
  <c r="B197" i="1" s="1"/>
  <c r="B198" i="1" s="1"/>
  <c r="B199" i="1" s="1"/>
  <c r="B200" i="1" s="1"/>
  <c r="B201" i="1" s="1"/>
  <c r="B202" i="1" s="1"/>
  <c r="B203" i="1" s="1"/>
  <c r="B204" i="1" s="1"/>
  <c r="B205" i="1" s="1"/>
  <c r="B206" i="1" s="1"/>
  <c r="B207" i="1" s="1"/>
  <c r="B208" i="1" s="1"/>
  <c r="B209" i="1" s="1"/>
  <c r="B210" i="1" s="1"/>
  <c r="B211" i="1" s="1"/>
  <c r="B212" i="1" s="1"/>
  <c r="B213" i="1" s="1"/>
  <c r="B214" i="1" s="1"/>
  <c r="B215" i="1" s="1"/>
  <c r="B216" i="1" s="1"/>
  <c r="B217" i="1" s="1"/>
  <c r="B218" i="1" s="1"/>
  <c r="B219" i="1" s="1"/>
  <c r="B220" i="1" s="1"/>
  <c r="B221" i="1" s="1"/>
  <c r="B222" i="1" s="1"/>
  <c r="B223" i="1" s="1"/>
  <c r="C143" i="1"/>
  <c r="C140" i="1"/>
  <c r="C138" i="1"/>
  <c r="C137" i="1"/>
  <c r="C136" i="1"/>
  <c r="C135" i="1"/>
  <c r="C125" i="1"/>
  <c r="C122" i="1"/>
  <c r="C121" i="1"/>
  <c r="C120" i="1"/>
  <c r="C119" i="1"/>
  <c r="C118" i="1"/>
  <c r="C117" i="1"/>
  <c r="C116" i="1"/>
  <c r="C115" i="1"/>
  <c r="C114" i="1"/>
  <c r="C113" i="1"/>
  <c r="C112" i="1"/>
  <c r="C111" i="1"/>
  <c r="C110" i="1"/>
  <c r="C109" i="1"/>
  <c r="C108" i="1"/>
  <c r="C107" i="1"/>
  <c r="C106" i="1"/>
  <c r="C105" i="1"/>
  <c r="C104" i="1"/>
  <c r="C103" i="1"/>
  <c r="C102" i="1"/>
  <c r="C101" i="1"/>
  <c r="C100" i="1"/>
  <c r="C99" i="1"/>
  <c r="C98" i="1"/>
  <c r="C97" i="1"/>
  <c r="C96" i="1"/>
  <c r="C93" i="1"/>
  <c r="C92" i="1"/>
  <c r="C91" i="1"/>
  <c r="C90" i="1"/>
  <c r="C89" i="1"/>
  <c r="C88" i="1"/>
  <c r="C87" i="1"/>
  <c r="C86" i="1"/>
  <c r="C85" i="1"/>
  <c r="C82" i="1"/>
  <c r="C81" i="1"/>
  <c r="C80" i="1"/>
  <c r="C79" i="1"/>
  <c r="C78" i="1"/>
  <c r="C77" i="1"/>
  <c r="C76" i="1"/>
  <c r="C75" i="1"/>
  <c r="C74" i="1"/>
  <c r="C73" i="1"/>
  <c r="C72" i="1"/>
  <c r="C71" i="1"/>
  <c r="C70" i="1"/>
  <c r="C69" i="1"/>
  <c r="C68" i="1"/>
  <c r="C67" i="1"/>
  <c r="C66" i="1"/>
  <c r="C65" i="1"/>
  <c r="C64" i="1"/>
  <c r="C63" i="1"/>
  <c r="C62" i="1"/>
  <c r="C61" i="1"/>
  <c r="C60" i="1"/>
  <c r="C59" i="1"/>
  <c r="C58" i="1"/>
  <c r="C57" i="1"/>
  <c r="C56" i="1"/>
  <c r="C55" i="1"/>
  <c r="C54" i="1"/>
  <c r="C53" i="1"/>
  <c r="C52" i="1"/>
  <c r="C51" i="1"/>
  <c r="C50" i="1"/>
  <c r="C49" i="1"/>
  <c r="C48" i="1"/>
  <c r="C47" i="1"/>
  <c r="C46" i="1"/>
  <c r="C45" i="1"/>
  <c r="C44" i="1"/>
  <c r="C43" i="1"/>
  <c r="C42" i="1"/>
  <c r="C41" i="1"/>
  <c r="C38" i="1"/>
  <c r="C37" i="1"/>
  <c r="C36" i="1"/>
  <c r="C35" i="1"/>
  <c r="C34" i="1"/>
  <c r="C33" i="1"/>
  <c r="C32" i="1"/>
  <c r="C31" i="1"/>
  <c r="C30" i="1"/>
  <c r="C29" i="1"/>
  <c r="C28" i="1"/>
  <c r="C23" i="1"/>
  <c r="C22" i="1"/>
  <c r="C21" i="1"/>
  <c r="C20" i="1"/>
  <c r="C19" i="1"/>
  <c r="C18" i="1"/>
  <c r="C13" i="1"/>
  <c r="B13" i="1"/>
  <c r="C12" i="1"/>
  <c r="B12" i="1"/>
  <c r="C11" i="1"/>
  <c r="B11" i="1"/>
  <c r="C10" i="1"/>
  <c r="B10" i="1"/>
  <c r="C9" i="1"/>
  <c r="B9" i="1"/>
  <c r="C8" i="1"/>
  <c r="B8" i="1"/>
  <c r="B7" i="1"/>
  <c r="C6" i="1"/>
  <c r="B6" i="1"/>
  <c r="B5" i="1"/>
  <c r="C4" i="1"/>
  <c r="B4" i="1"/>
  <c r="C17" i="1" l="1"/>
  <c r="C223" i="8"/>
  <c r="C222" i="8"/>
  <c r="C221" i="8"/>
  <c r="C220" i="8"/>
  <c r="C219" i="8"/>
  <c r="C218" i="8"/>
  <c r="C217" i="8"/>
  <c r="C216" i="8"/>
  <c r="C215" i="8"/>
  <c r="C214" i="8"/>
  <c r="C213" i="8"/>
  <c r="C212" i="8"/>
  <c r="C211" i="8"/>
  <c r="C210" i="8"/>
  <c r="C209" i="8"/>
  <c r="C208" i="8"/>
  <c r="C207" i="8"/>
  <c r="C206" i="8"/>
  <c r="C205" i="8"/>
  <c r="C204" i="8"/>
  <c r="C203" i="8"/>
  <c r="C202" i="8"/>
  <c r="C201" i="8"/>
  <c r="C200" i="8"/>
  <c r="C199" i="8"/>
  <c r="C198" i="8"/>
  <c r="C197" i="8"/>
  <c r="C196" i="8"/>
  <c r="C195" i="8"/>
  <c r="C194" i="8"/>
  <c r="C193" i="8"/>
  <c r="C192" i="8"/>
  <c r="C191" i="8"/>
  <c r="C190" i="8"/>
  <c r="C189" i="8"/>
  <c r="C188" i="8"/>
  <c r="C187" i="8"/>
  <c r="C186" i="8"/>
  <c r="C185" i="8"/>
  <c r="C184" i="8"/>
  <c r="C183" i="8"/>
  <c r="C182" i="8"/>
  <c r="C181" i="8"/>
  <c r="C180" i="8"/>
  <c r="C179" i="8"/>
  <c r="C178" i="8"/>
  <c r="C177" i="8"/>
  <c r="C176" i="8"/>
  <c r="C175" i="8"/>
  <c r="C174" i="8"/>
  <c r="C173" i="8"/>
  <c r="C172" i="8"/>
  <c r="C171" i="8"/>
  <c r="C170" i="8"/>
  <c r="C169" i="8"/>
  <c r="C168" i="8"/>
  <c r="C167" i="8"/>
  <c r="C166" i="8"/>
  <c r="C165" i="8"/>
  <c r="C164" i="8"/>
  <c r="C163" i="8"/>
  <c r="C162" i="8"/>
  <c r="C161" i="8"/>
  <c r="C160" i="8"/>
  <c r="C159" i="8"/>
  <c r="C158" i="8"/>
  <c r="C157" i="8"/>
  <c r="C156" i="8"/>
  <c r="C155" i="8"/>
  <c r="C154" i="8"/>
  <c r="C153" i="8"/>
  <c r="C152" i="8"/>
  <c r="C151" i="8"/>
  <c r="C150" i="8"/>
  <c r="C149" i="8"/>
  <c r="C148" i="8"/>
  <c r="C147" i="8"/>
  <c r="C146" i="8"/>
  <c r="C145" i="8"/>
  <c r="C144" i="8"/>
  <c r="B144" i="8"/>
  <c r="B145" i="8" s="1"/>
  <c r="B146" i="8" s="1"/>
  <c r="B147" i="8" s="1"/>
  <c r="B148" i="8" s="1"/>
  <c r="B149" i="8" s="1"/>
  <c r="B150" i="8" s="1"/>
  <c r="B151" i="8" s="1"/>
  <c r="B152" i="8" s="1"/>
  <c r="B153" i="8" s="1"/>
  <c r="B154" i="8" s="1"/>
  <c r="B155" i="8" s="1"/>
  <c r="B156" i="8" s="1"/>
  <c r="B157" i="8" s="1"/>
  <c r="B158" i="8" s="1"/>
  <c r="B159" i="8" s="1"/>
  <c r="B160" i="8" s="1"/>
  <c r="B161" i="8" s="1"/>
  <c r="B162" i="8" s="1"/>
  <c r="B163" i="8" s="1"/>
  <c r="B164" i="8" s="1"/>
  <c r="B165" i="8" s="1"/>
  <c r="B166" i="8" s="1"/>
  <c r="B167" i="8" s="1"/>
  <c r="B168" i="8" s="1"/>
  <c r="B169" i="8" s="1"/>
  <c r="B170" i="8" s="1"/>
  <c r="B171" i="8" s="1"/>
  <c r="B172" i="8" s="1"/>
  <c r="B173" i="8" s="1"/>
  <c r="B174" i="8" s="1"/>
  <c r="B175" i="8" s="1"/>
  <c r="B176" i="8" s="1"/>
  <c r="B177" i="8" s="1"/>
  <c r="B178" i="8" s="1"/>
  <c r="B179" i="8" s="1"/>
  <c r="B180" i="8" s="1"/>
  <c r="B181" i="8" s="1"/>
  <c r="B182" i="8" s="1"/>
  <c r="B183" i="8" s="1"/>
  <c r="B184" i="8" s="1"/>
  <c r="B185" i="8" s="1"/>
  <c r="B186" i="8" s="1"/>
  <c r="B187" i="8" s="1"/>
  <c r="B188" i="8" s="1"/>
  <c r="B189" i="8" s="1"/>
  <c r="B190" i="8" s="1"/>
  <c r="B191" i="8" s="1"/>
  <c r="B192" i="8" s="1"/>
  <c r="B193" i="8" s="1"/>
  <c r="B194" i="8" s="1"/>
  <c r="B195" i="8" s="1"/>
  <c r="B196" i="8" s="1"/>
  <c r="B197" i="8" s="1"/>
  <c r="B198" i="8" s="1"/>
  <c r="B199" i="8" s="1"/>
  <c r="B200" i="8" s="1"/>
  <c r="B201" i="8" s="1"/>
  <c r="B202" i="8" s="1"/>
  <c r="B203" i="8" s="1"/>
  <c r="B204" i="8" s="1"/>
  <c r="B205" i="8" s="1"/>
  <c r="B206" i="8" s="1"/>
  <c r="B207" i="8" s="1"/>
  <c r="B208" i="8" s="1"/>
  <c r="B209" i="8" s="1"/>
  <c r="B210" i="8" s="1"/>
  <c r="B211" i="8" s="1"/>
  <c r="B212" i="8" s="1"/>
  <c r="B213" i="8" s="1"/>
  <c r="B214" i="8" s="1"/>
  <c r="B215" i="8" s="1"/>
  <c r="B216" i="8" s="1"/>
  <c r="B217" i="8" s="1"/>
  <c r="B218" i="8" s="1"/>
  <c r="B219" i="8" s="1"/>
  <c r="B220" i="8" s="1"/>
  <c r="B221" i="8" s="1"/>
  <c r="B222" i="8" s="1"/>
  <c r="B223" i="8" s="1"/>
  <c r="C143" i="8"/>
  <c r="C140" i="8"/>
  <c r="C138" i="8"/>
  <c r="C137" i="8"/>
  <c r="C136" i="8"/>
  <c r="C135" i="8"/>
  <c r="C125" i="8"/>
  <c r="C122" i="8"/>
  <c r="C121" i="8"/>
  <c r="C120" i="8"/>
  <c r="C119" i="8"/>
  <c r="C118" i="8"/>
  <c r="C117" i="8"/>
  <c r="C116" i="8"/>
  <c r="C115" i="8"/>
  <c r="C114" i="8"/>
  <c r="C113" i="8"/>
  <c r="C112" i="8"/>
  <c r="C111" i="8"/>
  <c r="C110" i="8"/>
  <c r="C109" i="8"/>
  <c r="C108" i="8"/>
  <c r="C107" i="8"/>
  <c r="C106" i="8"/>
  <c r="C105" i="8"/>
  <c r="C104" i="8"/>
  <c r="C103" i="8"/>
  <c r="C102" i="8"/>
  <c r="C101" i="8"/>
  <c r="C100" i="8"/>
  <c r="C99" i="8"/>
  <c r="C98" i="8"/>
  <c r="C97" i="8"/>
  <c r="C96" i="8"/>
  <c r="C93" i="8"/>
  <c r="C92" i="8"/>
  <c r="C91" i="8"/>
  <c r="C90" i="8"/>
  <c r="C89" i="8"/>
  <c r="C88" i="8"/>
  <c r="C87" i="8"/>
  <c r="C86" i="8"/>
  <c r="C85" i="8"/>
  <c r="C82" i="8"/>
  <c r="C81" i="8"/>
  <c r="C80" i="8"/>
  <c r="C79" i="8"/>
  <c r="C78" i="8"/>
  <c r="C77" i="8"/>
  <c r="C76" i="8"/>
  <c r="C75" i="8"/>
  <c r="C74" i="8"/>
  <c r="C73" i="8"/>
  <c r="C72" i="8"/>
  <c r="C71" i="8"/>
  <c r="C70" i="8"/>
  <c r="C69" i="8"/>
  <c r="C68" i="8"/>
  <c r="C67" i="8"/>
  <c r="C66" i="8"/>
  <c r="C65" i="8"/>
  <c r="C64" i="8"/>
  <c r="C63" i="8"/>
  <c r="C62" i="8"/>
  <c r="C61" i="8"/>
  <c r="C60" i="8"/>
  <c r="C59" i="8"/>
  <c r="C58" i="8"/>
  <c r="C57" i="8"/>
  <c r="C56" i="8"/>
  <c r="C55" i="8"/>
  <c r="C54" i="8"/>
  <c r="C53" i="8"/>
  <c r="C52" i="8"/>
  <c r="C51" i="8"/>
  <c r="C50" i="8"/>
  <c r="C49" i="8"/>
  <c r="C48" i="8"/>
  <c r="C47" i="8"/>
  <c r="C46" i="8"/>
  <c r="C45" i="8"/>
  <c r="C44" i="8"/>
  <c r="C43" i="8"/>
  <c r="C42" i="8"/>
  <c r="C41" i="8"/>
  <c r="C38" i="8"/>
  <c r="C37" i="8"/>
  <c r="C36" i="8"/>
  <c r="C35" i="8"/>
  <c r="C34" i="8"/>
  <c r="C33" i="8"/>
  <c r="C32" i="8"/>
  <c r="C31" i="8"/>
  <c r="C30" i="8"/>
  <c r="C29" i="8"/>
  <c r="C28" i="8"/>
  <c r="C23" i="8"/>
  <c r="C22" i="8"/>
  <c r="C21" i="8"/>
  <c r="C20" i="8"/>
  <c r="C19" i="8"/>
  <c r="C18" i="8"/>
  <c r="C13" i="8"/>
  <c r="B13" i="8"/>
  <c r="C12" i="8"/>
  <c r="B12" i="8"/>
  <c r="C11" i="8"/>
  <c r="B11" i="8"/>
  <c r="C10" i="8"/>
  <c r="B10" i="8"/>
  <c r="C9" i="8"/>
  <c r="B9" i="8"/>
  <c r="C8" i="8"/>
  <c r="B8" i="8"/>
  <c r="B7" i="8"/>
  <c r="C6" i="8"/>
  <c r="B6" i="8"/>
  <c r="B5" i="8"/>
  <c r="C4" i="8"/>
  <c r="B4" i="8"/>
  <c r="C17" i="8" l="1"/>
</calcChain>
</file>

<file path=xl/sharedStrings.xml><?xml version="1.0" encoding="utf-8"?>
<sst xmlns="http://schemas.openxmlformats.org/spreadsheetml/2006/main" count="5286" uniqueCount="259">
  <si>
    <t>Предельный уровень цены на тепловую энергию (мощность), рассчитанный в соответствии с частью 1 статьи 23.6 Федерального закона от 27.07.2010 № 190-ФЗ "О теплоснабжении" и Постановлением № 1562, а также сведения о параметрах, использованных при расчете</t>
  </si>
  <si>
    <t>Дата:</t>
  </si>
  <si>
    <t>Информация о системе теплоснабжения, в отношении которой выполняется расчет:</t>
  </si>
  <si>
    <t>Предельный уровень цены на тепловую энергию (мощность) и его составляющие, обеспечивающие компенсацию расходов:</t>
  </si>
  <si>
    <t>№пп</t>
  </si>
  <si>
    <t>Наименование</t>
  </si>
  <si>
    <t>Значения</t>
  </si>
  <si>
    <t>Уровень цены на тепловую энергию (мощность) без НДС, руб./Гкал</t>
  </si>
  <si>
    <t>1.1</t>
  </si>
  <si>
    <r>
      <t>Составляющая предельного уровня цены на тепловую энергию (мощность), обеспечивающая компенсацию расходов на топливо при производстве тепловой энергии котельной в i-м расчетном периоде регулирования, руб./Гкал (</t>
    </r>
    <r>
      <rPr>
        <b/>
        <sz val="11"/>
        <color theme="1"/>
        <rFont val="Tahoma"/>
        <family val="2"/>
        <charset val="204"/>
      </rPr>
      <t>РТ</t>
    </r>
    <r>
      <rPr>
        <b/>
        <vertAlign val="subscript"/>
        <sz val="11"/>
        <color theme="1"/>
        <rFont val="Tahoma"/>
        <family val="2"/>
        <charset val="204"/>
      </rPr>
      <t>i</t>
    </r>
    <r>
      <rPr>
        <sz val="10"/>
        <color theme="1"/>
        <rFont val="Tahoma"/>
        <family val="2"/>
        <charset val="204"/>
      </rPr>
      <t>)</t>
    </r>
  </si>
  <si>
    <t>1.2</t>
  </si>
  <si>
    <r>
      <t>Составляющая предельного уровня цены на тепловую энергию (мощность), обеспечивающая возврат капитальных затрат на строительство котельной и тепловых сетей в i-м расчетном периоде регулирования, руб./Гкал (</t>
    </r>
    <r>
      <rPr>
        <b/>
        <sz val="11"/>
        <color theme="1"/>
        <rFont val="Tahoma"/>
        <family val="2"/>
        <charset val="204"/>
      </rPr>
      <t>КР</t>
    </r>
    <r>
      <rPr>
        <b/>
        <vertAlign val="subscript"/>
        <sz val="11"/>
        <color theme="1"/>
        <rFont val="Tahoma"/>
        <family val="2"/>
        <charset val="204"/>
      </rPr>
      <t>i</t>
    </r>
    <r>
      <rPr>
        <sz val="10"/>
        <color theme="1"/>
        <rFont val="Tahoma"/>
        <family val="2"/>
        <charset val="204"/>
      </rPr>
      <t>)</t>
    </r>
  </si>
  <si>
    <t>1.3</t>
  </si>
  <si>
    <r>
      <t>Составляющая предельного уровня цены на тепловую энергию (мощность), обеспечивающая компенсацию расходов на уплату налогов в i-м расчетном периоде регулирования (</t>
    </r>
    <r>
      <rPr>
        <b/>
        <sz val="11"/>
        <color theme="1"/>
        <rFont val="Tahoma"/>
        <family val="2"/>
        <charset val="204"/>
      </rPr>
      <t>Н</t>
    </r>
    <r>
      <rPr>
        <b/>
        <vertAlign val="subscript"/>
        <sz val="11"/>
        <color theme="1"/>
        <rFont val="Tahoma"/>
        <family val="2"/>
        <charset val="204"/>
      </rPr>
      <t>i</t>
    </r>
    <r>
      <rPr>
        <sz val="10"/>
        <color theme="1"/>
        <rFont val="Tahoma"/>
        <family val="2"/>
        <charset val="204"/>
      </rPr>
      <t>)</t>
    </r>
  </si>
  <si>
    <t>1.4</t>
  </si>
  <si>
    <r>
      <t>Составляющая предельного уровня цены на тепловую энергию (мощность), обеспечивающая компенсацию прочих расходов при производстве тепловой энергии котельной в i-м расчетном периоде регулирования, руб./Гкал (</t>
    </r>
    <r>
      <rPr>
        <b/>
        <sz val="11"/>
        <color theme="1"/>
        <rFont val="Tahoma"/>
        <family val="2"/>
        <charset val="204"/>
      </rPr>
      <t>ПР</t>
    </r>
    <r>
      <rPr>
        <b/>
        <vertAlign val="subscript"/>
        <sz val="11"/>
        <color theme="1"/>
        <rFont val="Tahoma"/>
        <family val="2"/>
        <charset val="204"/>
      </rPr>
      <t>i</t>
    </r>
    <r>
      <rPr>
        <sz val="10"/>
        <color theme="1"/>
        <rFont val="Tahoma"/>
        <family val="2"/>
        <charset val="204"/>
      </rPr>
      <t>)</t>
    </r>
  </si>
  <si>
    <t>1.5</t>
  </si>
  <si>
    <r>
      <t>Составляющая предельного уровня цены на тепловую энергию (мощность), обеспечивающая создание резерва по сомнительным долгам в i-м расчетном периоде регулирования, руб./Гкал (</t>
    </r>
    <r>
      <rPr>
        <b/>
        <sz val="11"/>
        <color theme="1"/>
        <rFont val="Tahoma"/>
        <family val="2"/>
        <charset val="204"/>
      </rPr>
      <t>РД</t>
    </r>
    <r>
      <rPr>
        <b/>
        <vertAlign val="subscript"/>
        <sz val="11"/>
        <color theme="1"/>
        <rFont val="Tahoma"/>
        <family val="2"/>
        <charset val="204"/>
      </rPr>
      <t>i</t>
    </r>
    <r>
      <rPr>
        <sz val="10"/>
        <color theme="1"/>
        <rFont val="Tahoma"/>
        <family val="2"/>
        <charset val="204"/>
      </rPr>
      <t>)</t>
    </r>
  </si>
  <si>
    <t>1.6</t>
  </si>
  <si>
    <r>
      <t xml:space="preserve">Составляющая предельного уровня цены на тепловую энергию (мощность), обеспечивающая учет отклонений фактических показателей от прогнозных показателей, используемых при расчете предельного уровня цены на тепловую энергию (мощность), в i-м расчетном периоде регулирования, руб./Гкал </t>
    </r>
    <r>
      <rPr>
        <sz val="10"/>
        <color theme="1"/>
        <rFont val="Tahoma"/>
        <family val="2"/>
        <charset val="204"/>
      </rPr>
      <t>(</t>
    </r>
    <r>
      <rPr>
        <b/>
        <sz val="11"/>
        <color theme="1"/>
        <rFont val="Calibri"/>
        <family val="2"/>
        <charset val="204"/>
      </rPr>
      <t>Δ</t>
    </r>
    <r>
      <rPr>
        <b/>
        <sz val="11"/>
        <color theme="1"/>
        <rFont val="Tahoma"/>
        <family val="2"/>
        <charset val="204"/>
      </rPr>
      <t>B</t>
    </r>
    <r>
      <rPr>
        <b/>
        <vertAlign val="subscript"/>
        <sz val="11"/>
        <color theme="1"/>
        <rFont val="Tahoma"/>
        <family val="2"/>
        <charset val="204"/>
      </rPr>
      <t>i</t>
    </r>
    <r>
      <rPr>
        <sz val="10"/>
        <color theme="1"/>
        <rFont val="Tahoma"/>
        <family val="2"/>
        <charset val="204"/>
      </rPr>
      <t>)</t>
    </r>
  </si>
  <si>
    <t>Параметры, использованные при расчете составляющей предельного уровня цены на тепловую энергию (мощность), обеспечивающей компенсацию расходов на топливо при производстве тепловой энергии котельной в i-м расчетном периоде регулирования</t>
  </si>
  <si>
    <t>Низшая теплота сгорания натурального топлива (угля), ккал/кг</t>
  </si>
  <si>
    <r>
      <t>Фактическая цена на топливо (уголь), используемое при производстве тепловой энергии котельной, с учетом затрат на его доставку, сложившаяся в системе теплоснабжения в (i-2)-м расчетном периоде регулирования, без НДС, руб. / т н.т. (</t>
    </r>
    <r>
      <rPr>
        <b/>
        <sz val="11"/>
        <color theme="1"/>
        <rFont val="Tahoma"/>
        <family val="2"/>
        <charset val="204"/>
      </rPr>
      <t>ЦТ</t>
    </r>
    <r>
      <rPr>
        <b/>
        <vertAlign val="subscript"/>
        <sz val="11"/>
        <color theme="1"/>
        <rFont val="Tahoma"/>
        <family val="2"/>
        <charset val="204"/>
      </rPr>
      <t>i-2,k</t>
    </r>
    <r>
      <rPr>
        <b/>
        <vertAlign val="superscript"/>
        <sz val="11"/>
        <color theme="1"/>
        <rFont val="Tahoma"/>
        <family val="2"/>
        <charset val="204"/>
      </rPr>
      <t>ф, нат.</t>
    </r>
    <r>
      <rPr>
        <sz val="10"/>
        <color theme="1"/>
        <rFont val="Tahoma"/>
        <family val="2"/>
        <charset val="204"/>
      </rPr>
      <t>)</t>
    </r>
  </si>
  <si>
    <r>
      <t>Прогнозный индекс роста цены на топливо в (i-1)-м расчетном периоде регулирования, % (</t>
    </r>
    <r>
      <rPr>
        <b/>
        <sz val="11"/>
        <color theme="1"/>
        <rFont val="Tahoma"/>
        <family val="2"/>
        <charset val="204"/>
      </rPr>
      <t>I</t>
    </r>
    <r>
      <rPr>
        <b/>
        <vertAlign val="subscript"/>
        <sz val="11"/>
        <color theme="1"/>
        <rFont val="Tahoma"/>
        <family val="2"/>
        <charset val="204"/>
      </rPr>
      <t>i-1,k</t>
    </r>
    <r>
      <rPr>
        <b/>
        <vertAlign val="superscript"/>
        <sz val="11"/>
        <color theme="1"/>
        <rFont val="Tahoma"/>
        <family val="2"/>
        <charset val="204"/>
      </rPr>
      <t>П</t>
    </r>
    <r>
      <rPr>
        <sz val="10"/>
        <color theme="1"/>
        <rFont val="Tahoma"/>
        <family val="2"/>
        <charset val="204"/>
      </rPr>
      <t>)</t>
    </r>
  </si>
  <si>
    <r>
      <t>Прогнозный индекс роста цены на топливо в i-м расчетном периоде регулирования, % (</t>
    </r>
    <r>
      <rPr>
        <b/>
        <sz val="11"/>
        <color theme="1"/>
        <rFont val="Tahoma"/>
        <family val="2"/>
        <charset val="204"/>
      </rPr>
      <t>I</t>
    </r>
    <r>
      <rPr>
        <b/>
        <vertAlign val="subscript"/>
        <sz val="11"/>
        <color theme="1"/>
        <rFont val="Tahoma"/>
        <family val="2"/>
        <charset val="204"/>
      </rPr>
      <t>i,k</t>
    </r>
    <r>
      <rPr>
        <b/>
        <vertAlign val="superscript"/>
        <sz val="11"/>
        <color theme="1"/>
        <rFont val="Tahoma"/>
        <family val="2"/>
        <charset val="204"/>
      </rPr>
      <t>П</t>
    </r>
    <r>
      <rPr>
        <sz val="10"/>
        <color theme="1"/>
        <rFont val="Tahoma"/>
        <family val="2"/>
        <charset val="204"/>
      </rPr>
      <t>)</t>
    </r>
  </si>
  <si>
    <r>
      <t>Удельный расход условного топлива при производстве тепловой энергии котельной с использованием угля в i-м расчетном периоде регулирования, кг у.т./Гкал (</t>
    </r>
    <r>
      <rPr>
        <b/>
        <i/>
        <sz val="11"/>
        <color theme="1"/>
        <rFont val="Tahoma"/>
        <family val="2"/>
        <charset val="204"/>
      </rPr>
      <t>b</t>
    </r>
    <r>
      <rPr>
        <b/>
        <i/>
        <vertAlign val="subscript"/>
        <sz val="11"/>
        <color theme="1"/>
        <rFont val="Tahoma"/>
        <family val="2"/>
        <charset val="204"/>
      </rPr>
      <t>i,k</t>
    </r>
    <r>
      <rPr>
        <i/>
        <sz val="10"/>
        <color theme="1"/>
        <rFont val="Tahoma"/>
        <family val="2"/>
        <charset val="204"/>
      </rPr>
      <t>)</t>
    </r>
  </si>
  <si>
    <t>Низшая теплота сгорания 1 кг условного топлива</t>
  </si>
  <si>
    <t>1.7</t>
  </si>
  <si>
    <r>
      <t>Коэффициент перевода натурального топлива в условное топливо, кг у.т./кг (</t>
    </r>
    <r>
      <rPr>
        <b/>
        <sz val="11"/>
        <color theme="1"/>
        <rFont val="Tahoma"/>
        <family val="2"/>
        <charset val="204"/>
      </rPr>
      <t>К</t>
    </r>
    <r>
      <rPr>
        <sz val="10"/>
        <color theme="1"/>
        <rFont val="Tahoma"/>
        <family val="2"/>
        <charset val="204"/>
      </rPr>
      <t>)</t>
    </r>
  </si>
  <si>
    <t>1.8</t>
  </si>
  <si>
    <r>
      <t>Объем отпуска тепловой энергии с коллекторов котельной (</t>
    </r>
    <r>
      <rPr>
        <b/>
        <sz val="11"/>
        <rFont val="Tahoma"/>
        <family val="2"/>
        <charset val="204"/>
      </rPr>
      <t>Q</t>
    </r>
    <r>
      <rPr>
        <b/>
        <vertAlign val="superscript"/>
        <sz val="11"/>
        <rFont val="Tahoma"/>
        <family val="2"/>
        <charset val="204"/>
      </rPr>
      <t>ОТП</t>
    </r>
    <r>
      <rPr>
        <sz val="10"/>
        <rFont val="Tahoma"/>
        <family val="2"/>
        <charset val="204"/>
      </rPr>
      <t>)</t>
    </r>
  </si>
  <si>
    <t>1.8.1</t>
  </si>
  <si>
    <r>
      <t>Объем полезного отпуска тепловой энергии котельной (</t>
    </r>
    <r>
      <rPr>
        <b/>
        <sz val="11"/>
        <color theme="1"/>
        <rFont val="Tahoma"/>
        <family val="2"/>
        <charset val="204"/>
      </rPr>
      <t>Q</t>
    </r>
    <r>
      <rPr>
        <b/>
        <vertAlign val="superscript"/>
        <sz val="11"/>
        <color theme="1"/>
        <rFont val="Tahoma"/>
        <family val="2"/>
        <charset val="204"/>
      </rPr>
      <t>ПО</t>
    </r>
    <r>
      <rPr>
        <sz val="10"/>
        <color theme="1"/>
        <rFont val="Tahoma"/>
        <family val="2"/>
        <charset val="204"/>
      </rPr>
      <t>)</t>
    </r>
  </si>
  <si>
    <t>1.8.2</t>
  </si>
  <si>
    <r>
      <t>Коэффициент учета потерь тепловой энергии в тепловых сетях(</t>
    </r>
    <r>
      <rPr>
        <b/>
        <i/>
        <sz val="10"/>
        <color theme="1"/>
        <rFont val="Tahoma"/>
        <family val="2"/>
        <charset val="204"/>
      </rPr>
      <t>К</t>
    </r>
    <r>
      <rPr>
        <b/>
        <i/>
        <vertAlign val="superscript"/>
        <sz val="10"/>
        <color theme="1"/>
        <rFont val="Tahoma"/>
        <family val="2"/>
        <charset val="204"/>
      </rPr>
      <t>П</t>
    </r>
    <r>
      <rPr>
        <i/>
        <sz val="10"/>
        <color theme="1"/>
        <rFont val="Tahoma"/>
        <family val="2"/>
        <charset val="204"/>
      </rPr>
      <t>)</t>
    </r>
  </si>
  <si>
    <t>1.9</t>
  </si>
  <si>
    <r>
      <t>Коэффициент учета стоимости транспортных услуг, оказываемых на подъездных железнодорожных путях организациями промышленного железнодорожного транспорта и другими хозяйствующими субъектами независимо от организационно-правовой формы, за исключением организаций федерального железнодорожного транспорта (</t>
    </r>
    <r>
      <rPr>
        <b/>
        <i/>
        <sz val="10"/>
        <color theme="1"/>
        <rFont val="Tahoma"/>
        <family val="2"/>
        <charset val="204"/>
      </rPr>
      <t>К</t>
    </r>
    <r>
      <rPr>
        <b/>
        <i/>
        <vertAlign val="superscript"/>
        <sz val="10"/>
        <color theme="1"/>
        <rFont val="Tahoma"/>
        <family val="2"/>
        <charset val="204"/>
      </rPr>
      <t>ппжт</t>
    </r>
    <r>
      <rPr>
        <i/>
        <sz val="10"/>
        <color theme="1"/>
        <rFont val="Tahoma"/>
        <family val="2"/>
        <charset val="204"/>
      </rPr>
      <t xml:space="preserve">) </t>
    </r>
  </si>
  <si>
    <t>2</t>
  </si>
  <si>
    <t>Параметры, использованные при расчете составляющей предельного уровня цены на тепловую энергию (мощность), обеспечивающей возврат капитальных затрат на строительство котельной и тепловых сетей в i-м расчетном периоде регулирования</t>
  </si>
  <si>
    <t>2.1</t>
  </si>
  <si>
    <t>Температурная зона, к которой относится поселение или городской округ, на территории которого находится система теплоснабжения</t>
  </si>
  <si>
    <t>2.2</t>
  </si>
  <si>
    <t>Степень сейсмической опасности сейсмического района, к которому относится поселение или городской округ, на территории которого находится система теплоснабжения</t>
  </si>
  <si>
    <t>2.3</t>
  </si>
  <si>
    <t>Расстояние от границы системы теплоснабжения до границы ближайшего административного центра субъекта Российской Федерации с железнодорожным сообщением, км</t>
  </si>
  <si>
    <t>2.4</t>
  </si>
  <si>
    <t>Поселение, городской округ, на территории которого находится система теплоснабжения, отнесено к территории распространения вечномерзлых грунтов?</t>
  </si>
  <si>
    <t>2.5</t>
  </si>
  <si>
    <r>
      <t>Величина капитальных затрат на строительство тепловых сетей в i-м расчетном периоде регулирования, тыс. руб. (</t>
    </r>
    <r>
      <rPr>
        <b/>
        <sz val="11"/>
        <color theme="1"/>
        <rFont val="Tahoma"/>
        <family val="2"/>
        <charset val="204"/>
      </rPr>
      <t>КЗ</t>
    </r>
    <r>
      <rPr>
        <b/>
        <vertAlign val="subscript"/>
        <sz val="11"/>
        <color theme="1"/>
        <rFont val="Tahoma"/>
        <family val="2"/>
        <charset val="204"/>
      </rPr>
      <t>i</t>
    </r>
    <r>
      <rPr>
        <b/>
        <vertAlign val="superscript"/>
        <sz val="11"/>
        <color theme="1"/>
        <rFont val="Tahoma"/>
        <family val="2"/>
        <charset val="204"/>
      </rPr>
      <t>сети</t>
    </r>
    <r>
      <rPr>
        <sz val="10"/>
        <color theme="1"/>
        <rFont val="Tahoma"/>
        <family val="2"/>
        <charset val="204"/>
      </rPr>
      <t>)</t>
    </r>
  </si>
  <si>
    <t>2.5.1</t>
  </si>
  <si>
    <r>
      <t xml:space="preserve">Базовая величина капитальных затрат на строительство тепловых сетей в базовом (2019) году, тыс. руб. </t>
    </r>
    <r>
      <rPr>
        <sz val="11"/>
        <color theme="1"/>
        <rFont val="Tahoma"/>
        <family val="2"/>
        <charset val="204"/>
      </rPr>
      <t>(</t>
    </r>
    <r>
      <rPr>
        <b/>
        <sz val="11"/>
        <color theme="1"/>
        <rFont val="Tahoma"/>
        <family val="2"/>
        <charset val="204"/>
      </rPr>
      <t>КЗ</t>
    </r>
    <r>
      <rPr>
        <b/>
        <vertAlign val="subscript"/>
        <sz val="11"/>
        <color theme="1"/>
        <rFont val="Tahoma"/>
        <family val="2"/>
        <charset val="204"/>
      </rPr>
      <t>б</t>
    </r>
    <r>
      <rPr>
        <b/>
        <vertAlign val="superscript"/>
        <sz val="11"/>
        <color theme="1"/>
        <rFont val="Tahoma"/>
        <family val="2"/>
        <charset val="204"/>
      </rPr>
      <t>сети(б)</t>
    </r>
    <r>
      <rPr>
        <sz val="11"/>
        <color theme="1"/>
        <rFont val="Tahoma"/>
        <family val="2"/>
        <charset val="204"/>
      </rPr>
      <t>)</t>
    </r>
  </si>
  <si>
    <t>2.5.1.1</t>
  </si>
  <si>
    <t>Расчетная температура наружного воздуха, которая соответствует температуре воздуха наиболее холодной пятидневки, в поселении, городском округе,°C</t>
  </si>
  <si>
    <t>2.5.1.2</t>
  </si>
  <si>
    <t>Поселение, городской округ, на территории которого находится система теплоснабжения, отнесено к районам Крайнего Севера или местностям, приравненным к районам Крайнего Севера?</t>
  </si>
  <si>
    <t>2.5.1.3</t>
  </si>
  <si>
    <r>
      <t>Сметная стоимость строительно-монтажных и пусконаладочных работ по объекту строительства "Внешние инженерные сети теплоснабжения", учитывающая прямые затраты, накладные расходы и сметную прибыль, в ценах 2001 года,тыс. рублей (</t>
    </r>
    <r>
      <rPr>
        <b/>
        <i/>
        <sz val="10"/>
        <color indexed="8"/>
        <rFont val="Tahoma"/>
        <family val="2"/>
        <charset val="204"/>
      </rPr>
      <t>Р</t>
    </r>
    <r>
      <rPr>
        <i/>
        <sz val="10"/>
        <color indexed="8"/>
        <rFont val="Tahoma"/>
        <family val="2"/>
        <charset val="204"/>
      </rPr>
      <t>)</t>
    </r>
  </si>
  <si>
    <t>2.5.1.4</t>
  </si>
  <si>
    <r>
      <t>Индекс изменения сметной стоимости строительно-монтажных и пусконаладочных работ по объекту строительства "Внешние инженерные сети теплоснабжения" на базовый год (</t>
    </r>
    <r>
      <rPr>
        <b/>
        <i/>
        <sz val="10"/>
        <color theme="1"/>
        <rFont val="Tahoma"/>
        <family val="2"/>
        <charset val="204"/>
      </rPr>
      <t>И</t>
    </r>
    <r>
      <rPr>
        <i/>
        <sz val="10"/>
        <color theme="1"/>
        <rFont val="Tahoma"/>
        <family val="2"/>
        <charset val="204"/>
      </rPr>
      <t>)</t>
    </r>
  </si>
  <si>
    <t>2.5.1.5</t>
  </si>
  <si>
    <r>
      <t>Коэффициент, применяемый для учета повышенной нормы накладных расходов к индексам изменения сметной стоимости строительно-монтажных и пусконаладочных работ в базовом году в случае отнесения поселения, городского округа к районам Крайнего Севера или местностям, приравненным к районам Крайнего Севера (</t>
    </r>
    <r>
      <rPr>
        <b/>
        <sz val="10"/>
        <color theme="1"/>
        <rFont val="Tahoma"/>
        <family val="2"/>
        <charset val="204"/>
      </rPr>
      <t>К</t>
    </r>
    <r>
      <rPr>
        <b/>
        <vertAlign val="superscript"/>
        <sz val="10"/>
        <color theme="1"/>
        <rFont val="Tahoma"/>
        <family val="2"/>
        <charset val="204"/>
      </rPr>
      <t>кс</t>
    </r>
    <r>
      <rPr>
        <sz val="10"/>
        <color theme="1"/>
        <rFont val="Tahoma"/>
        <family val="2"/>
        <charset val="204"/>
      </rPr>
      <t>)</t>
    </r>
  </si>
  <si>
    <t>2.5.1.6</t>
  </si>
  <si>
    <r>
      <t>Базовая величина капитальных затрат на основные средства тепловых сетей в базовом году, тыс.рублей (</t>
    </r>
    <r>
      <rPr>
        <b/>
        <i/>
        <sz val="10"/>
        <color theme="1"/>
        <rFont val="Tahoma"/>
        <family val="2"/>
        <charset val="204"/>
      </rPr>
      <t>КЗО</t>
    </r>
    <r>
      <rPr>
        <b/>
        <i/>
        <vertAlign val="subscript"/>
        <sz val="10"/>
        <color theme="1"/>
        <rFont val="Tahoma"/>
        <family val="2"/>
        <charset val="204"/>
      </rPr>
      <t>б</t>
    </r>
    <r>
      <rPr>
        <b/>
        <i/>
        <vertAlign val="superscript"/>
        <sz val="10"/>
        <color theme="1"/>
        <rFont val="Tahoma"/>
        <family val="2"/>
        <charset val="204"/>
      </rPr>
      <t>сети(б)</t>
    </r>
    <r>
      <rPr>
        <i/>
        <sz val="10"/>
        <color theme="1"/>
        <rFont val="Tahoma"/>
        <family val="2"/>
        <charset val="204"/>
      </rPr>
      <t>)</t>
    </r>
  </si>
  <si>
    <t>2.5.1.7</t>
  </si>
  <si>
    <r>
      <t>Сметная норма дополнительных затрат по виду строительства "Энергетическое строительство. Тепловые сети",% (</t>
    </r>
    <r>
      <rPr>
        <b/>
        <sz val="10"/>
        <color theme="1"/>
        <rFont val="Tahoma"/>
        <family val="2"/>
        <charset val="204"/>
      </rPr>
      <t>z</t>
    </r>
    <r>
      <rPr>
        <sz val="10"/>
        <color theme="1"/>
        <rFont val="Tahoma"/>
        <family val="2"/>
        <charset val="204"/>
      </rPr>
      <t>)</t>
    </r>
  </si>
  <si>
    <t>2.5.1.8</t>
  </si>
  <si>
    <r>
      <t>Коэффициент к сметным нормам по видам строительства (</t>
    </r>
    <r>
      <rPr>
        <b/>
        <sz val="10"/>
        <color theme="1"/>
        <rFont val="Tahoma"/>
        <family val="2"/>
        <charset val="204"/>
      </rPr>
      <t>h</t>
    </r>
    <r>
      <rPr>
        <sz val="10"/>
        <color theme="1"/>
        <rFont val="Tahoma"/>
        <family val="2"/>
        <charset val="204"/>
      </rPr>
      <t>)</t>
    </r>
  </si>
  <si>
    <t>2.5.2</t>
  </si>
  <si>
    <r>
      <t>Коэффициент сейсмического влияния для тепловых сетей (</t>
    </r>
    <r>
      <rPr>
        <b/>
        <i/>
        <sz val="11"/>
        <color theme="1"/>
        <rFont val="Tahoma"/>
        <family val="2"/>
        <charset val="204"/>
      </rPr>
      <t>К</t>
    </r>
    <r>
      <rPr>
        <b/>
        <i/>
        <vertAlign val="superscript"/>
        <sz val="11"/>
        <color theme="1"/>
        <rFont val="Tahoma"/>
        <family val="2"/>
        <charset val="204"/>
      </rPr>
      <t>сети,с</t>
    </r>
    <r>
      <rPr>
        <i/>
        <sz val="10"/>
        <color theme="1"/>
        <rFont val="Tahoma"/>
        <family val="2"/>
        <charset val="204"/>
      </rPr>
      <t>)</t>
    </r>
  </si>
  <si>
    <t>2.6</t>
  </si>
  <si>
    <r>
      <t>Величина капитальных затрат на строительство котельной с использованием угля в i-м расчетном периоде регулирования, тыс. руб. (</t>
    </r>
    <r>
      <rPr>
        <b/>
        <sz val="11"/>
        <color theme="1"/>
        <rFont val="Tahoma"/>
        <family val="2"/>
        <charset val="204"/>
      </rPr>
      <t>КЗ</t>
    </r>
    <r>
      <rPr>
        <b/>
        <vertAlign val="subscript"/>
        <sz val="11"/>
        <color theme="1"/>
        <rFont val="Tahoma"/>
        <family val="2"/>
        <charset val="204"/>
      </rPr>
      <t>i,k</t>
    </r>
    <r>
      <rPr>
        <b/>
        <vertAlign val="superscript"/>
        <sz val="11"/>
        <color theme="1"/>
        <rFont val="Tahoma"/>
        <family val="2"/>
        <charset val="204"/>
      </rPr>
      <t>кот</t>
    </r>
    <r>
      <rPr>
        <sz val="10"/>
        <color theme="1"/>
        <rFont val="Tahoma"/>
        <family val="2"/>
        <charset val="204"/>
      </rPr>
      <t>)</t>
    </r>
  </si>
  <si>
    <t>2.6.1</t>
  </si>
  <si>
    <r>
      <t>Базовая величина капитальных затрат на строительство котельной с использованием угля в базовом (2019) году (</t>
    </r>
    <r>
      <rPr>
        <b/>
        <i/>
        <sz val="11"/>
        <color theme="1"/>
        <rFont val="Tahoma"/>
        <family val="2"/>
        <charset val="204"/>
      </rPr>
      <t>КЗ</t>
    </r>
    <r>
      <rPr>
        <b/>
        <i/>
        <vertAlign val="subscript"/>
        <sz val="11"/>
        <color theme="1"/>
        <rFont val="Tahoma"/>
        <family val="2"/>
        <charset val="204"/>
      </rPr>
      <t>б,k</t>
    </r>
    <r>
      <rPr>
        <b/>
        <i/>
        <vertAlign val="superscript"/>
        <sz val="11"/>
        <color theme="1"/>
        <rFont val="Tahoma"/>
        <family val="2"/>
        <charset val="204"/>
      </rPr>
      <t>кот(б)</t>
    </r>
    <r>
      <rPr>
        <i/>
        <sz val="10"/>
        <color theme="1"/>
        <rFont val="Tahoma"/>
        <family val="2"/>
        <charset val="204"/>
      </rPr>
      <t>)</t>
    </r>
  </si>
  <si>
    <t>2.6.2</t>
  </si>
  <si>
    <r>
      <t>Коэффициент температурной зоны для котельной (</t>
    </r>
    <r>
      <rPr>
        <b/>
        <i/>
        <sz val="11"/>
        <color theme="1"/>
        <rFont val="Tahoma"/>
        <family val="2"/>
        <charset val="204"/>
      </rPr>
      <t>К</t>
    </r>
    <r>
      <rPr>
        <b/>
        <i/>
        <vertAlign val="superscript"/>
        <sz val="11"/>
        <color theme="1"/>
        <rFont val="Tahoma"/>
        <family val="2"/>
        <charset val="204"/>
      </rPr>
      <t>кот,т</t>
    </r>
    <r>
      <rPr>
        <i/>
        <sz val="10"/>
        <color theme="1"/>
        <rFont val="Tahoma"/>
        <family val="2"/>
        <charset val="204"/>
      </rPr>
      <t>)</t>
    </r>
  </si>
  <si>
    <t>2.6.3</t>
  </si>
  <si>
    <r>
      <t>Коэффициент сейсмического влияния для котельной(</t>
    </r>
    <r>
      <rPr>
        <b/>
        <i/>
        <sz val="11"/>
        <color theme="1"/>
        <rFont val="Tahoma"/>
        <family val="2"/>
        <charset val="204"/>
      </rPr>
      <t>К</t>
    </r>
    <r>
      <rPr>
        <b/>
        <i/>
        <vertAlign val="superscript"/>
        <sz val="11"/>
        <color theme="1"/>
        <rFont val="Tahoma"/>
        <family val="2"/>
        <charset val="204"/>
      </rPr>
      <t>кот,с</t>
    </r>
    <r>
      <rPr>
        <i/>
        <sz val="10"/>
        <color theme="1"/>
        <rFont val="Tahoma"/>
        <family val="2"/>
        <charset val="204"/>
      </rPr>
      <t>)</t>
    </r>
  </si>
  <si>
    <t>2.6.4</t>
  </si>
  <si>
    <r>
      <t>Коэффициент влияния расстояния на транспортировку основных средств котельной (</t>
    </r>
    <r>
      <rPr>
        <b/>
        <i/>
        <sz val="11"/>
        <color theme="1"/>
        <rFont val="Tahoma"/>
        <family val="2"/>
        <charset val="204"/>
      </rPr>
      <t>К</t>
    </r>
    <r>
      <rPr>
        <b/>
        <i/>
        <vertAlign val="subscript"/>
        <sz val="11"/>
        <color theme="1"/>
        <rFont val="Tahoma"/>
        <family val="2"/>
        <charset val="204"/>
      </rPr>
      <t>тр</t>
    </r>
    <r>
      <rPr>
        <i/>
        <sz val="10"/>
        <color theme="1"/>
        <rFont val="Tahoma"/>
        <family val="2"/>
        <charset val="204"/>
      </rPr>
      <t>)</t>
    </r>
  </si>
  <si>
    <t>2.6.5</t>
  </si>
  <si>
    <r>
      <t>Срок возврата инвестированного капитала, лет (</t>
    </r>
    <r>
      <rPr>
        <b/>
        <i/>
        <sz val="11"/>
        <color theme="1"/>
        <rFont val="Tahoma"/>
        <family val="2"/>
        <charset val="204"/>
      </rPr>
      <t>СВК</t>
    </r>
    <r>
      <rPr>
        <i/>
        <sz val="10"/>
        <color theme="1"/>
        <rFont val="Tahoma"/>
        <family val="2"/>
        <charset val="204"/>
      </rPr>
      <t>)</t>
    </r>
  </si>
  <si>
    <t>2.7</t>
  </si>
  <si>
    <r>
      <t>Стоимость земельного участка для размещения котельной в i-м расчетном периоде регулирования, тыс.руб. (</t>
    </r>
    <r>
      <rPr>
        <b/>
        <sz val="11"/>
        <color theme="1"/>
        <rFont val="Tahoma"/>
        <family val="2"/>
        <charset val="204"/>
      </rPr>
      <t>З</t>
    </r>
    <r>
      <rPr>
        <b/>
        <vertAlign val="subscript"/>
        <sz val="11"/>
        <color theme="1"/>
        <rFont val="Tahoma"/>
        <family val="2"/>
        <charset val="204"/>
      </rPr>
      <t>i,k</t>
    </r>
    <r>
      <rPr>
        <sz val="10"/>
        <color theme="1"/>
        <rFont val="Tahoma"/>
        <family val="2"/>
        <charset val="204"/>
      </rPr>
      <t>)</t>
    </r>
  </si>
  <si>
    <t>2.7.1</t>
  </si>
  <si>
    <r>
      <t>Удельная базовая стоимость земельного участка,тыс. руб./ кв. м (</t>
    </r>
    <r>
      <rPr>
        <b/>
        <sz val="11"/>
        <color theme="1"/>
        <rFont val="Tahoma"/>
        <family val="2"/>
        <charset val="204"/>
      </rPr>
      <t>Р</t>
    </r>
    <r>
      <rPr>
        <b/>
        <vertAlign val="subscript"/>
        <sz val="11"/>
        <color theme="1"/>
        <rFont val="Tahoma"/>
        <family val="2"/>
        <charset val="204"/>
      </rPr>
      <t>k,б</t>
    </r>
    <r>
      <rPr>
        <sz val="10"/>
        <color theme="1"/>
        <rFont val="Tahoma"/>
        <family val="2"/>
        <charset val="204"/>
      </rPr>
      <t>)</t>
    </r>
  </si>
  <si>
    <t>2.7.2</t>
  </si>
  <si>
    <r>
      <t>Площадь земельного участка для размещения котельной с использованием угля, кв. м (</t>
    </r>
    <r>
      <rPr>
        <b/>
        <i/>
        <sz val="11"/>
        <color theme="1"/>
        <rFont val="Tahoma"/>
        <family val="2"/>
        <charset val="204"/>
      </rPr>
      <t>S</t>
    </r>
    <r>
      <rPr>
        <b/>
        <i/>
        <vertAlign val="subscript"/>
        <sz val="11"/>
        <color theme="1"/>
        <rFont val="Tahoma"/>
        <family val="2"/>
        <charset val="204"/>
      </rPr>
      <t>k</t>
    </r>
    <r>
      <rPr>
        <i/>
        <sz val="10"/>
        <color theme="1"/>
        <rFont val="Tahoma"/>
        <family val="2"/>
        <charset val="204"/>
      </rPr>
      <t>)</t>
    </r>
  </si>
  <si>
    <t>2.8</t>
  </si>
  <si>
    <r>
      <t>Затраты на подключение (технологическое присоединение) котельной с использованием угля к электрическим сетям, к централизованной системе водоснабжения и водоотведения в i-м расчетном периоде регулирования, тыс. руб. (</t>
    </r>
    <r>
      <rPr>
        <b/>
        <sz val="11"/>
        <color theme="1"/>
        <rFont val="Tahoma"/>
        <family val="2"/>
        <charset val="204"/>
      </rPr>
      <t>ТП</t>
    </r>
    <r>
      <rPr>
        <b/>
        <vertAlign val="subscript"/>
        <sz val="11"/>
        <color theme="1"/>
        <rFont val="Tahoma"/>
        <family val="2"/>
        <charset val="204"/>
      </rPr>
      <t>i,k</t>
    </r>
    <r>
      <rPr>
        <sz val="10"/>
        <color theme="1"/>
        <rFont val="Tahoma"/>
        <family val="2"/>
        <charset val="204"/>
      </rPr>
      <t>)</t>
    </r>
  </si>
  <si>
    <t>2.8.1</t>
  </si>
  <si>
    <r>
      <t>Базовая величина затрат на подключение (технологическое присоединение) котельной с использованием угля к электрическим сетям (</t>
    </r>
    <r>
      <rPr>
        <b/>
        <i/>
        <sz val="11"/>
        <color theme="1"/>
        <rFont val="Tahoma"/>
        <family val="2"/>
        <charset val="204"/>
      </rPr>
      <t>ТП</t>
    </r>
    <r>
      <rPr>
        <b/>
        <i/>
        <vertAlign val="subscript"/>
        <sz val="11"/>
        <color theme="1"/>
        <rFont val="Tahoma"/>
        <family val="2"/>
        <charset val="204"/>
      </rPr>
      <t>б,k</t>
    </r>
    <r>
      <rPr>
        <b/>
        <i/>
        <vertAlign val="superscript"/>
        <sz val="11"/>
        <color theme="1"/>
        <rFont val="Tahoma"/>
        <family val="2"/>
        <charset val="204"/>
      </rPr>
      <t>эс</t>
    </r>
    <r>
      <rPr>
        <i/>
        <sz val="10"/>
        <color theme="1"/>
        <rFont val="Tahoma"/>
        <family val="2"/>
        <charset val="204"/>
      </rPr>
      <t>)</t>
    </r>
  </si>
  <si>
    <t>2.8.2</t>
  </si>
  <si>
    <r>
      <t>Затраты на подключение (технологическое присоединение) котельной к централизованной системе водоснабжения в базовом (2019) году, тыс. руб. (</t>
    </r>
    <r>
      <rPr>
        <b/>
        <sz val="11"/>
        <color theme="1"/>
        <rFont val="Tahoma"/>
        <family val="2"/>
        <charset val="204"/>
      </rPr>
      <t>ТП</t>
    </r>
    <r>
      <rPr>
        <b/>
        <vertAlign val="subscript"/>
        <sz val="11"/>
        <color theme="1"/>
        <rFont val="Tahoma"/>
        <family val="2"/>
        <charset val="204"/>
      </rPr>
      <t>б</t>
    </r>
    <r>
      <rPr>
        <b/>
        <vertAlign val="superscript"/>
        <sz val="11"/>
        <color theme="1"/>
        <rFont val="Tahoma"/>
        <family val="2"/>
        <charset val="204"/>
      </rPr>
      <t>вс</t>
    </r>
    <r>
      <rPr>
        <sz val="10"/>
        <color theme="1"/>
        <rFont val="Tahoma"/>
        <family val="2"/>
        <charset val="204"/>
      </rPr>
      <t>)</t>
    </r>
  </si>
  <si>
    <t>2.8.2.1</t>
  </si>
  <si>
    <t>Гарантирующая организация в сфере холодного водоснабжения, обеспечивающая максимальный объем отпуска воды в поселении, городском округе, на территории которого находится система теплоснабжения</t>
  </si>
  <si>
    <t>2.8.2.2</t>
  </si>
  <si>
    <t>Величина подключаемой (технологически присоединяемой) нагрузки к централизованной системе водоснабжения, куб. м/сут</t>
  </si>
  <si>
    <t>2.8.2.3</t>
  </si>
  <si>
    <t>Протяженность сетей от котельной до места подключения к централизованной системе водоснабжения и водоотведения, м</t>
  </si>
  <si>
    <t>2.8.2.4</t>
  </si>
  <si>
    <t>Ставка тарифа за подключаемую (технологически присоединяемую) нагрузку водопроводной сети, действующая на день окончания базового (2019) года, без НДС, руб./куб. м/сут</t>
  </si>
  <si>
    <t>2.8.2.5</t>
  </si>
  <si>
    <t>Ставка тарифа за расстояние от точки подключения (технологического присоединения) котельной до точки подключения водопроводных сетей к централизованной системе водоснабжения, действующих на день окончания базового (2019) года, без НДС, руб./м</t>
  </si>
  <si>
    <t>2.8.3</t>
  </si>
  <si>
    <r>
      <t>Затраты на подключение (технологическое присоединение) котельной к централизованной системе водоотведения в базовом (2019) году, тыс. руб. (</t>
    </r>
    <r>
      <rPr>
        <b/>
        <sz val="11"/>
        <color theme="1"/>
        <rFont val="Tahoma"/>
        <family val="2"/>
        <charset val="204"/>
      </rPr>
      <t>ТП</t>
    </r>
    <r>
      <rPr>
        <b/>
        <vertAlign val="subscript"/>
        <sz val="11"/>
        <color theme="1"/>
        <rFont val="Tahoma"/>
        <family val="2"/>
        <charset val="204"/>
      </rPr>
      <t>б</t>
    </r>
    <r>
      <rPr>
        <b/>
        <vertAlign val="superscript"/>
        <sz val="11"/>
        <color theme="1"/>
        <rFont val="Tahoma"/>
        <family val="2"/>
        <charset val="204"/>
      </rPr>
      <t>во</t>
    </r>
    <r>
      <rPr>
        <sz val="10"/>
        <color theme="1"/>
        <rFont val="Tahoma"/>
        <family val="2"/>
        <charset val="204"/>
      </rPr>
      <t>)</t>
    </r>
  </si>
  <si>
    <t>2.8.3.1</t>
  </si>
  <si>
    <t>Гарантирующая организация в сфере холодного водоотведения, обеспечивающая максимальный объем принятых сточных вод в поселении, городском округе, на территории которого находится система теплоснабжения</t>
  </si>
  <si>
    <t>2.8.3.2</t>
  </si>
  <si>
    <t>Величина подключаемой (технологически присоединяемой) нагрузки к централизованной системе водоотведения, куб. м/сут</t>
  </si>
  <si>
    <t>2.8.3.3</t>
  </si>
  <si>
    <t>2.8.3.4</t>
  </si>
  <si>
    <t>Ставка тарифа за подключаемую (технологически присоединяемую) нагрузку канализационной сети, действующая на день окончания базового (2019) года, без НДС, руб./куб. м/сут</t>
  </si>
  <si>
    <t>2.8.3.5</t>
  </si>
  <si>
    <t>Ставка тарифа за расстояние от точки подключения (технологического присоединения) котельной до точки подключения канализационных сетей к централизованной системе водоотведения, действующая на день окончания базового (2019) года, без НДС, руб./м</t>
  </si>
  <si>
    <t>2.9</t>
  </si>
  <si>
    <r>
      <t>Норма доходности инвестированного капитала в i-м расчетном периоде регулирования, % (</t>
    </r>
    <r>
      <rPr>
        <b/>
        <sz val="11"/>
        <color theme="1"/>
        <rFont val="Tahoma"/>
        <family val="2"/>
        <charset val="204"/>
      </rPr>
      <t>НД</t>
    </r>
    <r>
      <rPr>
        <b/>
        <vertAlign val="subscript"/>
        <sz val="11"/>
        <color theme="1"/>
        <rFont val="Tahoma"/>
        <family val="2"/>
        <charset val="204"/>
      </rPr>
      <t>i</t>
    </r>
    <r>
      <rPr>
        <sz val="10"/>
        <color theme="1"/>
        <rFont val="Tahoma"/>
        <family val="2"/>
        <charset val="204"/>
      </rPr>
      <t>)</t>
    </r>
  </si>
  <si>
    <t>2.9.1</t>
  </si>
  <si>
    <r>
      <t>Средневзвешенная по дням 9 месяцев (i-1)-го расчетного периода регулирования ключевая ставка Центрального банка Российской Федерации, % (</t>
    </r>
    <r>
      <rPr>
        <b/>
        <sz val="11"/>
        <color theme="1"/>
        <rFont val="Tahoma"/>
        <family val="2"/>
        <charset val="204"/>
      </rPr>
      <t>КС</t>
    </r>
    <r>
      <rPr>
        <b/>
        <vertAlign val="subscript"/>
        <sz val="11"/>
        <color theme="1"/>
        <rFont val="Tahoma"/>
        <family val="2"/>
        <charset val="204"/>
      </rPr>
      <t>i-1</t>
    </r>
    <r>
      <rPr>
        <sz val="10"/>
        <color theme="1"/>
        <rFont val="Tahoma"/>
        <family val="2"/>
        <charset val="204"/>
      </rPr>
      <t>)</t>
    </r>
  </si>
  <si>
    <t>2.9.2</t>
  </si>
  <si>
    <r>
      <t>Базовый уровень нормы доходности инвестированного капитала,% (</t>
    </r>
    <r>
      <rPr>
        <b/>
        <i/>
        <sz val="11"/>
        <color theme="1"/>
        <rFont val="Tahoma"/>
        <family val="2"/>
        <charset val="204"/>
      </rPr>
      <t>НД</t>
    </r>
    <r>
      <rPr>
        <b/>
        <i/>
        <vertAlign val="subscript"/>
        <sz val="11"/>
        <color theme="1"/>
        <rFont val="Tahoma"/>
        <family val="2"/>
        <charset val="204"/>
      </rPr>
      <t>б</t>
    </r>
    <r>
      <rPr>
        <i/>
        <sz val="10"/>
        <color theme="1"/>
        <rFont val="Tahoma"/>
        <family val="2"/>
        <charset val="204"/>
      </rPr>
      <t>)</t>
    </r>
  </si>
  <si>
    <t>2.9.3</t>
  </si>
  <si>
    <r>
      <t>Базовый уровень ключевой ставки Центрального банка Российской Федерации, % (</t>
    </r>
    <r>
      <rPr>
        <b/>
        <i/>
        <sz val="11"/>
        <color theme="1"/>
        <rFont val="Tahoma"/>
        <family val="2"/>
        <charset val="204"/>
      </rPr>
      <t>КС</t>
    </r>
    <r>
      <rPr>
        <b/>
        <i/>
        <vertAlign val="subscript"/>
        <sz val="11"/>
        <color theme="1"/>
        <rFont val="Tahoma"/>
        <family val="2"/>
        <charset val="204"/>
      </rPr>
      <t>б</t>
    </r>
    <r>
      <rPr>
        <i/>
        <sz val="10"/>
        <color theme="1"/>
        <rFont val="Tahoma"/>
        <family val="2"/>
        <charset val="204"/>
      </rPr>
      <t>)</t>
    </r>
  </si>
  <si>
    <t>3</t>
  </si>
  <si>
    <t>Параметры, использованные при расчете составляющей предельного уровня цены на тепловую энергию (мощность), обеспечивающей компенсацию расходов на уплату налогов в i-м расчетном периоде регулирования</t>
  </si>
  <si>
    <t>3.1</t>
  </si>
  <si>
    <r>
      <t>Расходы на уплату налога на прибыль от деятельности, связанной с производством и поставкой тепловой энергии (мощности), в i-м расчетном периоде регулирования, тыс. руб. (</t>
    </r>
    <r>
      <rPr>
        <b/>
        <sz val="11"/>
        <color theme="1"/>
        <rFont val="Tahoma"/>
        <family val="2"/>
        <charset val="204"/>
      </rPr>
      <t>Н</t>
    </r>
    <r>
      <rPr>
        <b/>
        <vertAlign val="subscript"/>
        <sz val="11"/>
        <color theme="1"/>
        <rFont val="Tahoma"/>
        <family val="2"/>
        <charset val="204"/>
      </rPr>
      <t>i</t>
    </r>
    <r>
      <rPr>
        <b/>
        <vertAlign val="superscript"/>
        <sz val="11"/>
        <color theme="1"/>
        <rFont val="Tahoma"/>
        <family val="2"/>
        <charset val="204"/>
      </rPr>
      <t>п</t>
    </r>
    <r>
      <rPr>
        <sz val="10"/>
        <color theme="1"/>
        <rFont val="Tahoma"/>
        <family val="2"/>
        <charset val="204"/>
      </rPr>
      <t>)</t>
    </r>
  </si>
  <si>
    <t>3.1.1</t>
  </si>
  <si>
    <r>
      <t>Ставка налога на прибыль от деятельности, связанной с производством и поставкой тепловой энергии (мощности), установленная в соответствии с законодательством Российской Федерации о налогах и сборах и действующая в i-м расчетном периоде регулирования, % (</t>
    </r>
    <r>
      <rPr>
        <b/>
        <sz val="11"/>
        <color theme="1"/>
        <rFont val="Tahoma"/>
        <family val="2"/>
        <charset val="204"/>
      </rPr>
      <t>t</t>
    </r>
    <r>
      <rPr>
        <b/>
        <vertAlign val="subscript"/>
        <sz val="11"/>
        <color theme="1"/>
        <rFont val="Tahoma"/>
        <family val="2"/>
        <charset val="204"/>
      </rPr>
      <t>i</t>
    </r>
    <r>
      <rPr>
        <b/>
        <vertAlign val="superscript"/>
        <sz val="11"/>
        <color theme="1"/>
        <rFont val="Tahoma"/>
        <family val="2"/>
        <charset val="204"/>
      </rPr>
      <t>п</t>
    </r>
    <r>
      <rPr>
        <sz val="10"/>
        <color theme="1"/>
        <rFont val="Tahoma"/>
        <family val="2"/>
        <charset val="204"/>
      </rPr>
      <t>)</t>
    </r>
  </si>
  <si>
    <t>3.1.2</t>
  </si>
  <si>
    <r>
      <t>Период амортизации котельной и тепловых сетей, лет (</t>
    </r>
    <r>
      <rPr>
        <b/>
        <i/>
        <sz val="11"/>
        <color theme="1"/>
        <rFont val="Tahoma"/>
        <family val="2"/>
        <charset val="204"/>
      </rPr>
      <t>ПА</t>
    </r>
    <r>
      <rPr>
        <i/>
        <sz val="10"/>
        <color theme="1"/>
        <rFont val="Tahoma"/>
        <family val="2"/>
        <charset val="204"/>
      </rPr>
      <t>)</t>
    </r>
  </si>
  <si>
    <t>3.2</t>
  </si>
  <si>
    <r>
      <t>Расходы на уплату налога на имущество в i-м расчетном периоде регулирования, тыс. руб. (</t>
    </r>
    <r>
      <rPr>
        <b/>
        <sz val="11"/>
        <color theme="1"/>
        <rFont val="Tahoma"/>
        <family val="2"/>
        <charset val="204"/>
      </rPr>
      <t>Н</t>
    </r>
    <r>
      <rPr>
        <b/>
        <vertAlign val="subscript"/>
        <sz val="11"/>
        <color theme="1"/>
        <rFont val="Tahoma"/>
        <family val="2"/>
        <charset val="204"/>
      </rPr>
      <t>i</t>
    </r>
    <r>
      <rPr>
        <b/>
        <vertAlign val="superscript"/>
        <sz val="11"/>
        <color theme="1"/>
        <rFont val="Tahoma"/>
        <family val="2"/>
        <charset val="204"/>
      </rPr>
      <t>им</t>
    </r>
    <r>
      <rPr>
        <sz val="10"/>
        <color theme="1"/>
        <rFont val="Tahoma"/>
        <family val="2"/>
        <charset val="204"/>
      </rPr>
      <t>)</t>
    </r>
  </si>
  <si>
    <t>3.2.1</t>
  </si>
  <si>
    <r>
      <t>Ставка налога на имущество, установленная в соответствующем субъекте Российской Федерации (без учета специальных льгот по налогу на имущество организаций) в соответствии с законодательством Российской Федерации о налогах и сборах и действующая в i-м расчетном периоде регулирования, % (</t>
    </r>
    <r>
      <rPr>
        <b/>
        <sz val="11"/>
        <color theme="1"/>
        <rFont val="Tahoma"/>
        <family val="2"/>
        <charset val="204"/>
      </rPr>
      <t>t</t>
    </r>
    <r>
      <rPr>
        <b/>
        <vertAlign val="subscript"/>
        <sz val="11"/>
        <color theme="1"/>
        <rFont val="Tahoma"/>
        <family val="2"/>
        <charset val="204"/>
      </rPr>
      <t>i</t>
    </r>
    <r>
      <rPr>
        <b/>
        <vertAlign val="superscript"/>
        <sz val="11"/>
        <color theme="1"/>
        <rFont val="Tahoma"/>
        <family val="2"/>
        <charset val="204"/>
      </rPr>
      <t>им</t>
    </r>
    <r>
      <rPr>
        <sz val="10"/>
        <color theme="1"/>
        <rFont val="Tahoma"/>
        <family val="2"/>
        <charset val="204"/>
      </rPr>
      <t>)</t>
    </r>
  </si>
  <si>
    <t>3.2.2</t>
  </si>
  <si>
    <t>3.3</t>
  </si>
  <si>
    <r>
      <t>Расходы на уплату земельного налога в i-м расчетном периоде регулирования, тыс. руб. (</t>
    </r>
    <r>
      <rPr>
        <b/>
        <sz val="11"/>
        <color indexed="8"/>
        <rFont val="Tahoma"/>
        <family val="2"/>
        <charset val="204"/>
      </rPr>
      <t>Н</t>
    </r>
    <r>
      <rPr>
        <b/>
        <vertAlign val="subscript"/>
        <sz val="11"/>
        <color theme="1"/>
        <rFont val="Tahoma"/>
        <family val="2"/>
        <charset val="204"/>
      </rPr>
      <t>i</t>
    </r>
    <r>
      <rPr>
        <b/>
        <vertAlign val="superscript"/>
        <sz val="11"/>
        <color theme="1"/>
        <rFont val="Tahoma"/>
        <family val="2"/>
        <charset val="204"/>
      </rPr>
      <t>з</t>
    </r>
    <r>
      <rPr>
        <sz val="10"/>
        <color theme="1"/>
        <rFont val="Tahoma"/>
        <family val="2"/>
        <charset val="204"/>
      </rPr>
      <t>)</t>
    </r>
  </si>
  <si>
    <t>3.3.1</t>
  </si>
  <si>
    <r>
      <t>Ставка земельного налога, установленная в соответствии с законодательством Российской Федерации о налогах и сборах и нормативными правовыми актами представительных органов муниципального образования, на территории которого находится система теплоснабжения, и действующая в i-м расчетном периоде регулирования, % (</t>
    </r>
    <r>
      <rPr>
        <b/>
        <sz val="11"/>
        <color theme="1"/>
        <rFont val="Tahoma"/>
        <family val="2"/>
        <charset val="204"/>
      </rPr>
      <t>t</t>
    </r>
    <r>
      <rPr>
        <b/>
        <vertAlign val="subscript"/>
        <sz val="11"/>
        <color theme="1"/>
        <rFont val="Tahoma"/>
        <family val="2"/>
        <charset val="204"/>
      </rPr>
      <t>i</t>
    </r>
    <r>
      <rPr>
        <b/>
        <vertAlign val="superscript"/>
        <sz val="11"/>
        <color theme="1"/>
        <rFont val="Tahoma"/>
        <family val="2"/>
        <charset val="204"/>
      </rPr>
      <t>з</t>
    </r>
    <r>
      <rPr>
        <sz val="10"/>
        <color theme="1"/>
        <rFont val="Tahoma"/>
        <family val="2"/>
        <charset val="204"/>
      </rPr>
      <t>)</t>
    </r>
  </si>
  <si>
    <t>3.3.2</t>
  </si>
  <si>
    <r>
      <t>Стоимость земельного участка для размещения котельной в i-м расчетном периоде регулирования, тыс.руб. (</t>
    </r>
    <r>
      <rPr>
        <b/>
        <sz val="10"/>
        <color theme="1"/>
        <rFont val="Tahoma"/>
        <family val="2"/>
        <charset val="204"/>
      </rPr>
      <t>З</t>
    </r>
    <r>
      <rPr>
        <b/>
        <vertAlign val="subscript"/>
        <sz val="10"/>
        <color theme="1"/>
        <rFont val="Tahoma"/>
        <family val="2"/>
        <charset val="204"/>
      </rPr>
      <t>i,k</t>
    </r>
    <r>
      <rPr>
        <sz val="10"/>
        <color theme="1"/>
        <rFont val="Tahoma"/>
        <family val="2"/>
        <charset val="204"/>
      </rPr>
      <t>)</t>
    </r>
  </si>
  <si>
    <t>4</t>
  </si>
  <si>
    <t>Параметры, использованные при расчете составляющей предельного уровня цены на тепловую энергию (мощность), обеспечивающей компенсацию прочих расходов при производстве тепловой энергии котельной в i-м расчетном периоде регулирования</t>
  </si>
  <si>
    <t>4.1</t>
  </si>
  <si>
    <r>
      <t>Расходы на техническое обслуживание и ремонт основных средств котельной с использованием угля и тепловых сетей в базовом (2019) году, тыс. руб. (</t>
    </r>
    <r>
      <rPr>
        <b/>
        <sz val="11"/>
        <color theme="1"/>
        <rFont val="Tahoma"/>
        <family val="2"/>
        <charset val="204"/>
      </rPr>
      <t>ТО</t>
    </r>
    <r>
      <rPr>
        <b/>
        <vertAlign val="subscript"/>
        <sz val="11"/>
        <color theme="1"/>
        <rFont val="Tahoma"/>
        <family val="2"/>
        <charset val="204"/>
      </rPr>
      <t>б,k</t>
    </r>
    <r>
      <rPr>
        <sz val="10"/>
        <color theme="1"/>
        <rFont val="Tahoma"/>
        <family val="2"/>
        <charset val="204"/>
      </rPr>
      <t>)</t>
    </r>
  </si>
  <si>
    <t>4.1.1</t>
  </si>
  <si>
    <r>
      <t>Базовая величина капитальных затрат на основные средства котельной с использованием угля в базовом году, тыс. руб. (</t>
    </r>
    <r>
      <rPr>
        <b/>
        <i/>
        <sz val="11"/>
        <color theme="1"/>
        <rFont val="Tahoma"/>
        <family val="2"/>
        <charset val="204"/>
      </rPr>
      <t>КЗО</t>
    </r>
    <r>
      <rPr>
        <b/>
        <i/>
        <vertAlign val="subscript"/>
        <sz val="11"/>
        <color theme="1"/>
        <rFont val="Tahoma"/>
        <family val="2"/>
        <charset val="204"/>
      </rPr>
      <t>б,k</t>
    </r>
    <r>
      <rPr>
        <b/>
        <i/>
        <vertAlign val="superscript"/>
        <sz val="11"/>
        <color theme="1"/>
        <rFont val="Tahoma"/>
        <family val="2"/>
        <charset val="204"/>
      </rPr>
      <t>кот(б)</t>
    </r>
    <r>
      <rPr>
        <i/>
        <sz val="10"/>
        <color theme="1"/>
        <rFont val="Tahoma"/>
        <family val="2"/>
        <charset val="204"/>
      </rPr>
      <t>)</t>
    </r>
  </si>
  <si>
    <t>4.1.2</t>
  </si>
  <si>
    <r>
      <t>Коэффициент расходов на техническое обслуживание и ремонт основных средств котельной (</t>
    </r>
    <r>
      <rPr>
        <b/>
        <i/>
        <sz val="11"/>
        <color theme="1"/>
        <rFont val="Tahoma"/>
        <family val="2"/>
        <charset val="204"/>
      </rPr>
      <t>К</t>
    </r>
    <r>
      <rPr>
        <b/>
        <i/>
        <vertAlign val="subscript"/>
        <sz val="11"/>
        <color theme="1"/>
        <rFont val="Tahoma"/>
        <family val="2"/>
        <charset val="204"/>
      </rPr>
      <t>k</t>
    </r>
    <r>
      <rPr>
        <b/>
        <i/>
        <vertAlign val="superscript"/>
        <sz val="11"/>
        <color theme="1"/>
        <rFont val="Tahoma"/>
        <family val="2"/>
        <charset val="204"/>
      </rPr>
      <t>кот, ТО</t>
    </r>
    <r>
      <rPr>
        <i/>
        <sz val="10"/>
        <color theme="1"/>
        <rFont val="Tahoma"/>
        <family val="2"/>
        <charset val="204"/>
      </rPr>
      <t>)</t>
    </r>
  </si>
  <si>
    <t>4.1.3</t>
  </si>
  <si>
    <r>
      <t>Базовая величина капитальных затрат на основные средства тепловых сетей в базовом году, тыс. руб. (</t>
    </r>
    <r>
      <rPr>
        <b/>
        <i/>
        <sz val="11"/>
        <color theme="1"/>
        <rFont val="Tahoma"/>
        <family val="2"/>
        <charset val="204"/>
      </rPr>
      <t>КЗО</t>
    </r>
    <r>
      <rPr>
        <b/>
        <i/>
        <vertAlign val="subscript"/>
        <sz val="11"/>
        <color theme="1"/>
        <rFont val="Tahoma"/>
        <family val="2"/>
        <charset val="204"/>
      </rPr>
      <t>б</t>
    </r>
    <r>
      <rPr>
        <b/>
        <i/>
        <vertAlign val="superscript"/>
        <sz val="11"/>
        <color theme="1"/>
        <rFont val="Tahoma"/>
        <family val="2"/>
        <charset val="204"/>
      </rPr>
      <t>сети(б)</t>
    </r>
    <r>
      <rPr>
        <i/>
        <sz val="10"/>
        <color theme="1"/>
        <rFont val="Tahoma"/>
        <family val="2"/>
        <charset val="204"/>
      </rPr>
      <t>)</t>
    </r>
  </si>
  <si>
    <t>4.1.4</t>
  </si>
  <si>
    <r>
      <t>Коэффициент расходов на техническое обслуживание и ремонт основных средств тепловых сетей (</t>
    </r>
    <r>
      <rPr>
        <b/>
        <i/>
        <sz val="11"/>
        <color theme="1"/>
        <rFont val="Tahoma"/>
        <family val="2"/>
        <charset val="204"/>
      </rPr>
      <t>К</t>
    </r>
    <r>
      <rPr>
        <b/>
        <i/>
        <vertAlign val="superscript"/>
        <sz val="11"/>
        <color theme="1"/>
        <rFont val="Tahoma"/>
        <family val="2"/>
        <charset val="204"/>
      </rPr>
      <t>сети, ТО</t>
    </r>
    <r>
      <rPr>
        <i/>
        <sz val="10"/>
        <color theme="1"/>
        <rFont val="Tahoma"/>
        <family val="2"/>
        <charset val="204"/>
      </rPr>
      <t>)</t>
    </r>
  </si>
  <si>
    <t>4.2</t>
  </si>
  <si>
    <r>
      <t>Расходы на электрическую энергию на собственные нужды котельной с использованием угля в базовом (2019) году, тыс. руб. (</t>
    </r>
    <r>
      <rPr>
        <b/>
        <sz val="11"/>
        <color theme="1"/>
        <rFont val="Tahoma"/>
        <family val="2"/>
        <charset val="204"/>
      </rPr>
      <t>РЭ</t>
    </r>
    <r>
      <rPr>
        <b/>
        <vertAlign val="subscript"/>
        <sz val="11"/>
        <color theme="1"/>
        <rFont val="Tahoma"/>
        <family val="2"/>
        <charset val="204"/>
      </rPr>
      <t>б,k</t>
    </r>
    <r>
      <rPr>
        <sz val="10"/>
        <color theme="1"/>
        <rFont val="Tahoma"/>
        <family val="2"/>
        <charset val="204"/>
      </rPr>
      <t>)</t>
    </r>
  </si>
  <si>
    <t>4.2.1</t>
  </si>
  <si>
    <t>Наименование гарантирующего поставщика</t>
  </si>
  <si>
    <t>4.2.2</t>
  </si>
  <si>
    <r>
      <t>Среднеарифметическая величина из значений цен (тарифов) на электрическую энергию (мощность), поставляемую покупателям на розничном рынке, функционирующем в поселении или городском округе, на территории которого находится система теплоснабжения, в базовом (2019) году для категории потребителей, установленной технико-экономическими параметрами работы котельных и тепловых сетей, без НДС, руб./кВтч (</t>
    </r>
    <r>
      <rPr>
        <b/>
        <sz val="11"/>
        <color theme="1"/>
        <rFont val="Tahoma"/>
        <family val="2"/>
        <charset val="204"/>
      </rPr>
      <t>ЦЭ</t>
    </r>
    <r>
      <rPr>
        <b/>
        <vertAlign val="subscript"/>
        <sz val="11"/>
        <color theme="1"/>
        <rFont val="Tahoma"/>
        <family val="2"/>
        <charset val="204"/>
      </rPr>
      <t>б</t>
    </r>
    <r>
      <rPr>
        <sz val="10"/>
        <color theme="1"/>
        <rFont val="Tahoma"/>
        <family val="2"/>
        <charset val="204"/>
      </rPr>
      <t>)</t>
    </r>
  </si>
  <si>
    <t>4.2.3</t>
  </si>
  <si>
    <r>
      <t>Общая максимальная мощность энергопринимающих устройств котельной с использованием угля, кВт (</t>
    </r>
    <r>
      <rPr>
        <b/>
        <i/>
        <sz val="11"/>
        <color theme="1"/>
        <rFont val="Tahoma"/>
        <family val="2"/>
        <charset val="204"/>
      </rPr>
      <t>Э</t>
    </r>
    <r>
      <rPr>
        <b/>
        <i/>
        <vertAlign val="subscript"/>
        <sz val="11"/>
        <color theme="1"/>
        <rFont val="Tahoma"/>
        <family val="2"/>
        <charset val="204"/>
      </rPr>
      <t>k</t>
    </r>
    <r>
      <rPr>
        <i/>
        <sz val="10"/>
        <color theme="1"/>
        <rFont val="Tahoma"/>
        <family val="2"/>
        <charset val="204"/>
      </rPr>
      <t>)</t>
    </r>
  </si>
  <si>
    <t>4.2.4</t>
  </si>
  <si>
    <r>
      <t>Продолжительность годовой работы оборудования котельной с учетом коэффициента готовности, ч (</t>
    </r>
    <r>
      <rPr>
        <b/>
        <sz val="11"/>
        <color theme="1"/>
        <rFont val="Tahoma"/>
        <family val="2"/>
        <charset val="204"/>
      </rPr>
      <t>ГР</t>
    </r>
    <r>
      <rPr>
        <sz val="10"/>
        <color theme="1"/>
        <rFont val="Tahoma"/>
        <family val="2"/>
        <charset val="204"/>
      </rPr>
      <t>)</t>
    </r>
  </si>
  <si>
    <t>4.2.5</t>
  </si>
  <si>
    <r>
      <t>Коэффициент использования установленной тепловой мощности котельной (</t>
    </r>
    <r>
      <rPr>
        <b/>
        <i/>
        <sz val="11"/>
        <color theme="1"/>
        <rFont val="Tahoma"/>
        <family val="2"/>
        <charset val="204"/>
      </rPr>
      <t>КИУМ</t>
    </r>
    <r>
      <rPr>
        <i/>
        <sz val="10"/>
        <color theme="1"/>
        <rFont val="Tahoma"/>
        <family val="2"/>
        <charset val="204"/>
      </rPr>
      <t>)</t>
    </r>
  </si>
  <si>
    <t>4.3</t>
  </si>
  <si>
    <r>
      <t>Расходы на водоподготовку и водоотведение котельной в базовом (2019) году, тыс. руб. (</t>
    </r>
    <r>
      <rPr>
        <b/>
        <sz val="11"/>
        <color theme="1"/>
        <rFont val="Tahoma"/>
        <family val="2"/>
        <charset val="204"/>
      </rPr>
      <t>РВ</t>
    </r>
    <r>
      <rPr>
        <b/>
        <vertAlign val="subscript"/>
        <sz val="11"/>
        <color theme="1"/>
        <rFont val="Tahoma"/>
        <family val="2"/>
        <charset val="204"/>
      </rPr>
      <t>б</t>
    </r>
    <r>
      <rPr>
        <sz val="10"/>
        <color theme="1"/>
        <rFont val="Tahoma"/>
        <family val="2"/>
        <charset val="204"/>
      </rPr>
      <t>)</t>
    </r>
  </si>
  <si>
    <t>4.3.1</t>
  </si>
  <si>
    <t>4.3.2</t>
  </si>
  <si>
    <t>Тариф на питьевую воду (питьевое водоснабжение), действующий на день окончания базового (2019) года, без НДС, руб./куб. м</t>
  </si>
  <si>
    <t>4.3.3</t>
  </si>
  <si>
    <t>4.3.4</t>
  </si>
  <si>
    <t>Тариф на водоотведение, действующий на день окончания базового (2019) года, без НДС, руб./куб. м</t>
  </si>
  <si>
    <t>4.3.5</t>
  </si>
  <si>
    <t>Расход воды на водоподготовку, куб.м/год</t>
  </si>
  <si>
    <t>4.3.6</t>
  </si>
  <si>
    <t>Расход воды на собственные нужды котельной, куб.м/год</t>
  </si>
  <si>
    <t>4.3.7</t>
  </si>
  <si>
    <t>Объем водоотведения, куб.м/год</t>
  </si>
  <si>
    <t>4.4</t>
  </si>
  <si>
    <r>
      <t>Расходы на оплату труда персонала котельной с использованием угля в базовом (2019) году, тыс. руб. (</t>
    </r>
    <r>
      <rPr>
        <b/>
        <sz val="11"/>
        <color theme="1"/>
        <rFont val="Tahoma"/>
        <family val="2"/>
        <charset val="204"/>
      </rPr>
      <t>РП</t>
    </r>
    <r>
      <rPr>
        <b/>
        <vertAlign val="subscript"/>
        <sz val="11"/>
        <color theme="1"/>
        <rFont val="Tahoma"/>
        <family val="2"/>
        <charset val="204"/>
      </rPr>
      <t>б,k</t>
    </r>
    <r>
      <rPr>
        <sz val="10"/>
        <color theme="1"/>
        <rFont val="Tahoma"/>
        <family val="2"/>
        <charset val="204"/>
      </rPr>
      <t>)</t>
    </r>
  </si>
  <si>
    <t>4.4.1</t>
  </si>
  <si>
    <t>Заработная плата сотрудников котельной, производящей тепловую энергию с использованием угля, в базовом (2019) году, тыс. руб.</t>
  </si>
  <si>
    <t>4.4.2</t>
  </si>
  <si>
    <r>
      <t>Расходы на уплату в базовом (2019) году страховых взносов по персоналу котельной, определяемые в соответствии с требованиями законодательства Российской Федерации о страховых взносах исходя из расходов на оплату труда персонала котельной, тыс. руб. (</t>
    </r>
    <r>
      <rPr>
        <b/>
        <sz val="11"/>
        <color theme="1"/>
        <rFont val="Tahoma"/>
        <family val="2"/>
        <charset val="204"/>
      </rPr>
      <t>Р</t>
    </r>
    <r>
      <rPr>
        <b/>
        <vertAlign val="subscript"/>
        <sz val="11"/>
        <color theme="1"/>
        <rFont val="Tahoma"/>
        <family val="2"/>
        <charset val="204"/>
      </rPr>
      <t>б,k</t>
    </r>
    <r>
      <rPr>
        <b/>
        <vertAlign val="superscript"/>
        <sz val="11"/>
        <color theme="1"/>
        <rFont val="Tahoma"/>
        <family val="2"/>
        <charset val="204"/>
      </rPr>
      <t>СВ</t>
    </r>
    <r>
      <rPr>
        <sz val="10"/>
        <color theme="1"/>
        <rFont val="Tahoma"/>
        <family val="2"/>
        <charset val="204"/>
      </rPr>
      <t>)</t>
    </r>
  </si>
  <si>
    <t>4.5</t>
  </si>
  <si>
    <r>
      <t>Иные прочие расходы при производстве тепловой энергии котельной в i-м расчетном периоде регулирования, тыс. руб. (</t>
    </r>
    <r>
      <rPr>
        <b/>
        <sz val="11"/>
        <color theme="1"/>
        <rFont val="Tahoma"/>
        <family val="2"/>
        <charset val="204"/>
      </rPr>
      <t>ПР</t>
    </r>
    <r>
      <rPr>
        <b/>
        <vertAlign val="subscript"/>
        <sz val="11"/>
        <color theme="1"/>
        <rFont val="Tahoma"/>
        <family val="2"/>
        <charset val="204"/>
      </rPr>
      <t>i</t>
    </r>
    <r>
      <rPr>
        <b/>
        <vertAlign val="superscript"/>
        <sz val="11"/>
        <color theme="1"/>
        <rFont val="Tahoma"/>
        <family val="2"/>
        <charset val="204"/>
      </rPr>
      <t>иные</t>
    </r>
    <r>
      <rPr>
        <sz val="11"/>
        <color theme="1"/>
        <rFont val="Tahoma"/>
        <family val="2"/>
        <charset val="204"/>
      </rPr>
      <t>)</t>
    </r>
  </si>
  <si>
    <t>4.5.1</t>
  </si>
  <si>
    <r>
      <t>Расходы на плату за выбросы загрязняющих веществ в атмосферный воздух в пределах установленных нормативов и (или) лимитов, на утилизацию и размещение золы и шлака для котельной с использованием угля в i-м расчетном периоде регулирования, тыс. руб. (</t>
    </r>
    <r>
      <rPr>
        <b/>
        <sz val="11"/>
        <color theme="1"/>
        <rFont val="Tahoma"/>
        <family val="2"/>
        <charset val="204"/>
      </rPr>
      <t>ЗВ</t>
    </r>
    <r>
      <rPr>
        <b/>
        <vertAlign val="subscript"/>
        <sz val="11"/>
        <color theme="1"/>
        <rFont val="Tahoma"/>
        <family val="2"/>
        <charset val="204"/>
      </rPr>
      <t>i</t>
    </r>
    <r>
      <rPr>
        <b/>
        <vertAlign val="superscript"/>
        <sz val="11"/>
        <color theme="1"/>
        <rFont val="Tahoma"/>
        <family val="2"/>
        <charset val="204"/>
      </rPr>
      <t>уголь</t>
    </r>
    <r>
      <rPr>
        <sz val="10"/>
        <color theme="1"/>
        <rFont val="Tahoma"/>
        <family val="2"/>
        <charset val="204"/>
      </rPr>
      <t>)</t>
    </r>
  </si>
  <si>
    <t>4.5.1.1</t>
  </si>
  <si>
    <r>
      <t>Дополнительные расходы на плату за выбросы загрязняющих веществ в атмосферный воздух в пределах установленных нормативов и (или) лимитов для котельной с использованием угля (</t>
    </r>
    <r>
      <rPr>
        <b/>
        <sz val="11"/>
        <color theme="1"/>
        <rFont val="Tahoma"/>
        <family val="2"/>
        <charset val="204"/>
      </rPr>
      <t>Y</t>
    </r>
    <r>
      <rPr>
        <b/>
        <vertAlign val="subscript"/>
        <sz val="11"/>
        <color theme="1"/>
        <rFont val="Tahoma"/>
        <family val="2"/>
        <charset val="204"/>
      </rPr>
      <t>i</t>
    </r>
    <r>
      <rPr>
        <b/>
        <vertAlign val="superscript"/>
        <sz val="11"/>
        <color theme="1"/>
        <rFont val="Tahoma"/>
        <family val="2"/>
        <charset val="204"/>
      </rPr>
      <t>уголь</t>
    </r>
    <r>
      <rPr>
        <sz val="10"/>
        <color theme="1"/>
        <rFont val="Tahoma"/>
        <family val="2"/>
        <charset val="204"/>
      </rPr>
      <t>)</t>
    </r>
  </si>
  <si>
    <t>4.5.1.1.1</t>
  </si>
  <si>
    <r>
      <t>Базовая величина платы за выбросы загрязняющих веществ в атмосферный воздух, руб. (</t>
    </r>
    <r>
      <rPr>
        <b/>
        <i/>
        <sz val="10"/>
        <color theme="1"/>
        <rFont val="Tahoma"/>
        <family val="2"/>
        <charset val="204"/>
      </rPr>
      <t>ПВ</t>
    </r>
    <r>
      <rPr>
        <b/>
        <i/>
        <vertAlign val="subscript"/>
        <sz val="10"/>
        <color theme="1"/>
        <rFont val="Tahoma"/>
        <family val="2"/>
        <charset val="204"/>
      </rPr>
      <t>б</t>
    </r>
    <r>
      <rPr>
        <i/>
        <sz val="10"/>
        <color theme="1"/>
        <rFont val="Tahoma"/>
        <family val="2"/>
        <charset val="204"/>
      </rPr>
      <t>)</t>
    </r>
  </si>
  <si>
    <t>4.5.1.1.2</t>
  </si>
  <si>
    <r>
      <t>Коэффициент, применяемый к базовой величине платы за выбросы загрязняющих веществ в атмосферный воздух (</t>
    </r>
    <r>
      <rPr>
        <b/>
        <sz val="10"/>
        <color theme="1"/>
        <rFont val="Tahoma"/>
        <family val="2"/>
        <charset val="204"/>
      </rPr>
      <t>К</t>
    </r>
    <r>
      <rPr>
        <b/>
        <vertAlign val="subscript"/>
        <sz val="10"/>
        <color theme="1"/>
        <rFont val="Tahoma"/>
        <family val="2"/>
        <charset val="204"/>
      </rPr>
      <t>i</t>
    </r>
    <r>
      <rPr>
        <b/>
        <vertAlign val="superscript"/>
        <sz val="10"/>
        <color theme="1"/>
        <rFont val="Tahoma"/>
        <family val="2"/>
        <charset val="204"/>
      </rPr>
      <t>ОС</t>
    </r>
    <r>
      <rPr>
        <sz val="10"/>
        <color theme="1"/>
        <rFont val="Tahoma"/>
        <family val="2"/>
        <charset val="204"/>
      </rPr>
      <t>)</t>
    </r>
  </si>
  <si>
    <t>5</t>
  </si>
  <si>
    <t>Параметры, использованные при расчете составляющей предельного уровня цены на тепловую энергию (мощность), обеспечивающей создание резерва по сомнительным долгам в i-м расчетном периоде регулирования</t>
  </si>
  <si>
    <t>5.1</t>
  </si>
  <si>
    <r>
      <t>Коэффициент, отражающий размер резерва по сомнительным долгам (</t>
    </r>
    <r>
      <rPr>
        <b/>
        <sz val="11"/>
        <color theme="1"/>
        <rFont val="Tahoma"/>
        <family val="2"/>
        <charset val="204"/>
      </rPr>
      <t>k</t>
    </r>
    <r>
      <rPr>
        <b/>
        <vertAlign val="superscript"/>
        <sz val="11"/>
        <color theme="1"/>
        <rFont val="Tahoma"/>
        <family val="2"/>
        <charset val="204"/>
      </rPr>
      <t>РД</t>
    </r>
    <r>
      <rPr>
        <sz val="10"/>
        <color theme="1"/>
        <rFont val="Tahoma"/>
        <family val="2"/>
        <charset val="204"/>
      </rPr>
      <t>)</t>
    </r>
  </si>
  <si>
    <t>6</t>
  </si>
  <si>
    <t>Параметры, использованные при расчете составляющей предельного уровня цены на тепловую энергию (мощность), обеспечивающей учет отклонений фактических показателей от прогнозных показателей, используемых при расчете предельного уровня цены на тепловую энергию (мощность), в i-м расчетном периоде регулирования</t>
  </si>
  <si>
    <t>6.1</t>
  </si>
  <si>
    <r>
      <t xml:space="preserve">Составляющая предельного уровня цены на тепловую энергию (мощность), обеспечивающая учет отклонений фактических показателей от прогнозных показателей при расчете составляющей предельного уровня цены на тепловую энергию (мощность), обеспечивающей компенсацию расходов на топливо при производстве тепловой энергии котельной в (i-2)-м расчетном периоде регулирования, определяемой в  i-м расчетном периоде регулирования, руб./Гкал </t>
    </r>
    <r>
      <rPr>
        <sz val="11"/>
        <color theme="1"/>
        <rFont val="Tahoma"/>
        <family val="2"/>
        <charset val="204"/>
      </rPr>
      <t>(</t>
    </r>
    <r>
      <rPr>
        <b/>
        <sz val="11"/>
        <color theme="1"/>
        <rFont val="Tahoma"/>
        <family val="2"/>
        <charset val="204"/>
      </rPr>
      <t>ΔPT</t>
    </r>
    <r>
      <rPr>
        <b/>
        <vertAlign val="subscript"/>
        <sz val="11"/>
        <color theme="1"/>
        <rFont val="Tahoma"/>
        <family val="2"/>
        <charset val="204"/>
      </rPr>
      <t>i-2</t>
    </r>
    <r>
      <rPr>
        <sz val="11"/>
        <color theme="1"/>
        <rFont val="Tahoma"/>
        <family val="2"/>
        <charset val="204"/>
      </rPr>
      <t>)</t>
    </r>
  </si>
  <si>
    <t>-</t>
  </si>
  <si>
    <t>6.1.1</t>
  </si>
  <si>
    <r>
      <t>Фактическая цена на k-й вид топлива, используемый при производстве тепловой энергии котельной, с учетом затрат на его доставку, сложившаяся в системе теплоснабжения в (i-2)-м расчетном периоде регулирования, без НДС,  руб./т н. т. (руб./тыс. куб. м) (</t>
    </r>
    <r>
      <rPr>
        <b/>
        <sz val="11"/>
        <color theme="1"/>
        <rFont val="Tahoma"/>
        <family val="2"/>
        <charset val="204"/>
      </rPr>
      <t>ЦТ</t>
    </r>
    <r>
      <rPr>
        <b/>
        <vertAlign val="subscript"/>
        <sz val="11"/>
        <color theme="1"/>
        <rFont val="Tahoma"/>
        <family val="2"/>
        <charset val="204"/>
      </rPr>
      <t>i-2,k</t>
    </r>
    <r>
      <rPr>
        <b/>
        <vertAlign val="superscript"/>
        <sz val="11"/>
        <color theme="1"/>
        <rFont val="Tahoma"/>
        <family val="2"/>
        <charset val="204"/>
      </rPr>
      <t>ф, нат.</t>
    </r>
    <r>
      <rPr>
        <sz val="10"/>
        <color theme="1"/>
        <rFont val="Tahoma"/>
        <family val="2"/>
        <charset val="204"/>
      </rPr>
      <t>)</t>
    </r>
  </si>
  <si>
    <t>6.2</t>
  </si>
  <si>
    <r>
      <t>Составляющая предельного уровня цены на тепловую энергию (мощность), обеспечивающая учет отклонений фактических показателей от прогнозных показателей при расчете составляющей предельного уровня цены на тепловую энергию (мощность), обеспечивающей компенсацию расходов на уплату налогов  в (i-2)-м расчетном периоде регулирования, определяемой в  i-м расчетном периоде регулирования, руб./Гкал (</t>
    </r>
    <r>
      <rPr>
        <b/>
        <sz val="11"/>
        <color theme="1"/>
        <rFont val="Tahoma"/>
        <family val="2"/>
        <charset val="204"/>
      </rPr>
      <t>ΔH</t>
    </r>
    <r>
      <rPr>
        <b/>
        <vertAlign val="subscript"/>
        <sz val="11"/>
        <color theme="1"/>
        <rFont val="Tahoma"/>
        <family val="2"/>
        <charset val="204"/>
      </rPr>
      <t>i-2</t>
    </r>
    <r>
      <rPr>
        <sz val="10"/>
        <color theme="1"/>
        <rFont val="Tahoma"/>
        <family val="2"/>
        <charset val="204"/>
      </rPr>
      <t>)</t>
    </r>
  </si>
  <si>
    <t>6.2.1</t>
  </si>
  <si>
    <r>
      <t>Фактическая ставка налога на прибыль от деятельности, связанной с производством и поставкой тепловой энергии (мощности), установленная в соответствии с законодательством Российской Федерации о налогах и сборах и действующая в (i-2)-м расчетном периоде регулирования, % 
(</t>
    </r>
    <r>
      <rPr>
        <b/>
        <sz val="11"/>
        <color theme="1"/>
        <rFont val="Tahoma"/>
        <family val="2"/>
        <charset val="204"/>
      </rPr>
      <t>t</t>
    </r>
    <r>
      <rPr>
        <b/>
        <vertAlign val="subscript"/>
        <sz val="11"/>
        <color theme="1"/>
        <rFont val="Tahoma"/>
        <family val="2"/>
        <charset val="204"/>
      </rPr>
      <t>i-2</t>
    </r>
    <r>
      <rPr>
        <b/>
        <vertAlign val="superscript"/>
        <sz val="11"/>
        <color theme="1"/>
        <rFont val="Tahoma"/>
        <family val="2"/>
        <charset val="204"/>
      </rPr>
      <t>п</t>
    </r>
    <r>
      <rPr>
        <sz val="10"/>
        <color theme="1"/>
        <rFont val="Tahoma"/>
        <family val="2"/>
        <charset val="204"/>
      </rPr>
      <t>)</t>
    </r>
  </si>
  <si>
    <t>6.2.2</t>
  </si>
  <si>
    <r>
      <t>Фактическая ставка налога на имущество, установленная в соответствующем субъекте Российской Федерации (без учета специальных льгот по налогу на имущество организаций) в соответствии с законодательством Российской Федерации о налогах и сборах и действующая в (i-2)-м расчетном периоде регулирования, % 
(</t>
    </r>
    <r>
      <rPr>
        <b/>
        <sz val="11"/>
        <color theme="1"/>
        <rFont val="Tahoma"/>
        <family val="2"/>
        <charset val="204"/>
      </rPr>
      <t>t</t>
    </r>
    <r>
      <rPr>
        <b/>
        <vertAlign val="subscript"/>
        <sz val="11"/>
        <color theme="1"/>
        <rFont val="Tahoma"/>
        <family val="2"/>
        <charset val="204"/>
      </rPr>
      <t>i-2</t>
    </r>
    <r>
      <rPr>
        <b/>
        <vertAlign val="superscript"/>
        <sz val="11"/>
        <color theme="1"/>
        <rFont val="Tahoma"/>
        <family val="2"/>
        <charset val="204"/>
      </rPr>
      <t>им</t>
    </r>
    <r>
      <rPr>
        <sz val="10"/>
        <color theme="1"/>
        <rFont val="Tahoma"/>
        <family val="2"/>
        <charset val="204"/>
      </rPr>
      <t>)</t>
    </r>
  </si>
  <si>
    <t>6.2.3</t>
  </si>
  <si>
    <r>
      <t>Фактическая ставка земельного налога, установленная в соответствии с законодательством Российской Федерации о налогах и сборах и нормативными правовыми актами представительных органов муниципального образования, на территории которого находится система теплоснабжения, и действующая в (i-2)-м расчетном периоде регулирования, % 
(</t>
    </r>
    <r>
      <rPr>
        <b/>
        <sz val="11"/>
        <color theme="1"/>
        <rFont val="Tahoma"/>
        <family val="2"/>
        <charset val="204"/>
      </rPr>
      <t>t</t>
    </r>
    <r>
      <rPr>
        <b/>
        <vertAlign val="subscript"/>
        <sz val="11"/>
        <color theme="1"/>
        <rFont val="Tahoma"/>
        <family val="2"/>
        <charset val="204"/>
      </rPr>
      <t>i-2</t>
    </r>
    <r>
      <rPr>
        <b/>
        <vertAlign val="superscript"/>
        <sz val="11"/>
        <color theme="1"/>
        <rFont val="Tahoma"/>
        <family val="2"/>
        <charset val="204"/>
      </rPr>
      <t>з</t>
    </r>
    <r>
      <rPr>
        <sz val="10"/>
        <color theme="1"/>
        <rFont val="Tahoma"/>
        <family val="2"/>
        <charset val="204"/>
      </rPr>
      <t>)</t>
    </r>
  </si>
  <si>
    <t>7</t>
  </si>
  <si>
    <r>
      <t>Объем полезного отпуска тепловой энергии котельной,  тыс. Гкал (</t>
    </r>
    <r>
      <rPr>
        <b/>
        <sz val="11"/>
        <color theme="1"/>
        <rFont val="Tahoma"/>
        <family val="2"/>
        <charset val="204"/>
      </rPr>
      <t>Q</t>
    </r>
    <r>
      <rPr>
        <b/>
        <vertAlign val="superscript"/>
        <sz val="11"/>
        <color theme="1"/>
        <rFont val="Tahoma"/>
        <family val="2"/>
        <charset val="204"/>
      </rPr>
      <t>ПО</t>
    </r>
    <r>
      <rPr>
        <b/>
        <sz val="10"/>
        <color theme="1"/>
        <rFont val="Tahoma"/>
        <family val="2"/>
        <charset val="204"/>
      </rPr>
      <t>)</t>
    </r>
  </si>
  <si>
    <t>7.1</t>
  </si>
  <si>
    <r>
      <t>Установленная тепловая мощность котельной, Гкал/ч (</t>
    </r>
    <r>
      <rPr>
        <b/>
        <i/>
        <sz val="11"/>
        <color theme="1"/>
        <rFont val="Tahoma"/>
        <family val="2"/>
        <charset val="204"/>
      </rPr>
      <t>p</t>
    </r>
    <r>
      <rPr>
        <i/>
        <sz val="10"/>
        <color theme="1"/>
        <rFont val="Tahoma"/>
        <family val="2"/>
        <charset val="204"/>
      </rPr>
      <t>)</t>
    </r>
  </si>
  <si>
    <t>7.2</t>
  </si>
  <si>
    <r>
      <t>Коэффициент готовности, учитывающий продолжительность годовой работы оборудования (</t>
    </r>
    <r>
      <rPr>
        <b/>
        <i/>
        <sz val="11"/>
        <color theme="1"/>
        <rFont val="Tahoma"/>
        <family val="2"/>
        <charset val="204"/>
      </rPr>
      <t>К</t>
    </r>
    <r>
      <rPr>
        <b/>
        <i/>
        <vertAlign val="subscript"/>
        <sz val="11"/>
        <color theme="1"/>
        <rFont val="Tahoma"/>
        <family val="2"/>
        <charset val="204"/>
      </rPr>
      <t>r</t>
    </r>
    <r>
      <rPr>
        <i/>
        <sz val="10"/>
        <color theme="1"/>
        <rFont val="Tahoma"/>
        <family val="2"/>
        <charset val="204"/>
      </rPr>
      <t>)</t>
    </r>
  </si>
  <si>
    <t>7.3</t>
  </si>
  <si>
    <r>
      <t>Коэффициент использования установленной тепловой мощности котельной (</t>
    </r>
    <r>
      <rPr>
        <b/>
        <i/>
        <sz val="11"/>
        <rFont val="Tahoma"/>
        <family val="2"/>
        <charset val="204"/>
      </rPr>
      <t>КИУМ</t>
    </r>
    <r>
      <rPr>
        <i/>
        <sz val="10"/>
        <rFont val="Tahoma"/>
        <family val="2"/>
        <charset val="204"/>
      </rPr>
      <t>)</t>
    </r>
  </si>
  <si>
    <t>8</t>
  </si>
  <si>
    <r>
      <t>Прогнозный индекс цен производителей промышленной продукции (накопленным итогом), % (</t>
    </r>
    <r>
      <rPr>
        <b/>
        <sz val="11"/>
        <rFont val="Tahoma"/>
        <family val="2"/>
        <charset val="204"/>
      </rPr>
      <t>ИЦП</t>
    </r>
    <r>
      <rPr>
        <b/>
        <vertAlign val="subscript"/>
        <sz val="11"/>
        <rFont val="Tahoma"/>
        <family val="2"/>
        <charset val="204"/>
      </rPr>
      <t>i</t>
    </r>
    <r>
      <rPr>
        <b/>
        <sz val="10"/>
        <rFont val="Tahoma"/>
        <family val="2"/>
        <charset val="204"/>
      </rPr>
      <t>)</t>
    </r>
  </si>
  <si>
    <t>8.1</t>
  </si>
  <si>
    <r>
      <t>Индекс цен производителей промышленной продукции (в среднем за год к предыдущему году), % г/г (</t>
    </r>
    <r>
      <rPr>
        <b/>
        <sz val="11"/>
        <color indexed="8"/>
        <rFont val="Tahoma"/>
        <family val="2"/>
        <charset val="204"/>
      </rPr>
      <t>ИЦП</t>
    </r>
    <r>
      <rPr>
        <b/>
        <vertAlign val="superscript"/>
        <sz val="11"/>
        <color indexed="8"/>
        <rFont val="Tahoma"/>
        <family val="2"/>
        <charset val="204"/>
      </rPr>
      <t>п</t>
    </r>
    <r>
      <rPr>
        <b/>
        <vertAlign val="subscript"/>
        <sz val="11"/>
        <color indexed="8"/>
        <rFont val="Tahoma"/>
        <family val="2"/>
        <charset val="204"/>
      </rPr>
      <t>б+1</t>
    </r>
    <r>
      <rPr>
        <b/>
        <sz val="11"/>
        <color indexed="8"/>
        <rFont val="Tahoma"/>
        <family val="2"/>
        <charset val="204"/>
      </rPr>
      <t>, ИЦП</t>
    </r>
    <r>
      <rPr>
        <b/>
        <vertAlign val="superscript"/>
        <sz val="11"/>
        <color indexed="8"/>
        <rFont val="Tahoma"/>
        <family val="2"/>
        <charset val="204"/>
      </rPr>
      <t>п</t>
    </r>
    <r>
      <rPr>
        <b/>
        <vertAlign val="subscript"/>
        <sz val="11"/>
        <color indexed="8"/>
        <rFont val="Tahoma"/>
        <family val="2"/>
        <charset val="204"/>
      </rPr>
      <t>б+2</t>
    </r>
    <r>
      <rPr>
        <b/>
        <sz val="11"/>
        <color indexed="8"/>
        <rFont val="Tahoma"/>
        <family val="2"/>
        <charset val="204"/>
      </rPr>
      <t>,…,ИЦП</t>
    </r>
    <r>
      <rPr>
        <b/>
        <vertAlign val="superscript"/>
        <sz val="11"/>
        <color indexed="8"/>
        <rFont val="Tahoma"/>
        <family val="2"/>
        <charset val="204"/>
      </rPr>
      <t>п</t>
    </r>
    <r>
      <rPr>
        <b/>
        <vertAlign val="subscript"/>
        <sz val="11"/>
        <color indexed="8"/>
        <rFont val="Tahoma"/>
        <family val="2"/>
        <charset val="204"/>
      </rPr>
      <t>i</t>
    </r>
    <r>
      <rPr>
        <sz val="10"/>
        <color indexed="8"/>
        <rFont val="Tahoma"/>
        <family val="2"/>
        <charset val="204"/>
      </rPr>
      <t>)</t>
    </r>
  </si>
  <si>
    <t>Год</t>
  </si>
  <si>
    <t>Предельный уровень цены на тепловую энергию (мощность), рассчитанный в соответствии с частью 1 статьи 23.6 Федерального закона от 27.07.2010 N 190-ФЗ "О теплоснабжении" и Постановлением № 1562, а также сведения о параметрах, использованных при расчете</t>
  </si>
  <si>
    <r>
      <t>Составляющая предельного уровня цены на тепловую энергию (мощность), обеспечивающая компенсацию прочих расходов при производстве тепловой энергии котельной в i-м расчетном периоде регулирования, руб./Гкал (</t>
    </r>
    <r>
      <rPr>
        <b/>
        <sz val="11"/>
        <color theme="1"/>
        <rFont val="Tahoma"/>
        <family val="2"/>
        <charset val="204"/>
      </rPr>
      <t>ПР</t>
    </r>
    <r>
      <rPr>
        <b/>
        <vertAlign val="subscript"/>
        <sz val="11"/>
        <color theme="1"/>
        <rFont val="Tahoma"/>
        <family val="2"/>
        <charset val="204"/>
      </rPr>
      <t>i</t>
    </r>
    <r>
      <rPr>
        <sz val="11"/>
        <color theme="1"/>
        <rFont val="Tahoma"/>
        <family val="2"/>
        <charset val="204"/>
      </rPr>
      <t>)</t>
    </r>
  </si>
  <si>
    <r>
      <t>Составляющая предельного уровня цены на тепловую энергию (мощность), обеспечивающая создание резерва по сомнительным долгам в i-м расчетном периоде регулирования, руб./Гкал (</t>
    </r>
    <r>
      <rPr>
        <b/>
        <sz val="11"/>
        <color theme="1"/>
        <rFont val="Tahoma"/>
        <family val="2"/>
        <charset val="204"/>
      </rPr>
      <t>РД</t>
    </r>
    <r>
      <rPr>
        <b/>
        <vertAlign val="subscript"/>
        <sz val="11"/>
        <color theme="1"/>
        <rFont val="Tahoma"/>
        <family val="2"/>
        <charset val="204"/>
      </rPr>
      <t>i</t>
    </r>
    <r>
      <rPr>
        <sz val="11"/>
        <color theme="1"/>
        <rFont val="Tahoma"/>
        <family val="2"/>
        <charset val="204"/>
      </rPr>
      <t>)</t>
    </r>
  </si>
  <si>
    <r>
      <t xml:space="preserve">Составляющая предельного уровня цены на тепловую энергию (мощность), обеспечивающая учет отклонений фактических показателей от прогнозных показателей, используемых при расчете предельного уровня цены на тепловую энергию (мощность), в i-м расчетном периоде регулирования, руб./Гкал </t>
    </r>
    <r>
      <rPr>
        <sz val="11"/>
        <color theme="1"/>
        <rFont val="Tahoma"/>
        <family val="2"/>
        <charset val="204"/>
      </rPr>
      <t>(</t>
    </r>
    <r>
      <rPr>
        <b/>
        <sz val="11"/>
        <color theme="1"/>
        <rFont val="Calibri"/>
        <family val="2"/>
        <charset val="204"/>
      </rPr>
      <t>Δ</t>
    </r>
    <r>
      <rPr>
        <b/>
        <sz val="11"/>
        <color theme="1"/>
        <rFont val="Tahoma"/>
        <family val="2"/>
        <charset val="204"/>
      </rPr>
      <t>B</t>
    </r>
    <r>
      <rPr>
        <b/>
        <vertAlign val="subscript"/>
        <sz val="11"/>
        <color theme="1"/>
        <rFont val="Tahoma"/>
        <family val="2"/>
        <charset val="204"/>
      </rPr>
      <t>i</t>
    </r>
    <r>
      <rPr>
        <sz val="11"/>
        <color theme="1"/>
        <rFont val="Tahoma"/>
        <family val="2"/>
        <charset val="204"/>
      </rPr>
      <t>)</t>
    </r>
  </si>
  <si>
    <t>Низшая теплота сгорания натурального топлива (газа), ккал/кг</t>
  </si>
  <si>
    <r>
      <t>Фактическая цена на топливо (газ), используемое при производстве тепловой энергии котельной, с учетом затрат на его доставку, сложившаяся в системе теплоснабжения в (i-2)-м расчетном периоде регулирования, без НДС, руб./тыс. куб. м (</t>
    </r>
    <r>
      <rPr>
        <b/>
        <sz val="11"/>
        <color theme="1"/>
        <rFont val="Tahoma"/>
        <family val="2"/>
        <charset val="204"/>
      </rPr>
      <t>ЦТ</t>
    </r>
    <r>
      <rPr>
        <b/>
        <vertAlign val="subscript"/>
        <sz val="11"/>
        <color theme="1"/>
        <rFont val="Tahoma"/>
        <family val="2"/>
        <charset val="204"/>
      </rPr>
      <t>i-2,k</t>
    </r>
    <r>
      <rPr>
        <b/>
        <vertAlign val="superscript"/>
        <sz val="11"/>
        <color theme="1"/>
        <rFont val="Tahoma"/>
        <family val="2"/>
        <charset val="204"/>
      </rPr>
      <t>ф, нат.</t>
    </r>
    <r>
      <rPr>
        <sz val="10"/>
        <color theme="1"/>
        <rFont val="Tahoma"/>
        <family val="2"/>
        <charset val="204"/>
      </rPr>
      <t>)</t>
    </r>
  </si>
  <si>
    <t>1.2.1</t>
  </si>
  <si>
    <t>Организация с наибольшим объемом поставляемого, транспортируемого газа, осуществляющая свою деятельность на территории системы теплоснабжения</t>
  </si>
  <si>
    <t>1.2.2</t>
  </si>
  <si>
    <t>1.2.3</t>
  </si>
  <si>
    <t>1.2.4</t>
  </si>
  <si>
    <t>1.2.5</t>
  </si>
  <si>
    <r>
      <t>Удельный расход условного топлива при производстве тепловой энергии котельной с использованием газа в i-м расчетном периоде регулирования, кг у.т./Гкал (</t>
    </r>
    <r>
      <rPr>
        <b/>
        <i/>
        <sz val="11"/>
        <color theme="1"/>
        <rFont val="Tahoma"/>
        <family val="2"/>
        <charset val="204"/>
      </rPr>
      <t>b</t>
    </r>
    <r>
      <rPr>
        <b/>
        <i/>
        <vertAlign val="subscript"/>
        <sz val="11"/>
        <color theme="1"/>
        <rFont val="Tahoma"/>
        <family val="2"/>
        <charset val="204"/>
      </rPr>
      <t>i,k</t>
    </r>
    <r>
      <rPr>
        <i/>
        <sz val="10"/>
        <color theme="1"/>
        <rFont val="Tahoma"/>
        <family val="2"/>
        <charset val="204"/>
      </rPr>
      <t>)</t>
    </r>
  </si>
  <si>
    <r>
      <t>Коэффициент перевода натурального топлива в условное топливо, кг у.т./куб. м (</t>
    </r>
    <r>
      <rPr>
        <b/>
        <sz val="11"/>
        <color theme="1"/>
        <rFont val="Tahoma"/>
        <family val="2"/>
        <charset val="204"/>
      </rPr>
      <t>К</t>
    </r>
    <r>
      <rPr>
        <sz val="10"/>
        <color theme="1"/>
        <rFont val="Tahoma"/>
        <family val="2"/>
        <charset val="204"/>
      </rPr>
      <t>)</t>
    </r>
  </si>
  <si>
    <t>Расстояние от границы системы теплоснабжения до границы ближайшего административного центра субъекта РФ с железнодорожным сообщением, км</t>
  </si>
  <si>
    <t xml:space="preserve">Поселение, городской округ, на территории которого находится система теплоснабжения, отнесено к территории распространения вечномерзлых грунтов? </t>
  </si>
  <si>
    <r>
      <t>Величина капитальных затрат на строительство котельной с использованием газа в i-м расчетном периоде регулирования, тыс. руб. (</t>
    </r>
    <r>
      <rPr>
        <b/>
        <sz val="11"/>
        <color theme="1"/>
        <rFont val="Tahoma"/>
        <family val="2"/>
        <charset val="204"/>
      </rPr>
      <t>КЗ</t>
    </r>
    <r>
      <rPr>
        <b/>
        <vertAlign val="subscript"/>
        <sz val="11"/>
        <color theme="1"/>
        <rFont val="Tahoma"/>
        <family val="2"/>
        <charset val="204"/>
      </rPr>
      <t>i,k</t>
    </r>
    <r>
      <rPr>
        <b/>
        <vertAlign val="superscript"/>
        <sz val="11"/>
        <color theme="1"/>
        <rFont val="Tahoma"/>
        <family val="2"/>
        <charset val="204"/>
      </rPr>
      <t>кот</t>
    </r>
    <r>
      <rPr>
        <sz val="10"/>
        <color theme="1"/>
        <rFont val="Tahoma"/>
        <family val="2"/>
        <charset val="204"/>
      </rPr>
      <t>)</t>
    </r>
  </si>
  <si>
    <r>
      <t>Базовая величина капитальных затрат на строительство котельной с использованием газа в базовом (2019) году (</t>
    </r>
    <r>
      <rPr>
        <b/>
        <i/>
        <sz val="11"/>
        <color theme="1"/>
        <rFont val="Tahoma"/>
        <family val="2"/>
        <charset val="204"/>
      </rPr>
      <t>КЗ</t>
    </r>
    <r>
      <rPr>
        <b/>
        <i/>
        <vertAlign val="subscript"/>
        <sz val="11"/>
        <color theme="1"/>
        <rFont val="Tahoma"/>
        <family val="2"/>
        <charset val="204"/>
      </rPr>
      <t>б,k</t>
    </r>
    <r>
      <rPr>
        <b/>
        <i/>
        <vertAlign val="superscript"/>
        <sz val="11"/>
        <color theme="1"/>
        <rFont val="Tahoma"/>
        <family val="2"/>
        <charset val="204"/>
      </rPr>
      <t>кот(б)</t>
    </r>
    <r>
      <rPr>
        <i/>
        <sz val="10"/>
        <color theme="1"/>
        <rFont val="Tahoma"/>
        <family val="2"/>
        <charset val="204"/>
      </rPr>
      <t>)</t>
    </r>
  </si>
  <si>
    <r>
      <t>Удельная базовая стоимость земельного участка, тыс. руб./ кв. м (</t>
    </r>
    <r>
      <rPr>
        <b/>
        <sz val="11"/>
        <color theme="1"/>
        <rFont val="Tahoma"/>
        <family val="2"/>
        <charset val="204"/>
      </rPr>
      <t>Р</t>
    </r>
    <r>
      <rPr>
        <b/>
        <vertAlign val="subscript"/>
        <sz val="11"/>
        <color theme="1"/>
        <rFont val="Tahoma"/>
        <family val="2"/>
        <charset val="204"/>
      </rPr>
      <t>k,б</t>
    </r>
    <r>
      <rPr>
        <sz val="10"/>
        <color theme="1"/>
        <rFont val="Tahoma"/>
        <family val="2"/>
        <charset val="204"/>
      </rPr>
      <t>)</t>
    </r>
  </si>
  <si>
    <r>
      <t>Площадь земельного участка для размещения котельной с использованием газа, кв. м (</t>
    </r>
    <r>
      <rPr>
        <b/>
        <i/>
        <sz val="11"/>
        <color theme="1"/>
        <rFont val="Tahoma"/>
        <family val="2"/>
        <charset val="204"/>
      </rPr>
      <t>S</t>
    </r>
    <r>
      <rPr>
        <b/>
        <i/>
        <vertAlign val="subscript"/>
        <sz val="11"/>
        <color theme="1"/>
        <rFont val="Tahoma"/>
        <family val="2"/>
        <charset val="204"/>
      </rPr>
      <t>k</t>
    </r>
    <r>
      <rPr>
        <i/>
        <sz val="10"/>
        <color theme="1"/>
        <rFont val="Tahoma"/>
        <family val="2"/>
        <charset val="204"/>
      </rPr>
      <t>)</t>
    </r>
  </si>
  <si>
    <r>
      <t>Затраты на подключение (технологическое присоединение) котельной с использованием газа к электрическим сетям, к централизованной системе водоснабжения и водоотведения, к газораспределительным сетям в i-м расчетном периоде регулирования, тыс. руб. (</t>
    </r>
    <r>
      <rPr>
        <b/>
        <sz val="11"/>
        <color theme="1"/>
        <rFont val="Tahoma"/>
        <family val="2"/>
        <charset val="204"/>
      </rPr>
      <t>ТП</t>
    </r>
    <r>
      <rPr>
        <b/>
        <vertAlign val="subscript"/>
        <sz val="11"/>
        <color theme="1"/>
        <rFont val="Tahoma"/>
        <family val="2"/>
        <charset val="204"/>
      </rPr>
      <t>i,k</t>
    </r>
    <r>
      <rPr>
        <sz val="10"/>
        <color theme="1"/>
        <rFont val="Tahoma"/>
        <family val="2"/>
        <charset val="204"/>
      </rPr>
      <t>)</t>
    </r>
  </si>
  <si>
    <r>
      <t>Базовая величина затрат на подключение (технологическое присоединение) котельной с использованием газа к электрическим сетям (</t>
    </r>
    <r>
      <rPr>
        <b/>
        <i/>
        <sz val="11"/>
        <color theme="1"/>
        <rFont val="Tahoma"/>
        <family val="2"/>
        <charset val="204"/>
      </rPr>
      <t>ТП</t>
    </r>
    <r>
      <rPr>
        <b/>
        <i/>
        <vertAlign val="subscript"/>
        <sz val="11"/>
        <color theme="1"/>
        <rFont val="Tahoma"/>
        <family val="2"/>
        <charset val="204"/>
      </rPr>
      <t>б,k</t>
    </r>
    <r>
      <rPr>
        <b/>
        <i/>
        <vertAlign val="superscript"/>
        <sz val="11"/>
        <color theme="1"/>
        <rFont val="Tahoma"/>
        <family val="2"/>
        <charset val="204"/>
      </rPr>
      <t>эс</t>
    </r>
    <r>
      <rPr>
        <i/>
        <sz val="10"/>
        <color theme="1"/>
        <rFont val="Tahoma"/>
        <family val="2"/>
        <charset val="204"/>
      </rPr>
      <t>)</t>
    </r>
  </si>
  <si>
    <t>2.8.4</t>
  </si>
  <si>
    <r>
      <t>Базовая величина затрат на подключение (технологическое присоединение) к газораспределительным сетям, тыс. руб. (</t>
    </r>
    <r>
      <rPr>
        <b/>
        <i/>
        <sz val="11"/>
        <color theme="1"/>
        <rFont val="Tahoma"/>
        <family val="2"/>
        <charset val="204"/>
      </rPr>
      <t>ТП</t>
    </r>
    <r>
      <rPr>
        <b/>
        <i/>
        <vertAlign val="subscript"/>
        <sz val="11"/>
        <color theme="1"/>
        <rFont val="Tahoma"/>
        <family val="2"/>
        <charset val="204"/>
      </rPr>
      <t>б</t>
    </r>
    <r>
      <rPr>
        <b/>
        <i/>
        <vertAlign val="superscript"/>
        <sz val="11"/>
        <color theme="1"/>
        <rFont val="Tahoma"/>
        <family val="2"/>
        <charset val="204"/>
      </rPr>
      <t>гс</t>
    </r>
    <r>
      <rPr>
        <i/>
        <sz val="10"/>
        <color theme="1"/>
        <rFont val="Tahoma"/>
        <family val="2"/>
        <charset val="204"/>
      </rPr>
      <t>)</t>
    </r>
  </si>
  <si>
    <r>
      <t>Расходы на техническое обслуживание и ремонт основных средств котельной с использованием газа и тепловых сетей в базовом (2019) году, тыс. руб. (</t>
    </r>
    <r>
      <rPr>
        <b/>
        <sz val="11"/>
        <color theme="1"/>
        <rFont val="Tahoma"/>
        <family val="2"/>
        <charset val="204"/>
      </rPr>
      <t>ТО</t>
    </r>
    <r>
      <rPr>
        <b/>
        <vertAlign val="subscript"/>
        <sz val="11"/>
        <color theme="1"/>
        <rFont val="Tahoma"/>
        <family val="2"/>
        <charset val="204"/>
      </rPr>
      <t>б,k</t>
    </r>
    <r>
      <rPr>
        <sz val="10"/>
        <color theme="1"/>
        <rFont val="Tahoma"/>
        <family val="2"/>
        <charset val="204"/>
      </rPr>
      <t>)</t>
    </r>
  </si>
  <si>
    <r>
      <t>Базовая величина капитальных затрат на основные средства котельной с использованием газа в базовом году, тыс. руб. (</t>
    </r>
    <r>
      <rPr>
        <b/>
        <i/>
        <sz val="11"/>
        <color theme="1"/>
        <rFont val="Tahoma"/>
        <family val="2"/>
        <charset val="204"/>
      </rPr>
      <t>КЗО</t>
    </r>
    <r>
      <rPr>
        <b/>
        <i/>
        <vertAlign val="subscript"/>
        <sz val="11"/>
        <color theme="1"/>
        <rFont val="Tahoma"/>
        <family val="2"/>
        <charset val="204"/>
      </rPr>
      <t>б,k</t>
    </r>
    <r>
      <rPr>
        <b/>
        <i/>
        <vertAlign val="superscript"/>
        <sz val="11"/>
        <color theme="1"/>
        <rFont val="Tahoma"/>
        <family val="2"/>
        <charset val="204"/>
      </rPr>
      <t>кот(б)</t>
    </r>
    <r>
      <rPr>
        <i/>
        <sz val="10"/>
        <color theme="1"/>
        <rFont val="Tahoma"/>
        <family val="2"/>
        <charset val="204"/>
      </rPr>
      <t>)</t>
    </r>
  </si>
  <si>
    <r>
      <t>Расходы на электрическую энергию на собственные нужды котельной с использованием газа в базовом (2019) году, тыс. руб. (</t>
    </r>
    <r>
      <rPr>
        <b/>
        <sz val="11"/>
        <color theme="1"/>
        <rFont val="Tahoma"/>
        <family val="2"/>
        <charset val="204"/>
      </rPr>
      <t>РЭ</t>
    </r>
    <r>
      <rPr>
        <b/>
        <vertAlign val="subscript"/>
        <sz val="11"/>
        <color theme="1"/>
        <rFont val="Tahoma"/>
        <family val="2"/>
        <charset val="204"/>
      </rPr>
      <t>б,k</t>
    </r>
    <r>
      <rPr>
        <sz val="10"/>
        <color theme="1"/>
        <rFont val="Tahoma"/>
        <family val="2"/>
        <charset val="204"/>
      </rPr>
      <t>)</t>
    </r>
  </si>
  <si>
    <r>
      <t>Общая максимальная мощность энергопринимающих устройств котельной с использованием газа, кВт (</t>
    </r>
    <r>
      <rPr>
        <b/>
        <i/>
        <sz val="11"/>
        <color theme="1"/>
        <rFont val="Tahoma"/>
        <family val="2"/>
        <charset val="204"/>
      </rPr>
      <t>Э</t>
    </r>
    <r>
      <rPr>
        <b/>
        <i/>
        <vertAlign val="subscript"/>
        <sz val="11"/>
        <color theme="1"/>
        <rFont val="Tahoma"/>
        <family val="2"/>
        <charset val="204"/>
      </rPr>
      <t>k</t>
    </r>
    <r>
      <rPr>
        <i/>
        <sz val="10"/>
        <color theme="1"/>
        <rFont val="Tahoma"/>
        <family val="2"/>
        <charset val="204"/>
      </rPr>
      <t>)</t>
    </r>
  </si>
  <si>
    <r>
      <t>Расходы на оплату труда персонала котельной с использованием газа в базовом (2019) году, тыс. руб. (</t>
    </r>
    <r>
      <rPr>
        <b/>
        <sz val="11"/>
        <color theme="1"/>
        <rFont val="Tahoma"/>
        <family val="2"/>
        <charset val="204"/>
      </rPr>
      <t>РП</t>
    </r>
    <r>
      <rPr>
        <b/>
        <vertAlign val="subscript"/>
        <sz val="11"/>
        <color theme="1"/>
        <rFont val="Tahoma"/>
        <family val="2"/>
        <charset val="204"/>
      </rPr>
      <t>б,k</t>
    </r>
    <r>
      <rPr>
        <sz val="10"/>
        <color theme="1"/>
        <rFont val="Tahoma"/>
        <family val="2"/>
        <charset val="204"/>
      </rPr>
      <t>)</t>
    </r>
  </si>
  <si>
    <t>Заработная плата сотрудников котельной, производящей тепловую энергию с использованием газа, в базовом (2019) году, тыс. руб.</t>
  </si>
  <si>
    <r>
      <t>Фактическая ставка налога на имущество, установленная в соответствующем субъекте Российской Федерации (без учета специальных льгот по налогу на имущество организаций) в соответствии с законодательством Российской Федерации о налогах и сборах и действующая в (i-2)-м расчетном периоде регулирования, % (</t>
    </r>
    <r>
      <rPr>
        <b/>
        <sz val="11"/>
        <color theme="1"/>
        <rFont val="Tahoma"/>
        <family val="2"/>
        <charset val="204"/>
      </rPr>
      <t>t</t>
    </r>
    <r>
      <rPr>
        <b/>
        <vertAlign val="subscript"/>
        <sz val="11"/>
        <color theme="1"/>
        <rFont val="Tahoma"/>
        <family val="2"/>
        <charset val="204"/>
      </rPr>
      <t>i-2</t>
    </r>
    <r>
      <rPr>
        <b/>
        <vertAlign val="superscript"/>
        <sz val="11"/>
        <color theme="1"/>
        <rFont val="Tahoma"/>
        <family val="2"/>
        <charset val="204"/>
      </rPr>
      <t>им</t>
    </r>
    <r>
      <rPr>
        <sz val="10"/>
        <color theme="1"/>
        <rFont val="Tahoma"/>
        <family val="2"/>
        <charset val="204"/>
      </rPr>
      <t>)</t>
    </r>
  </si>
  <si>
    <r>
      <t>Индекс цен производителей промышленной продукции (накопленным итогом), % (</t>
    </r>
    <r>
      <rPr>
        <b/>
        <sz val="11"/>
        <rFont val="Tahoma"/>
        <family val="2"/>
        <charset val="204"/>
      </rPr>
      <t>ИЦП</t>
    </r>
    <r>
      <rPr>
        <b/>
        <vertAlign val="subscript"/>
        <sz val="11"/>
        <rFont val="Tahoma"/>
        <family val="2"/>
        <charset val="204"/>
      </rPr>
      <t>i</t>
    </r>
    <r>
      <rPr>
        <b/>
        <sz val="10"/>
        <rFont val="Tahoma"/>
        <family val="2"/>
        <charset val="204"/>
      </rPr>
      <t>)</t>
    </r>
  </si>
</sst>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0.000"/>
    <numFmt numFmtId="165" formatCode="#,##0.0"/>
    <numFmt numFmtId="166" formatCode="0.0%"/>
    <numFmt numFmtId="167" formatCode="0.000"/>
  </numFmts>
  <fonts count="33" x14ac:knownFonts="1">
    <font>
      <sz val="11"/>
      <color theme="1"/>
      <name val="Calibri"/>
      <family val="2"/>
      <charset val="204"/>
      <scheme val="minor"/>
    </font>
    <font>
      <sz val="11"/>
      <color theme="1"/>
      <name val="Calibri"/>
      <family val="2"/>
      <charset val="204"/>
      <scheme val="minor"/>
    </font>
    <font>
      <sz val="10"/>
      <color indexed="8"/>
      <name val="Tahoma"/>
      <family val="2"/>
      <charset val="204"/>
    </font>
    <font>
      <b/>
      <sz val="11"/>
      <name val="Tahoma"/>
      <family val="2"/>
      <charset val="204"/>
    </font>
    <font>
      <b/>
      <sz val="10"/>
      <color indexed="8"/>
      <name val="Tahoma"/>
      <family val="2"/>
      <charset val="204"/>
    </font>
    <font>
      <b/>
      <sz val="11"/>
      <color theme="1"/>
      <name val="Tahoma"/>
      <family val="2"/>
      <charset val="204"/>
    </font>
    <font>
      <b/>
      <vertAlign val="subscript"/>
      <sz val="11"/>
      <color theme="1"/>
      <name val="Tahoma"/>
      <family val="2"/>
      <charset val="204"/>
    </font>
    <font>
      <sz val="10"/>
      <color theme="1"/>
      <name val="Tahoma"/>
      <family val="2"/>
      <charset val="204"/>
    </font>
    <font>
      <b/>
      <sz val="11"/>
      <color theme="1"/>
      <name val="Calibri"/>
      <family val="2"/>
      <charset val="204"/>
    </font>
    <font>
      <b/>
      <vertAlign val="superscript"/>
      <sz val="11"/>
      <color theme="1"/>
      <name val="Tahoma"/>
      <family val="2"/>
      <charset val="204"/>
    </font>
    <font>
      <i/>
      <sz val="10"/>
      <color indexed="8"/>
      <name val="Tahoma"/>
      <family val="2"/>
      <charset val="204"/>
    </font>
    <font>
      <b/>
      <i/>
      <sz val="11"/>
      <color theme="1"/>
      <name val="Tahoma"/>
      <family val="2"/>
      <charset val="204"/>
    </font>
    <font>
      <b/>
      <i/>
      <vertAlign val="subscript"/>
      <sz val="11"/>
      <color theme="1"/>
      <name val="Tahoma"/>
      <family val="2"/>
      <charset val="204"/>
    </font>
    <font>
      <i/>
      <sz val="10"/>
      <color theme="1"/>
      <name val="Tahoma"/>
      <family val="2"/>
      <charset val="204"/>
    </font>
    <font>
      <sz val="10"/>
      <name val="Tahoma"/>
      <family val="2"/>
      <charset val="204"/>
    </font>
    <font>
      <b/>
      <vertAlign val="superscript"/>
      <sz val="11"/>
      <name val="Tahoma"/>
      <family val="2"/>
      <charset val="204"/>
    </font>
    <font>
      <b/>
      <i/>
      <sz val="10"/>
      <color theme="1"/>
      <name val="Tahoma"/>
      <family val="2"/>
      <charset val="204"/>
    </font>
    <font>
      <b/>
      <i/>
      <vertAlign val="superscript"/>
      <sz val="10"/>
      <color theme="1"/>
      <name val="Tahoma"/>
      <family val="2"/>
      <charset val="204"/>
    </font>
    <font>
      <sz val="11"/>
      <color theme="1"/>
      <name val="Tahoma"/>
      <family val="2"/>
      <charset val="204"/>
    </font>
    <font>
      <b/>
      <i/>
      <sz val="10"/>
      <color indexed="8"/>
      <name val="Tahoma"/>
      <family val="2"/>
      <charset val="204"/>
    </font>
    <font>
      <b/>
      <sz val="10"/>
      <color theme="1"/>
      <name val="Tahoma"/>
      <family val="2"/>
      <charset val="204"/>
    </font>
    <font>
      <b/>
      <vertAlign val="superscript"/>
      <sz val="10"/>
      <color theme="1"/>
      <name val="Tahoma"/>
      <family val="2"/>
      <charset val="204"/>
    </font>
    <font>
      <b/>
      <i/>
      <vertAlign val="subscript"/>
      <sz val="10"/>
      <color theme="1"/>
      <name val="Tahoma"/>
      <family val="2"/>
      <charset val="204"/>
    </font>
    <font>
      <b/>
      <i/>
      <vertAlign val="superscript"/>
      <sz val="11"/>
      <color theme="1"/>
      <name val="Tahoma"/>
      <family val="2"/>
      <charset val="204"/>
    </font>
    <font>
      <b/>
      <sz val="11"/>
      <color indexed="8"/>
      <name val="Tahoma"/>
      <family val="2"/>
      <charset val="204"/>
    </font>
    <font>
      <b/>
      <vertAlign val="subscript"/>
      <sz val="10"/>
      <color theme="1"/>
      <name val="Tahoma"/>
      <family val="2"/>
      <charset val="204"/>
    </font>
    <font>
      <b/>
      <i/>
      <sz val="11"/>
      <name val="Tahoma"/>
      <family val="2"/>
      <charset val="204"/>
    </font>
    <font>
      <i/>
      <sz val="10"/>
      <name val="Tahoma"/>
      <family val="2"/>
      <charset val="204"/>
    </font>
    <font>
      <sz val="10"/>
      <name val="Arial Cyr"/>
      <charset val="204"/>
    </font>
    <font>
      <b/>
      <sz val="10"/>
      <name val="Tahoma"/>
      <family val="2"/>
      <charset val="204"/>
    </font>
    <font>
      <b/>
      <vertAlign val="subscript"/>
      <sz val="11"/>
      <name val="Tahoma"/>
      <family val="2"/>
      <charset val="204"/>
    </font>
    <font>
      <b/>
      <vertAlign val="superscript"/>
      <sz val="11"/>
      <color indexed="8"/>
      <name val="Tahoma"/>
      <family val="2"/>
      <charset val="204"/>
    </font>
    <font>
      <b/>
      <vertAlign val="subscript"/>
      <sz val="11"/>
      <color indexed="8"/>
      <name val="Tahoma"/>
      <family val="2"/>
      <charset val="204"/>
    </font>
  </fonts>
  <fills count="3">
    <fill>
      <patternFill patternType="none"/>
    </fill>
    <fill>
      <patternFill patternType="gray125"/>
    </fill>
    <fill>
      <patternFill patternType="solid">
        <fgColor theme="0"/>
        <bgColor indexed="64"/>
      </patternFill>
    </fill>
  </fills>
  <borders count="23">
    <border>
      <left/>
      <right/>
      <top/>
      <bottom/>
      <diagonal/>
    </border>
    <border>
      <left/>
      <right/>
      <top/>
      <bottom style="medium">
        <color indexed="64"/>
      </bottom>
      <diagonal/>
    </border>
    <border>
      <left style="medium">
        <color indexed="64"/>
      </left>
      <right style="thin">
        <color auto="1"/>
      </right>
      <top style="medium">
        <color indexed="64"/>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auto="1"/>
      </right>
      <top style="medium">
        <color indexed="64"/>
      </top>
      <bottom style="thin">
        <color auto="1"/>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bottom/>
      <diagonal/>
    </border>
    <border>
      <left/>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auto="1"/>
      </left>
      <right style="thin">
        <color auto="1"/>
      </right>
      <top/>
      <bottom/>
      <diagonal/>
    </border>
    <border>
      <left style="thin">
        <color indexed="64"/>
      </left>
      <right style="medium">
        <color indexed="64"/>
      </right>
      <top/>
      <bottom/>
      <diagonal/>
    </border>
    <border>
      <left/>
      <right/>
      <top style="medium">
        <color auto="1"/>
      </top>
      <bottom/>
      <diagonal/>
    </border>
  </borders>
  <cellStyleXfs count="4">
    <xf numFmtId="0" fontId="0" fillId="0" borderId="0"/>
    <xf numFmtId="9" fontId="1" fillId="0" borderId="0" applyFont="0" applyFill="0" applyBorder="0" applyAlignment="0" applyProtection="0"/>
    <xf numFmtId="0" fontId="1" fillId="0" borderId="0"/>
    <xf numFmtId="0" fontId="28" fillId="0" borderId="0"/>
  </cellStyleXfs>
  <cellXfs count="148">
    <xf numFmtId="0" fontId="0" fillId="0" borderId="0" xfId="0"/>
    <xf numFmtId="10" fontId="2" fillId="2" borderId="0" xfId="2" applyNumberFormat="1" applyFont="1" applyFill="1" applyAlignment="1">
      <alignment wrapText="1"/>
    </xf>
    <xf numFmtId="0" fontId="2" fillId="2" borderId="0" xfId="2" applyFont="1" applyFill="1"/>
    <xf numFmtId="0" fontId="2" fillId="2" borderId="0" xfId="2" applyFont="1" applyFill="1" applyAlignment="1">
      <alignment wrapText="1"/>
    </xf>
    <xf numFmtId="0" fontId="2" fillId="2" borderId="0" xfId="2" applyFont="1" applyFill="1" applyAlignment="1">
      <alignment horizontal="right"/>
    </xf>
    <xf numFmtId="14" fontId="2" fillId="2" borderId="0" xfId="2" applyNumberFormat="1" applyFont="1" applyFill="1" applyAlignment="1">
      <alignment horizontal="center" vertical="center" wrapText="1"/>
    </xf>
    <xf numFmtId="0" fontId="4" fillId="2" borderId="0" xfId="2" applyFont="1" applyFill="1" applyAlignment="1">
      <alignment horizontal="left"/>
    </xf>
    <xf numFmtId="0" fontId="2" fillId="2" borderId="0" xfId="2" applyFont="1" applyFill="1" applyAlignment="1">
      <alignment horizontal="center" vertical="center"/>
    </xf>
    <xf numFmtId="0" fontId="2" fillId="2" borderId="0" xfId="2" applyFont="1" applyFill="1" applyBorder="1" applyAlignment="1">
      <alignment wrapText="1"/>
    </xf>
    <xf numFmtId="0" fontId="2" fillId="2" borderId="0" xfId="2" applyFont="1" applyFill="1" applyBorder="1" applyAlignment="1">
      <alignment horizontal="left" vertical="center" wrapText="1"/>
    </xf>
    <xf numFmtId="0" fontId="2" fillId="2" borderId="0" xfId="2" applyNumberFormat="1" applyFont="1" applyFill="1" applyBorder="1" applyAlignment="1">
      <alignment horizontal="center" vertical="center" wrapText="1"/>
    </xf>
    <xf numFmtId="49" fontId="2" fillId="2" borderId="0" xfId="2" applyNumberFormat="1" applyFont="1" applyFill="1" applyBorder="1" applyAlignment="1">
      <alignment horizontal="center" vertical="center" wrapText="1"/>
    </xf>
    <xf numFmtId="0" fontId="2" fillId="2" borderId="0" xfId="2" applyFont="1" applyFill="1" applyBorder="1" applyAlignment="1">
      <alignment vertical="center" wrapText="1"/>
    </xf>
    <xf numFmtId="0" fontId="2" fillId="2" borderId="0" xfId="2" applyFont="1" applyFill="1" applyBorder="1" applyAlignment="1">
      <alignment horizontal="center" vertical="center" wrapText="1"/>
    </xf>
    <xf numFmtId="1" fontId="2" fillId="2" borderId="0" xfId="2" applyNumberFormat="1" applyFont="1" applyFill="1" applyBorder="1" applyAlignment="1">
      <alignment horizontal="center" vertical="center" wrapText="1"/>
    </xf>
    <xf numFmtId="4" fontId="2" fillId="2" borderId="0" xfId="2" applyNumberFormat="1" applyFont="1" applyFill="1" applyBorder="1" applyAlignment="1">
      <alignment horizontal="center" vertical="center" wrapText="1"/>
    </xf>
    <xf numFmtId="4" fontId="4" fillId="2" borderId="2" xfId="2" applyNumberFormat="1" applyFont="1" applyFill="1" applyBorder="1" applyAlignment="1">
      <alignment horizontal="center" vertical="center" wrapText="1"/>
    </xf>
    <xf numFmtId="4" fontId="4" fillId="0" borderId="3" xfId="2" applyNumberFormat="1" applyFont="1" applyFill="1" applyBorder="1" applyAlignment="1">
      <alignment horizontal="center" vertical="center" wrapText="1"/>
    </xf>
    <xf numFmtId="4" fontId="4" fillId="0" borderId="4" xfId="2" applyNumberFormat="1" applyFont="1" applyFill="1" applyBorder="1" applyAlignment="1">
      <alignment horizontal="center" vertical="center" wrapText="1"/>
    </xf>
    <xf numFmtId="0" fontId="4" fillId="2" borderId="5" xfId="2" applyFont="1" applyFill="1" applyBorder="1" applyAlignment="1">
      <alignment horizontal="center" vertical="center" wrapText="1"/>
    </xf>
    <xf numFmtId="0" fontId="4" fillId="0" borderId="6" xfId="2" applyFont="1" applyBorder="1" applyAlignment="1">
      <alignment horizontal="center" vertical="center" wrapText="1"/>
    </xf>
    <xf numFmtId="0" fontId="4" fillId="0" borderId="7" xfId="2" applyFont="1" applyBorder="1" applyAlignment="1">
      <alignment horizontal="center" vertical="center" wrapText="1"/>
    </xf>
    <xf numFmtId="49" fontId="2" fillId="2" borderId="5" xfId="2" applyNumberFormat="1" applyFont="1" applyFill="1" applyBorder="1" applyAlignment="1">
      <alignment horizontal="right" vertical="center" wrapText="1"/>
    </xf>
    <xf numFmtId="0" fontId="4" fillId="2" borderId="6" xfId="2" applyFont="1" applyFill="1" applyBorder="1" applyAlignment="1">
      <alignment vertical="center" wrapText="1"/>
    </xf>
    <xf numFmtId="4" fontId="4" fillId="2" borderId="7" xfId="2" applyNumberFormat="1" applyFont="1" applyFill="1" applyBorder="1" applyAlignment="1">
      <alignment horizontal="center" vertical="center" wrapText="1"/>
    </xf>
    <xf numFmtId="0" fontId="2" fillId="2" borderId="6" xfId="2" applyFont="1" applyFill="1" applyBorder="1" applyAlignment="1">
      <alignment horizontal="left" vertical="center" wrapText="1"/>
    </xf>
    <xf numFmtId="4" fontId="2" fillId="2" borderId="7" xfId="2" applyNumberFormat="1" applyFont="1" applyFill="1" applyBorder="1" applyAlignment="1">
      <alignment horizontal="center" vertical="center" wrapText="1"/>
    </xf>
    <xf numFmtId="49" fontId="2" fillId="2" borderId="8" xfId="2" applyNumberFormat="1" applyFont="1" applyFill="1" applyBorder="1" applyAlignment="1">
      <alignment horizontal="right" vertical="center" wrapText="1"/>
    </xf>
    <xf numFmtId="4" fontId="2" fillId="2" borderId="10" xfId="2" applyNumberFormat="1" applyFont="1" applyFill="1" applyBorder="1" applyAlignment="1">
      <alignment horizontal="center" vertical="center" wrapText="1"/>
    </xf>
    <xf numFmtId="4" fontId="4" fillId="2" borderId="11" xfId="2" applyNumberFormat="1" applyFont="1" applyFill="1" applyBorder="1" applyAlignment="1">
      <alignment horizontal="center" vertical="center" wrapText="1"/>
    </xf>
    <xf numFmtId="4" fontId="4" fillId="2" borderId="3" xfId="2" applyNumberFormat="1" applyFont="1" applyFill="1" applyBorder="1" applyAlignment="1">
      <alignment horizontal="center" vertical="center" wrapText="1"/>
    </xf>
    <xf numFmtId="3" fontId="4" fillId="2" borderId="12" xfId="2" applyNumberFormat="1" applyFont="1" applyFill="1" applyBorder="1" applyAlignment="1">
      <alignment horizontal="center" vertical="center" wrapText="1"/>
    </xf>
    <xf numFmtId="3" fontId="4" fillId="2" borderId="6" xfId="2" applyNumberFormat="1" applyFont="1" applyFill="1" applyBorder="1" applyAlignment="1">
      <alignment horizontal="center" vertical="center" wrapText="1"/>
    </xf>
    <xf numFmtId="0" fontId="2" fillId="2" borderId="12" xfId="2" applyFont="1" applyFill="1" applyBorder="1" applyAlignment="1">
      <alignment horizontal="left" vertical="center" wrapText="1" indent="2"/>
    </xf>
    <xf numFmtId="4" fontId="2" fillId="2" borderId="6" xfId="2" applyNumberFormat="1" applyFont="1" applyFill="1" applyBorder="1" applyAlignment="1">
      <alignment horizontal="center" vertical="center" wrapText="1"/>
    </xf>
    <xf numFmtId="10" fontId="2" fillId="2" borderId="6" xfId="1" applyNumberFormat="1" applyFont="1" applyFill="1" applyBorder="1" applyAlignment="1">
      <alignment horizontal="center" vertical="center" wrapText="1"/>
    </xf>
    <xf numFmtId="0" fontId="10" fillId="2" borderId="12" xfId="2" applyFont="1" applyFill="1" applyBorder="1" applyAlignment="1">
      <alignment horizontal="left" vertical="center" wrapText="1" indent="2"/>
    </xf>
    <xf numFmtId="4" fontId="2" fillId="2" borderId="6" xfId="2" applyNumberFormat="1" applyFont="1" applyFill="1" applyBorder="1" applyAlignment="1">
      <alignment horizontal="center" vertical="center"/>
    </xf>
    <xf numFmtId="3" fontId="2" fillId="2" borderId="6" xfId="2" applyNumberFormat="1" applyFont="1" applyFill="1" applyBorder="1" applyAlignment="1">
      <alignment horizontal="center" vertical="center"/>
    </xf>
    <xf numFmtId="0" fontId="2" fillId="2" borderId="6" xfId="2" applyFont="1" applyFill="1" applyBorder="1" applyAlignment="1">
      <alignment horizontal="left" vertical="center" wrapText="1" indent="2"/>
    </xf>
    <xf numFmtId="164" fontId="2" fillId="2" borderId="6" xfId="2" applyNumberFormat="1" applyFont="1" applyFill="1" applyBorder="1" applyAlignment="1">
      <alignment horizontal="center" vertical="center" wrapText="1"/>
    </xf>
    <xf numFmtId="49" fontId="7" fillId="2" borderId="5" xfId="0" applyNumberFormat="1" applyFont="1" applyFill="1" applyBorder="1" applyAlignment="1">
      <alignment horizontal="right" vertical="center"/>
    </xf>
    <xf numFmtId="0" fontId="14" fillId="0" borderId="6" xfId="0" applyFont="1" applyFill="1" applyBorder="1" applyAlignment="1">
      <alignment horizontal="left" vertical="center" wrapText="1" indent="3"/>
    </xf>
    <xf numFmtId="0" fontId="7" fillId="2" borderId="6" xfId="0" applyFont="1" applyFill="1" applyBorder="1" applyAlignment="1">
      <alignment horizontal="left" vertical="center" wrapText="1" indent="5"/>
    </xf>
    <xf numFmtId="0" fontId="13" fillId="2" borderId="6" xfId="0" applyFont="1" applyFill="1" applyBorder="1" applyAlignment="1">
      <alignment horizontal="left" vertical="center" wrapText="1" indent="5"/>
    </xf>
    <xf numFmtId="0" fontId="10" fillId="2" borderId="14" xfId="2" applyFont="1" applyFill="1" applyBorder="1" applyAlignment="1">
      <alignment horizontal="left" vertical="center" wrapText="1" indent="2"/>
    </xf>
    <xf numFmtId="164" fontId="2" fillId="2" borderId="9" xfId="2" applyNumberFormat="1" applyFont="1" applyFill="1" applyBorder="1" applyAlignment="1">
      <alignment horizontal="center" vertical="center" wrapText="1"/>
    </xf>
    <xf numFmtId="49" fontId="2" fillId="2" borderId="15" xfId="2" applyNumberFormat="1" applyFont="1" applyFill="1" applyBorder="1" applyAlignment="1">
      <alignment horizontal="right" vertical="center" wrapText="1"/>
    </xf>
    <xf numFmtId="0" fontId="2" fillId="0" borderId="0" xfId="2" applyFont="1" applyFill="1" applyBorder="1" applyAlignment="1">
      <alignment horizontal="left" vertical="center" wrapText="1" indent="2"/>
    </xf>
    <xf numFmtId="4" fontId="2" fillId="0" borderId="0" xfId="2" applyNumberFormat="1" applyFont="1" applyFill="1" applyBorder="1" applyAlignment="1">
      <alignment horizontal="center" vertical="center" wrapText="1"/>
    </xf>
    <xf numFmtId="49" fontId="2" fillId="2" borderId="2" xfId="2" applyNumberFormat="1" applyFont="1" applyFill="1" applyBorder="1" applyAlignment="1">
      <alignment horizontal="right" vertical="center" wrapText="1"/>
    </xf>
    <xf numFmtId="49" fontId="2" fillId="2" borderId="6" xfId="2" applyNumberFormat="1" applyFont="1" applyFill="1" applyBorder="1" applyAlignment="1">
      <alignment horizontal="center" vertical="center" wrapText="1"/>
    </xf>
    <xf numFmtId="0" fontId="2" fillId="2" borderId="6" xfId="2" applyFont="1" applyFill="1" applyBorder="1" applyAlignment="1">
      <alignment horizontal="center" vertical="center" wrapText="1"/>
    </xf>
    <xf numFmtId="0" fontId="2" fillId="2" borderId="12" xfId="2" applyFont="1" applyFill="1" applyBorder="1" applyAlignment="1">
      <alignment horizontal="left" vertical="center" wrapText="1" indent="4"/>
    </xf>
    <xf numFmtId="0" fontId="2" fillId="2" borderId="12" xfId="2" applyFont="1" applyFill="1" applyBorder="1" applyAlignment="1">
      <alignment horizontal="left" vertical="center" wrapText="1" indent="7"/>
    </xf>
    <xf numFmtId="0" fontId="10" fillId="2" borderId="12" xfId="2" applyFont="1" applyFill="1" applyBorder="1" applyAlignment="1">
      <alignment horizontal="left" vertical="center" wrapText="1" indent="7"/>
    </xf>
    <xf numFmtId="0" fontId="13" fillId="2" borderId="6" xfId="0" applyFont="1" applyFill="1" applyBorder="1" applyAlignment="1">
      <alignment horizontal="left" vertical="center" wrapText="1" indent="7"/>
    </xf>
    <xf numFmtId="0" fontId="7" fillId="2" borderId="6" xfId="0" applyFont="1" applyFill="1" applyBorder="1" applyAlignment="1">
      <alignment horizontal="left" vertical="center" wrapText="1" indent="7"/>
    </xf>
    <xf numFmtId="0" fontId="10" fillId="2" borderId="12" xfId="2" applyFont="1" applyFill="1" applyBorder="1" applyAlignment="1">
      <alignment horizontal="left" vertical="center" wrapText="1" indent="4"/>
    </xf>
    <xf numFmtId="49" fontId="2" fillId="2" borderId="5" xfId="2" applyNumberFormat="1" applyFont="1" applyFill="1" applyBorder="1" applyAlignment="1">
      <alignment horizontal="right" vertical="center"/>
    </xf>
    <xf numFmtId="0" fontId="13" fillId="2" borderId="6" xfId="0" applyFont="1" applyFill="1" applyBorder="1" applyAlignment="1">
      <alignment horizontal="left" vertical="center" wrapText="1" indent="4"/>
    </xf>
    <xf numFmtId="0" fontId="13" fillId="2" borderId="6" xfId="0" applyFont="1" applyFill="1" applyBorder="1" applyAlignment="1">
      <alignment horizontal="left" vertical="center" wrapText="1" indent="3"/>
    </xf>
    <xf numFmtId="3" fontId="2" fillId="2" borderId="6" xfId="2" applyNumberFormat="1" applyFont="1" applyFill="1" applyBorder="1" applyAlignment="1">
      <alignment horizontal="center" vertical="center" wrapText="1"/>
    </xf>
    <xf numFmtId="0" fontId="14" fillId="2" borderId="0" xfId="2" applyFont="1" applyFill="1"/>
    <xf numFmtId="0" fontId="7" fillId="2" borderId="6" xfId="0" applyFont="1" applyFill="1" applyBorder="1" applyAlignment="1">
      <alignment horizontal="left" vertical="center" wrapText="1" indent="2"/>
    </xf>
    <xf numFmtId="0" fontId="2" fillId="2" borderId="12" xfId="2" applyFont="1" applyFill="1" applyBorder="1" applyAlignment="1">
      <alignment horizontal="left" vertical="center" wrapText="1" indent="5"/>
    </xf>
    <xf numFmtId="0" fontId="10" fillId="2" borderId="12" xfId="2" applyFont="1" applyFill="1" applyBorder="1" applyAlignment="1">
      <alignment horizontal="left" vertical="center" wrapText="1" indent="5"/>
    </xf>
    <xf numFmtId="165" fontId="2" fillId="2" borderId="6" xfId="2" applyNumberFormat="1" applyFont="1" applyFill="1" applyBorder="1" applyAlignment="1">
      <alignment horizontal="center" vertical="center" wrapText="1"/>
    </xf>
    <xf numFmtId="4" fontId="14" fillId="2" borderId="6" xfId="2" applyNumberFormat="1" applyFont="1" applyFill="1" applyBorder="1" applyAlignment="1">
      <alignment horizontal="center" vertical="center"/>
    </xf>
    <xf numFmtId="0" fontId="2" fillId="2" borderId="12" xfId="2" applyFont="1" applyFill="1" applyBorder="1" applyAlignment="1">
      <alignment horizontal="left" wrapText="1" indent="5"/>
    </xf>
    <xf numFmtId="10" fontId="14" fillId="2" borderId="6" xfId="1" applyNumberFormat="1" applyFont="1" applyFill="1" applyBorder="1" applyAlignment="1">
      <alignment horizontal="center" vertical="center"/>
    </xf>
    <xf numFmtId="0" fontId="13" fillId="2" borderId="12" xfId="2" applyFont="1" applyFill="1" applyBorder="1" applyAlignment="1">
      <alignment horizontal="left" vertical="center" wrapText="1" indent="4"/>
    </xf>
    <xf numFmtId="49" fontId="2" fillId="2" borderId="8" xfId="2" applyNumberFormat="1" applyFont="1" applyFill="1" applyBorder="1" applyAlignment="1">
      <alignment horizontal="right" vertical="center"/>
    </xf>
    <xf numFmtId="0" fontId="10" fillId="2" borderId="14" xfId="2" applyFont="1" applyFill="1" applyBorder="1" applyAlignment="1">
      <alignment horizontal="left" vertical="center" wrapText="1" indent="4"/>
    </xf>
    <xf numFmtId="10" fontId="2" fillId="2" borderId="9" xfId="1" applyNumberFormat="1" applyFont="1" applyFill="1" applyBorder="1" applyAlignment="1">
      <alignment horizontal="center" vertical="center" wrapText="1"/>
    </xf>
    <xf numFmtId="0" fontId="2" fillId="2" borderId="0" xfId="2" applyFont="1" applyFill="1" applyBorder="1" applyAlignment="1">
      <alignment horizontal="left" vertical="center" wrapText="1" indent="2"/>
    </xf>
    <xf numFmtId="49" fontId="14" fillId="2" borderId="2" xfId="2" applyNumberFormat="1" applyFont="1" applyFill="1" applyBorder="1" applyAlignment="1">
      <alignment horizontal="right" vertical="center"/>
    </xf>
    <xf numFmtId="49" fontId="14" fillId="2" borderId="5" xfId="2" applyNumberFormat="1" applyFont="1" applyFill="1" applyBorder="1" applyAlignment="1">
      <alignment horizontal="right" vertical="center"/>
    </xf>
    <xf numFmtId="9" fontId="2" fillId="2" borderId="6" xfId="1" applyFont="1" applyFill="1" applyBorder="1" applyAlignment="1">
      <alignment horizontal="center" vertical="center" wrapText="1"/>
    </xf>
    <xf numFmtId="0" fontId="10" fillId="0" borderId="12" xfId="2" applyFont="1" applyFill="1" applyBorder="1" applyAlignment="1">
      <alignment horizontal="left" vertical="center" wrapText="1" indent="4"/>
    </xf>
    <xf numFmtId="166" fontId="2" fillId="2" borderId="6" xfId="1" applyNumberFormat="1" applyFont="1" applyFill="1" applyBorder="1" applyAlignment="1">
      <alignment horizontal="center" vertical="center" wrapText="1"/>
    </xf>
    <xf numFmtId="49" fontId="14" fillId="2" borderId="8" xfId="2" applyNumberFormat="1" applyFont="1" applyFill="1" applyBorder="1" applyAlignment="1">
      <alignment horizontal="right" vertical="center"/>
    </xf>
    <xf numFmtId="0" fontId="7" fillId="2" borderId="9" xfId="0" applyFont="1" applyFill="1" applyBorder="1" applyAlignment="1">
      <alignment horizontal="left" vertical="center" wrapText="1" indent="4"/>
    </xf>
    <xf numFmtId="4" fontId="2" fillId="2" borderId="9" xfId="2" applyNumberFormat="1" applyFont="1" applyFill="1" applyBorder="1" applyAlignment="1">
      <alignment horizontal="center" vertical="center" wrapText="1"/>
    </xf>
    <xf numFmtId="49" fontId="2" fillId="2" borderId="2" xfId="2" applyNumberFormat="1" applyFont="1" applyFill="1" applyBorder="1" applyAlignment="1">
      <alignment horizontal="right" vertical="center"/>
    </xf>
    <xf numFmtId="0" fontId="2" fillId="2" borderId="6" xfId="2" applyNumberFormat="1" applyFont="1" applyFill="1" applyBorder="1" applyAlignment="1">
      <alignment horizontal="center" vertical="center" wrapText="1"/>
    </xf>
    <xf numFmtId="0" fontId="2" fillId="2" borderId="6" xfId="2" applyFont="1" applyFill="1" applyBorder="1" applyAlignment="1">
      <alignment horizontal="left" vertical="center" wrapText="1" indent="4"/>
    </xf>
    <xf numFmtId="0" fontId="7" fillId="2" borderId="6" xfId="0" applyFont="1" applyFill="1" applyBorder="1" applyAlignment="1">
      <alignment horizontal="left" vertical="center" wrapText="1" indent="6"/>
    </xf>
    <xf numFmtId="0" fontId="7" fillId="2" borderId="9" xfId="0" applyFont="1" applyFill="1" applyBorder="1" applyAlignment="1">
      <alignment horizontal="left" vertical="center" wrapText="1" indent="7"/>
    </xf>
    <xf numFmtId="0" fontId="2" fillId="2" borderId="0" xfId="2" applyFont="1" applyFill="1" applyBorder="1"/>
    <xf numFmtId="0" fontId="2" fillId="2" borderId="14" xfId="2" applyFont="1" applyFill="1" applyBorder="1" applyAlignment="1">
      <alignment horizontal="left" vertical="center" wrapText="1" indent="2"/>
    </xf>
    <xf numFmtId="0" fontId="14" fillId="2" borderId="6" xfId="2" applyFont="1" applyFill="1" applyBorder="1" applyAlignment="1">
      <alignment horizontal="left" vertical="center" wrapText="1" indent="2"/>
    </xf>
    <xf numFmtId="4" fontId="2" fillId="2" borderId="6" xfId="1" applyNumberFormat="1" applyFont="1" applyFill="1" applyBorder="1" applyAlignment="1">
      <alignment horizontal="center" vertical="center" wrapText="1"/>
    </xf>
    <xf numFmtId="0" fontId="14" fillId="2" borderId="9" xfId="2" applyFont="1" applyFill="1" applyBorder="1" applyAlignment="1">
      <alignment horizontal="left" vertical="center" wrapText="1" indent="2"/>
    </xf>
    <xf numFmtId="4" fontId="14" fillId="2" borderId="9" xfId="2" applyNumberFormat="1" applyFont="1" applyFill="1" applyBorder="1" applyAlignment="1">
      <alignment horizontal="center" vertical="center" wrapText="1"/>
    </xf>
    <xf numFmtId="49" fontId="2" fillId="2" borderId="17" xfId="2" applyNumberFormat="1" applyFont="1" applyFill="1" applyBorder="1" applyAlignment="1">
      <alignment horizontal="right" vertical="center"/>
    </xf>
    <xf numFmtId="0" fontId="2" fillId="2" borderId="18" xfId="2" applyFont="1" applyFill="1" applyBorder="1" applyAlignment="1">
      <alignment horizontal="left" vertical="center" wrapText="1" indent="4"/>
    </xf>
    <xf numFmtId="10" fontId="2" fillId="2" borderId="18" xfId="1" applyNumberFormat="1" applyFont="1" applyFill="1" applyBorder="1" applyAlignment="1">
      <alignment horizontal="center" vertical="center" wrapText="1"/>
    </xf>
    <xf numFmtId="0" fontId="2" fillId="2" borderId="9" xfId="2" applyFont="1" applyFill="1" applyBorder="1" applyAlignment="1">
      <alignment horizontal="left" vertical="center" wrapText="1" indent="4"/>
    </xf>
    <xf numFmtId="0" fontId="20" fillId="2" borderId="3" xfId="0" applyFont="1" applyFill="1" applyBorder="1" applyAlignment="1">
      <alignment horizontal="left" vertical="center" wrapText="1"/>
    </xf>
    <xf numFmtId="4" fontId="2" fillId="2" borderId="3" xfId="2" applyNumberFormat="1" applyFont="1" applyFill="1" applyBorder="1" applyAlignment="1">
      <alignment horizontal="center" vertical="center" wrapText="1"/>
    </xf>
    <xf numFmtId="0" fontId="10" fillId="2" borderId="6" xfId="2" applyFont="1" applyFill="1" applyBorder="1" applyAlignment="1">
      <alignment horizontal="left" vertical="center" wrapText="1" indent="4"/>
    </xf>
    <xf numFmtId="0" fontId="10" fillId="2" borderId="9" xfId="2" applyFont="1" applyFill="1" applyBorder="1" applyAlignment="1">
      <alignment horizontal="left" vertical="center" wrapText="1" indent="4"/>
    </xf>
    <xf numFmtId="0" fontId="29" fillId="2" borderId="3" xfId="3" applyFont="1" applyFill="1" applyBorder="1" applyAlignment="1">
      <alignment horizontal="left" vertical="center" wrapText="1"/>
    </xf>
    <xf numFmtId="10" fontId="2" fillId="2" borderId="3" xfId="1" applyNumberFormat="1" applyFont="1" applyFill="1" applyBorder="1" applyAlignment="1">
      <alignment horizontal="center" vertical="center" wrapText="1"/>
    </xf>
    <xf numFmtId="0" fontId="2" fillId="2" borderId="0" xfId="2" applyFont="1" applyFill="1" applyBorder="1" applyAlignment="1">
      <alignment horizontal="right" vertical="center"/>
    </xf>
    <xf numFmtId="0" fontId="2" fillId="2" borderId="20" xfId="2" applyFont="1" applyFill="1" applyBorder="1" applyAlignment="1">
      <alignment horizontal="right" wrapText="1" indent="1"/>
    </xf>
    <xf numFmtId="0" fontId="2" fillId="2" borderId="21" xfId="2" applyFont="1" applyFill="1" applyBorder="1" applyAlignment="1">
      <alignment horizontal="center" vertical="center" wrapText="1"/>
    </xf>
    <xf numFmtId="0" fontId="2" fillId="2" borderId="2" xfId="2" applyFont="1" applyFill="1" applyBorder="1"/>
    <xf numFmtId="10" fontId="14" fillId="2" borderId="4" xfId="2" applyNumberFormat="1" applyFont="1" applyFill="1" applyBorder="1" applyAlignment="1" applyProtection="1">
      <alignment vertical="center"/>
    </xf>
    <xf numFmtId="0" fontId="2" fillId="2" borderId="5" xfId="2" applyFont="1" applyFill="1" applyBorder="1"/>
    <xf numFmtId="10" fontId="14" fillId="2" borderId="7" xfId="2" applyNumberFormat="1" applyFont="1" applyFill="1" applyBorder="1" applyAlignment="1" applyProtection="1">
      <alignment vertical="center"/>
    </xf>
    <xf numFmtId="0" fontId="2" fillId="2" borderId="8" xfId="2" applyFont="1" applyFill="1" applyBorder="1"/>
    <xf numFmtId="10" fontId="14" fillId="2" borderId="10" xfId="2" applyNumberFormat="1" applyFont="1" applyFill="1" applyBorder="1" applyAlignment="1" applyProtection="1">
      <alignment vertical="center"/>
    </xf>
    <xf numFmtId="0" fontId="2" fillId="2" borderId="17" xfId="2" applyFont="1" applyFill="1" applyBorder="1"/>
    <xf numFmtId="10" fontId="14" fillId="2" borderId="19" xfId="2" applyNumberFormat="1" applyFont="1" applyFill="1" applyBorder="1" applyAlignment="1" applyProtection="1">
      <alignment vertical="center"/>
    </xf>
    <xf numFmtId="0" fontId="2" fillId="2" borderId="0" xfId="2" applyFont="1" applyFill="1" applyAlignment="1" applyProtection="1">
      <alignment horizontal="center" vertical="center"/>
    </xf>
    <xf numFmtId="0" fontId="4" fillId="2" borderId="0" xfId="2" applyFont="1" applyFill="1" applyAlignment="1">
      <alignment horizontal="left" vertical="center"/>
    </xf>
    <xf numFmtId="4" fontId="4" fillId="2" borderId="4" xfId="2" applyNumberFormat="1" applyFont="1" applyFill="1" applyBorder="1" applyAlignment="1">
      <alignment horizontal="center" vertical="center" wrapText="1"/>
    </xf>
    <xf numFmtId="0" fontId="4" fillId="2" borderId="6" xfId="2" applyFont="1" applyFill="1" applyBorder="1" applyAlignment="1">
      <alignment horizontal="center" vertical="center" wrapText="1"/>
    </xf>
    <xf numFmtId="0" fontId="4" fillId="2" borderId="7" xfId="2" applyFont="1" applyFill="1" applyBorder="1" applyAlignment="1">
      <alignment horizontal="center" vertical="center" wrapText="1"/>
    </xf>
    <xf numFmtId="165" fontId="2" fillId="2" borderId="6" xfId="2" applyNumberFormat="1" applyFont="1" applyFill="1" applyBorder="1" applyAlignment="1">
      <alignment horizontal="center" vertical="center"/>
    </xf>
    <xf numFmtId="49" fontId="2" fillId="2" borderId="6" xfId="2" applyNumberFormat="1" applyFont="1" applyFill="1" applyBorder="1" applyAlignment="1">
      <alignment horizontal="right" vertical="center" wrapText="1"/>
    </xf>
    <xf numFmtId="49" fontId="7" fillId="2" borderId="6" xfId="0" applyNumberFormat="1" applyFont="1" applyFill="1" applyBorder="1" applyAlignment="1">
      <alignment horizontal="right" vertical="center"/>
    </xf>
    <xf numFmtId="167" fontId="2" fillId="2" borderId="6" xfId="1" applyNumberFormat="1" applyFont="1" applyFill="1" applyBorder="1" applyAlignment="1">
      <alignment horizontal="center" vertical="center" wrapText="1"/>
    </xf>
    <xf numFmtId="167" fontId="2" fillId="2" borderId="6" xfId="2" applyNumberFormat="1" applyFont="1" applyFill="1" applyBorder="1" applyAlignment="1">
      <alignment horizontal="center" vertical="center" wrapText="1"/>
    </xf>
    <xf numFmtId="2" fontId="2" fillId="2" borderId="6" xfId="2" applyNumberFormat="1" applyFont="1" applyFill="1" applyBorder="1" applyAlignment="1">
      <alignment horizontal="center" vertical="center" wrapText="1"/>
    </xf>
    <xf numFmtId="4" fontId="14" fillId="2" borderId="6" xfId="2" applyNumberFormat="1" applyFont="1" applyFill="1" applyBorder="1" applyAlignment="1">
      <alignment horizontal="center" vertical="center" wrapText="1"/>
    </xf>
    <xf numFmtId="10" fontId="2" fillId="2" borderId="3" xfId="2" applyNumberFormat="1" applyFont="1" applyFill="1" applyBorder="1" applyAlignment="1">
      <alignment horizontal="center" vertical="center" wrapText="1"/>
    </xf>
    <xf numFmtId="0" fontId="2" fillId="2" borderId="2" xfId="2" applyFont="1" applyFill="1" applyBorder="1" applyAlignment="1">
      <alignment horizontal="right" wrapText="1" indent="1"/>
    </xf>
    <xf numFmtId="0" fontId="2" fillId="2" borderId="4" xfId="2" applyFont="1" applyFill="1" applyBorder="1" applyAlignment="1">
      <alignment horizontal="center" vertical="center" wrapText="1"/>
    </xf>
    <xf numFmtId="0" fontId="2" fillId="2" borderId="5" xfId="2" applyFont="1" applyFill="1" applyBorder="1" applyProtection="1"/>
    <xf numFmtId="10" fontId="14" fillId="2" borderId="7" xfId="2" applyNumberFormat="1" applyFont="1" applyFill="1" applyBorder="1" applyAlignment="1" applyProtection="1">
      <alignment horizontal="right" vertical="center"/>
    </xf>
    <xf numFmtId="10" fontId="2" fillId="2" borderId="7" xfId="2" applyNumberFormat="1" applyFont="1" applyFill="1" applyBorder="1" applyAlignment="1" applyProtection="1">
      <alignment horizontal="right" vertical="center"/>
    </xf>
    <xf numFmtId="10" fontId="2" fillId="2" borderId="7" xfId="2" applyNumberFormat="1" applyFont="1" applyFill="1" applyBorder="1" applyAlignment="1" applyProtection="1">
      <alignment vertical="center"/>
    </xf>
    <xf numFmtId="10" fontId="2" fillId="2" borderId="7" xfId="2" applyNumberFormat="1" applyFont="1" applyFill="1" applyBorder="1" applyAlignment="1" applyProtection="1">
      <alignment vertical="center"/>
      <protection locked="0"/>
    </xf>
    <xf numFmtId="10" fontId="2" fillId="2" borderId="10" xfId="2" applyNumberFormat="1" applyFont="1" applyFill="1" applyBorder="1" applyAlignment="1" applyProtection="1">
      <alignment vertical="center"/>
      <protection locked="0"/>
    </xf>
    <xf numFmtId="0" fontId="2" fillId="2" borderId="22" xfId="2" applyFont="1" applyFill="1" applyBorder="1"/>
    <xf numFmtId="0" fontId="2" fillId="2" borderId="22" xfId="2" applyFont="1" applyFill="1" applyBorder="1" applyAlignment="1">
      <alignment vertical="center"/>
    </xf>
    <xf numFmtId="0" fontId="2" fillId="2" borderId="0" xfId="2" applyFont="1" applyFill="1" applyAlignment="1">
      <alignment vertical="center"/>
    </xf>
    <xf numFmtId="0" fontId="2" fillId="2" borderId="9" xfId="2" applyFont="1" applyFill="1" applyBorder="1" applyAlignment="1">
      <alignment horizontal="left" vertical="center" wrapText="1"/>
    </xf>
    <xf numFmtId="0" fontId="2" fillId="2" borderId="9" xfId="2" applyFont="1" applyFill="1" applyBorder="1" applyAlignment="1">
      <alignment horizontal="left" vertical="center" wrapText="1"/>
    </xf>
    <xf numFmtId="0" fontId="4" fillId="2" borderId="1" xfId="2" applyFont="1" applyFill="1" applyBorder="1" applyAlignment="1">
      <alignment horizontal="left" wrapText="1"/>
    </xf>
    <xf numFmtId="0" fontId="3" fillId="2" borderId="0" xfId="2" applyFont="1" applyFill="1" applyBorder="1" applyAlignment="1">
      <alignment horizontal="center" vertical="center" wrapText="1"/>
    </xf>
    <xf numFmtId="0" fontId="4" fillId="2" borderId="13" xfId="2" applyFont="1" applyFill="1" applyBorder="1" applyAlignment="1">
      <alignment horizontal="left" vertical="center" wrapText="1"/>
    </xf>
    <xf numFmtId="0" fontId="4" fillId="2" borderId="16" xfId="2" applyFont="1" applyFill="1" applyBorder="1" applyAlignment="1">
      <alignment horizontal="left" vertical="center" wrapText="1"/>
    </xf>
    <xf numFmtId="0" fontId="4" fillId="2" borderId="3" xfId="2" applyFont="1" applyFill="1" applyBorder="1" applyAlignment="1">
      <alignment horizontal="left" vertical="center" wrapText="1"/>
    </xf>
    <xf numFmtId="0" fontId="4" fillId="2" borderId="1" xfId="2" applyFont="1" applyFill="1" applyBorder="1" applyAlignment="1">
      <alignment horizontal="center" wrapText="1"/>
    </xf>
  </cellXfs>
  <cellStyles count="4">
    <cellStyle name="Обычный" xfId="0" builtinId="0"/>
    <cellStyle name="Обычный 80" xfId="2"/>
    <cellStyle name="Обычный_Копия Condition-все вар13.12.08-утнах17-50" xfId="3"/>
    <cellStyle name="Процентный"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4.xml"/><Relationship Id="rId39" Type="http://schemas.openxmlformats.org/officeDocument/2006/relationships/externalLink" Target="externalLinks/externalLink17.xml"/><Relationship Id="rId21" Type="http://schemas.openxmlformats.org/officeDocument/2006/relationships/worksheet" Target="worksheets/sheet21.xml"/><Relationship Id="rId34" Type="http://schemas.openxmlformats.org/officeDocument/2006/relationships/externalLink" Target="externalLinks/externalLink12.xml"/><Relationship Id="rId42" Type="http://schemas.openxmlformats.org/officeDocument/2006/relationships/externalLink" Target="externalLinks/externalLink20.xml"/><Relationship Id="rId47" Type="http://schemas.openxmlformats.org/officeDocument/2006/relationships/externalLink" Target="externalLinks/externalLink25.xml"/><Relationship Id="rId50" Type="http://schemas.openxmlformats.org/officeDocument/2006/relationships/externalLink" Target="externalLinks/externalLink28.xml"/><Relationship Id="rId55" Type="http://schemas.openxmlformats.org/officeDocument/2006/relationships/externalLink" Target="externalLinks/externalLink33.xml"/><Relationship Id="rId63" Type="http://schemas.openxmlformats.org/officeDocument/2006/relationships/externalLink" Target="externalLinks/externalLink41.xml"/><Relationship Id="rId68"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externalLink" Target="externalLinks/externalLink7.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2.xml"/><Relationship Id="rId32" Type="http://schemas.openxmlformats.org/officeDocument/2006/relationships/externalLink" Target="externalLinks/externalLink10.xml"/><Relationship Id="rId37" Type="http://schemas.openxmlformats.org/officeDocument/2006/relationships/externalLink" Target="externalLinks/externalLink15.xml"/><Relationship Id="rId40" Type="http://schemas.openxmlformats.org/officeDocument/2006/relationships/externalLink" Target="externalLinks/externalLink18.xml"/><Relationship Id="rId45" Type="http://schemas.openxmlformats.org/officeDocument/2006/relationships/externalLink" Target="externalLinks/externalLink23.xml"/><Relationship Id="rId53" Type="http://schemas.openxmlformats.org/officeDocument/2006/relationships/externalLink" Target="externalLinks/externalLink31.xml"/><Relationship Id="rId58" Type="http://schemas.openxmlformats.org/officeDocument/2006/relationships/externalLink" Target="externalLinks/externalLink36.xml"/><Relationship Id="rId66"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1.xml"/><Relationship Id="rId28" Type="http://schemas.openxmlformats.org/officeDocument/2006/relationships/externalLink" Target="externalLinks/externalLink6.xml"/><Relationship Id="rId36" Type="http://schemas.openxmlformats.org/officeDocument/2006/relationships/externalLink" Target="externalLinks/externalLink14.xml"/><Relationship Id="rId49" Type="http://schemas.openxmlformats.org/officeDocument/2006/relationships/externalLink" Target="externalLinks/externalLink27.xml"/><Relationship Id="rId57" Type="http://schemas.openxmlformats.org/officeDocument/2006/relationships/externalLink" Target="externalLinks/externalLink35.xml"/><Relationship Id="rId61" Type="http://schemas.openxmlformats.org/officeDocument/2006/relationships/externalLink" Target="externalLinks/externalLink39.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9.xml"/><Relationship Id="rId44" Type="http://schemas.openxmlformats.org/officeDocument/2006/relationships/externalLink" Target="externalLinks/externalLink22.xml"/><Relationship Id="rId52" Type="http://schemas.openxmlformats.org/officeDocument/2006/relationships/externalLink" Target="externalLinks/externalLink30.xml"/><Relationship Id="rId60" Type="http://schemas.openxmlformats.org/officeDocument/2006/relationships/externalLink" Target="externalLinks/externalLink38.xml"/><Relationship Id="rId6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5.xml"/><Relationship Id="rId30" Type="http://schemas.openxmlformats.org/officeDocument/2006/relationships/externalLink" Target="externalLinks/externalLink8.xml"/><Relationship Id="rId35" Type="http://schemas.openxmlformats.org/officeDocument/2006/relationships/externalLink" Target="externalLinks/externalLink13.xml"/><Relationship Id="rId43" Type="http://schemas.openxmlformats.org/officeDocument/2006/relationships/externalLink" Target="externalLinks/externalLink21.xml"/><Relationship Id="rId48" Type="http://schemas.openxmlformats.org/officeDocument/2006/relationships/externalLink" Target="externalLinks/externalLink26.xml"/><Relationship Id="rId56" Type="http://schemas.openxmlformats.org/officeDocument/2006/relationships/externalLink" Target="externalLinks/externalLink34.xml"/><Relationship Id="rId64" Type="http://schemas.openxmlformats.org/officeDocument/2006/relationships/externalLink" Target="externalLinks/externalLink42.xml"/><Relationship Id="rId8" Type="http://schemas.openxmlformats.org/officeDocument/2006/relationships/worksheet" Target="worksheets/sheet8.xml"/><Relationship Id="rId51" Type="http://schemas.openxmlformats.org/officeDocument/2006/relationships/externalLink" Target="externalLinks/externalLink29.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3.xml"/><Relationship Id="rId33" Type="http://schemas.openxmlformats.org/officeDocument/2006/relationships/externalLink" Target="externalLinks/externalLink11.xml"/><Relationship Id="rId38" Type="http://schemas.openxmlformats.org/officeDocument/2006/relationships/externalLink" Target="externalLinks/externalLink16.xml"/><Relationship Id="rId46" Type="http://schemas.openxmlformats.org/officeDocument/2006/relationships/externalLink" Target="externalLinks/externalLink24.xml"/><Relationship Id="rId59" Type="http://schemas.openxmlformats.org/officeDocument/2006/relationships/externalLink" Target="externalLinks/externalLink37.xml"/><Relationship Id="rId67" Type="http://schemas.openxmlformats.org/officeDocument/2006/relationships/sharedStrings" Target="sharedStrings.xml"/><Relationship Id="rId20" Type="http://schemas.openxmlformats.org/officeDocument/2006/relationships/worksheet" Target="worksheets/sheet20.xml"/><Relationship Id="rId41" Type="http://schemas.openxmlformats.org/officeDocument/2006/relationships/externalLink" Target="externalLinks/externalLink19.xml"/><Relationship Id="rId54" Type="http://schemas.openxmlformats.org/officeDocument/2006/relationships/externalLink" Target="externalLinks/externalLink32.xml"/><Relationship Id="rId62" Type="http://schemas.openxmlformats.org/officeDocument/2006/relationships/externalLink" Target="externalLinks/externalLink40.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PREDEL.PRICE.NCZ.WARM/2026/&#1064;&#1072;&#1073;&#1083;&#1086;&#1085;&#1099;%20&#1076;&#1083;&#1103;%20&#1088;&#1072;&#1089;&#1095;&#1077;&#1090;&#1072;/&#1048;&#1089;&#1082;&#1080;&#1090;&#1080;&#1084;&#1089;&#1082;&#1080;&#1081;/&#1064;&#1072;&#1073;&#1083;&#1086;&#1085;%20&#1062;&#1040;&#1050;_&#1091;&#1075;&#1086;&#1083;&#1100;_2026_5&#1101;&#1090;%20&#1041;&#1091;&#1088;&#1084;&#1080;&#1089;&#1090;&#1088;&#1086;&#1074;&#1089;&#1082;&#1080;&#1081;.xlsm"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PREDEL.PRICE.NCZ.WARM/2025/&#1088;&#1072;&#1089;&#1095;&#1077;&#1090;&#1099;/&#1048;&#1089;&#1082;&#1080;&#1090;&#1080;&#1084;&#1089;&#1082;&#1080;&#1081;/&#1064;&#1072;&#1073;&#1083;&#1086;&#1085;%20&#1062;&#1040;&#1050;_&#1091;&#1075;&#1086;&#1083;&#1100;_&#1062;&#1055;%20(&#1073;&#1077;&#1079;%20&#1053;&#1044;&#1057;)_2&#1087;&#1075;2024&#1075;_&#1084;&#1077;&#1085;&#1077;&#1077;%2050%20&#1090;&#1099;&#1089;%20&#1043;&#1091;&#1089;&#1077;&#1083;&#1100;&#1085;&#1080;&#1082;&#1086;&#1074;&#1089;&#1082;&#1080;&#1081;.xlsm"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PREDEL.PRICE.NCZ.WARM/2026/&#1064;&#1072;&#1073;&#1083;&#1086;&#1085;&#1099;%20&#1076;&#1083;&#1103;%20&#1088;&#1072;&#1089;&#1095;&#1077;&#1090;&#1072;/&#1048;&#1089;&#1082;&#1080;&#1090;&#1080;&#1084;&#1089;&#1082;&#1080;&#1081;/&#1064;&#1072;&#1073;&#1083;&#1086;&#1085;%20&#1062;&#1040;&#1050;_&#1075;&#1072;&#1079;_2026_5%20&#1101;&#1090;%20&#1045;&#1074;&#1089;&#1080;&#1085;&#1089;&#1082;&#1080;&#1081;.xlsm"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PREDEL.PRICE.NCZ.WARM/2025/&#1088;&#1072;&#1089;&#1095;&#1077;&#1090;&#1099;/&#1048;&#1089;&#1082;&#1080;&#1090;&#1080;&#1084;&#1089;&#1082;&#1080;&#1081;/&#1064;&#1072;&#1073;&#1083;&#1086;&#1085;%20&#1062;&#1040;&#1050;_&#1075;&#1072;&#1079;_&#1062;&#1055;%20(&#1073;&#1077;&#1079;%20&#1053;&#1044;&#1057;)_2&#1087;&#1075;2024&#1075;_&#1084;&#1077;&#1085;&#1077;&#1077;%2050%20&#1090;&#1099;&#1089;%20&#1052;&#1080;&#1095;&#1091;&#1088;&#1080;&#1085;&#1089;&#1082;&#1080;&#1081;.xlsm"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PREDEL.PRICE.NCZ.WARM/2026/&#1064;&#1072;&#1073;&#1083;&#1086;&#1085;&#1099;%20&#1076;&#1083;&#1103;%20&#1088;&#1072;&#1089;&#1095;&#1077;&#1090;&#1072;/&#1048;&#1089;&#1082;&#1080;&#1090;&#1080;&#1084;&#1089;&#1082;&#1080;&#1081;/&#1064;&#1072;&#1073;&#1083;&#1086;&#1085;%20&#1062;&#1040;&#1050;_&#1091;&#1075;&#1086;&#1083;&#1100;_2026_5&#1101;&#1090;%20&#1051;&#1077;&#1075;&#1086;&#1089;&#1090;&#1072;&#1077;&#1074;&#1089;&#1082;&#1080;&#1081;.xlsm"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PREDEL.PRICE.NCZ.WARM/2025/&#1088;&#1072;&#1089;&#1095;&#1077;&#1090;&#1099;/&#1048;&#1089;&#1082;&#1080;&#1090;&#1080;&#1084;&#1089;&#1082;&#1080;&#1081;/&#1064;&#1072;&#1073;&#1083;&#1086;&#1085;%20&#1062;&#1040;&#1050;_&#1091;&#1075;&#1086;&#1083;&#1100;_&#1062;&#1055;%20(&#1073;&#1077;&#1079;%20&#1053;&#1044;&#1057;)_2&#1087;&#1075;2024&#1075;_&#1084;&#1077;&#1085;&#1077;&#1077;%2050%20&#1090;&#1099;&#1089;%20&#1051;&#1077;&#1075;&#1086;&#1089;&#1090;&#1072;&#1077;&#1074;&#1089;&#1082;&#1080;&#1081;.xlsm"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PREDEL.PRICE.NCZ.WARM/2026/&#1064;&#1072;&#1073;&#1083;&#1086;&#1085;&#1099;%20&#1076;&#1083;&#1103;%20&#1088;&#1072;&#1089;&#1095;&#1077;&#1090;&#1072;/&#1048;&#1089;&#1082;&#1080;&#1090;&#1080;&#1084;&#1089;&#1082;&#1080;&#1081;/&#1064;&#1072;&#1073;&#1083;&#1086;&#1085;%20&#1062;&#1040;&#1050;_&#1091;&#1075;&#1086;&#1083;&#1100;_2026_5&#1101;&#1090;%20&#1051;&#1080;&#1089;&#1090;&#1074;&#1103;&#1085;&#1089;&#1082;&#1080;&#1081;.xlsm"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PREDEL.PRICE.NCZ.WARM/2025/&#1088;&#1072;&#1089;&#1095;&#1077;&#1090;&#1099;/&#1048;&#1089;&#1082;&#1080;&#1090;&#1080;&#1084;&#1089;&#1082;&#1080;&#1081;/&#1064;&#1072;&#1073;&#1083;&#1086;&#1085;%20&#1062;&#1040;&#1050;_&#1091;&#1075;&#1086;&#1083;&#1100;_&#1062;&#1055;%20(&#1073;&#1077;&#1079;%20&#1053;&#1044;&#1057;)_2&#1087;&#1075;2024&#1075;_&#1084;&#1077;&#1085;&#1077;&#1077;%2050%20&#1090;&#1099;&#1089;%20&#1051;&#1080;&#1089;&#1090;&#1074;&#1103;&#1085;&#1089;&#1082;&#1080;&#1081;.xlsm"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PREDEL.PRICE.NCZ.WARM/2026/&#1064;&#1072;&#1073;&#1083;&#1086;&#1085;&#1099;%20&#1076;&#1083;&#1103;%20&#1088;&#1072;&#1089;&#1095;&#1077;&#1090;&#1072;/&#1048;&#1089;&#1082;&#1080;&#1090;&#1080;&#1084;&#1089;&#1082;&#1080;&#1081;/&#1064;&#1072;&#1073;&#1083;&#1086;&#1085;%20&#1062;&#1040;&#1050;_&#1075;&#1072;&#1079;_2026_5%20&#1101;&#1090;%20&#1052;&#1080;&#1095;&#1091;&#1088;&#1080;&#1085;&#1089;&#1082;&#1080;&#1081;.xlsm"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PREDEL.PRICE.NCZ.WARM/2026/&#1064;&#1072;&#1073;&#1083;&#1086;&#1085;&#1099;%20&#1076;&#1083;&#1103;%20&#1088;&#1072;&#1089;&#1095;&#1077;&#1090;&#1072;/&#1048;&#1089;&#1082;&#1080;&#1090;&#1080;&#1084;&#1089;&#1082;&#1080;&#1081;/&#1064;&#1072;&#1073;&#1083;&#1086;&#1085;%20&#1062;&#1040;&#1050;_&#1075;&#1072;&#1079;_2026_5%20&#1101;&#1090;%20&#1052;&#1086;&#1088;&#1086;&#1079;&#1086;&#1074;&#1089;&#1082;&#1086;&#1077;.xlsm"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PREDEL.PRICE.NCZ.WARM/2025/&#1088;&#1072;&#1089;&#1095;&#1077;&#1090;&#1099;/&#1048;&#1089;&#1082;&#1080;&#1090;&#1080;&#1084;&#1089;&#1082;&#1080;&#1081;/&#1064;&#1072;&#1073;&#1083;&#1086;&#1085;%20&#1062;&#1040;&#1050;_&#1075;&#1072;&#1079;_&#1062;&#1055;%20(&#1073;&#1077;&#1079;%20&#1053;&#1044;&#1057;)_2&#1087;&#1075;2024&#1075;_&#1084;&#1077;&#1085;&#1077;&#1077;%2050%20&#1090;&#1099;&#1089;%20&#1052;&#1086;&#1088;&#1086;&#1079;&#1086;&#1074;&#1089;&#1082;&#1080;&#1081;.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PREDEL.PRICE.NCZ.WARM/2025/&#1088;&#1072;&#1089;&#1095;&#1077;&#1090;&#1099;/&#1048;&#1089;&#1082;&#1080;&#1090;&#1080;&#1084;&#1089;&#1082;&#1080;&#1081;/&#1064;&#1072;&#1073;&#1083;&#1086;&#1085;%20&#1062;&#1040;&#1050;_&#1091;&#1075;&#1086;&#1083;&#1100;_&#1062;&#1055;%20(&#1073;&#1077;&#1079;%20&#1053;&#1044;&#1057;)_2&#1087;&#1075;2024&#1075;_&#1084;&#1077;&#1085;&#1077;&#1077;%2050%20&#1090;&#1099;&#1089;%20&#1041;&#1091;&#1088;&#1084;&#1080;&#1089;&#1090;&#1088;&#1086;&#1074;&#1089;&#1082;&#1080;&#1081;.xlsm"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PREDEL.PRICE.NCZ.WARM/2026/&#1064;&#1072;&#1073;&#1083;&#1086;&#1085;&#1099;%20&#1076;&#1083;&#1103;%20&#1088;&#1072;&#1089;&#1095;&#1077;&#1090;&#1072;/&#1048;&#1089;&#1082;&#1080;&#1090;&#1080;&#1084;&#1089;&#1082;&#1080;&#1081;/&#1064;&#1072;&#1073;&#1083;&#1086;&#1085;%20&#1062;&#1040;&#1050;_&#1091;&#1075;&#1086;&#1083;&#1100;_2026_5&#1101;&#1090;%20&#1055;&#1088;&#1077;&#1086;&#1073;&#1088;&#1072;&#1078;&#1077;&#1085;&#1089;&#1082;&#1080;&#1081;.xlsm"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PREDEL.PRICE.NCZ.WARM/2025/&#1088;&#1072;&#1089;&#1095;&#1077;&#1090;&#1099;/&#1048;&#1089;&#1082;&#1080;&#1090;&#1080;&#1084;&#1089;&#1082;&#1080;&#1081;/&#1064;&#1072;&#1073;&#1083;&#1086;&#1085;%20&#1062;&#1040;&#1050;_&#1091;&#1075;&#1086;&#1083;&#1100;_&#1062;&#1055;%20(&#1073;&#1077;&#1079;%20&#1053;&#1044;&#1057;)_2&#1087;&#1075;2024&#1075;_&#1084;&#1077;&#1085;&#1077;&#1077;%2050%20&#1090;&#1099;&#1089;%20&#1055;&#1088;&#1077;&#1086;&#1073;&#1088;&#1072;&#1078;&#1077;&#1085;&#1089;&#1082;&#1080;&#1081;.xlsm"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PREDEL.PRICE.NCZ.WARM/2026/&#1064;&#1072;&#1073;&#1083;&#1086;&#1085;&#1099;%20&#1076;&#1083;&#1103;%20&#1088;&#1072;&#1089;&#1095;&#1077;&#1090;&#1072;/&#1048;&#1089;&#1082;&#1080;&#1090;&#1080;&#1084;&#1089;&#1082;&#1080;&#1081;/&#1064;&#1072;&#1073;&#1083;&#1086;&#1085;%20&#1062;&#1040;&#1050;_&#1075;&#1072;&#1079;_2026_5%20&#1101;&#1090;%20&#1055;&#1088;&#1086;&#1084;&#1099;&#1096;&#1083;&#1077;&#1085;&#1085;&#1099;&#1081;.xlsm"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PREDEL.PRICE.NCZ.WARM/2025/&#1088;&#1072;&#1089;&#1095;&#1077;&#1090;&#1099;/&#1048;&#1089;&#1082;&#1080;&#1090;&#1080;&#1084;&#1089;&#1082;&#1080;&#1081;/&#1064;&#1072;&#1073;&#1083;&#1086;&#1085;%20&#1062;&#1040;&#1050;_&#1075;&#1072;&#1079;_&#1062;&#1055;%20(&#1073;&#1077;&#1079;%20&#1053;&#1044;&#1057;)_2&#1087;&#1075;2024&#1075;_&#1084;&#1077;&#1085;&#1077;&#1077;%2050%20&#1090;&#1099;&#1089;%20&#1055;&#1088;&#1086;&#1084;&#1099;&#1096;&#1083;&#1077;&#1085;&#1085;&#1099;&#1081;.xlsm"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PREDEL.PRICE.NCZ.WARM/2026/&#1064;&#1072;&#1073;&#1083;&#1086;&#1085;&#1099;%20&#1076;&#1083;&#1103;%20&#1088;&#1072;&#1089;&#1095;&#1077;&#1090;&#1072;/&#1048;&#1089;&#1082;&#1080;&#1090;&#1080;&#1084;&#1089;&#1082;&#1080;&#1081;/&#1064;&#1072;&#1073;&#1083;&#1086;&#1085;%20&#1062;&#1040;&#1050;_&#1075;&#1072;&#1079;_2026_5%20&#1101;&#1090;%20&#1057;&#1086;&#1074;&#1093;&#1086;&#1079;&#1085;&#1099;&#1081;.xlsm"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PREDEL.PRICE.NCZ.WARM/2025/&#1088;&#1072;&#1089;&#1095;&#1077;&#1090;&#1099;/&#1048;&#1089;&#1082;&#1080;&#1090;&#1080;&#1084;&#1089;&#1082;&#1080;&#1081;/&#1064;&#1072;&#1073;&#1083;&#1086;&#1085;%20&#1062;&#1040;&#1050;_&#1075;&#1072;&#1079;_&#1062;&#1055;%20(&#1073;&#1077;&#1079;%20&#1053;&#1044;&#1057;)_2&#1087;&#1075;2024&#1075;_&#1084;&#1077;&#1085;&#1077;&#1077;%2050%20&#1090;&#1099;&#1089;%20&#1057;&#1086;&#1074;&#1093;&#1086;&#1079;&#1085;&#1099;&#1081;.xlsm"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PREDEL.PRICE.NCZ.WARM/2026/&#1064;&#1072;&#1073;&#1083;&#1086;&#1085;&#1099;%20&#1076;&#1083;&#1103;%20&#1088;&#1072;&#1089;&#1095;&#1077;&#1090;&#1072;/&#1048;&#1089;&#1082;&#1080;&#1090;&#1080;&#1084;&#1089;&#1082;&#1080;&#1081;/&#1064;&#1072;&#1073;&#1083;&#1086;&#1085;%20&#1062;&#1040;&#1050;_&#1091;&#1075;&#1086;&#1083;&#1100;_2026_5&#1101;&#1090;%20&#1057;&#1086;&#1074;&#1093;&#1086;&#1079;&#1085;&#1099;&#1081;.xlsm"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PREDEL.PRICE.NCZ.WARM/2025/&#1088;&#1072;&#1089;&#1095;&#1077;&#1090;&#1099;/&#1048;&#1089;&#1082;&#1080;&#1090;&#1080;&#1084;&#1089;&#1082;&#1080;&#1081;/&#1064;&#1072;&#1073;&#1083;&#1086;&#1085;%20&#1062;&#1040;&#1050;_&#1091;&#1075;&#1086;&#1083;&#1100;_&#1062;&#1055;%20(&#1073;&#1077;&#1079;%20&#1053;&#1044;&#1057;)_2&#1087;&#1075;2024&#1075;_&#1084;&#1077;&#1085;&#1077;&#1077;%2050%20&#1090;&#1099;&#1089;%20&#1057;&#1086;&#1074;&#1093;&#1086;&#1079;&#1085;&#1099;&#1081;.xlsm"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PREDEL.PRICE.NCZ.WARM/2026/&#1064;&#1072;&#1073;&#1083;&#1086;&#1085;&#1099;%20&#1076;&#1083;&#1103;%20&#1088;&#1072;&#1089;&#1095;&#1077;&#1090;&#1072;/&#1048;&#1089;&#1082;&#1080;&#1090;&#1080;&#1084;&#1089;&#1082;&#1080;&#1081;/&#1064;&#1072;&#1073;&#1083;&#1086;&#1085;%20&#1062;&#1040;&#1050;_&#1091;&#1075;&#1086;&#1083;&#1100;_2026_5&#1101;&#1090;%20&#1057;&#1090;&#1077;&#1087;&#1085;&#1086;&#1081;.xlsm"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PREDEL.PRICE.NCZ.WARM/2025/&#1088;&#1072;&#1089;&#1095;&#1077;&#1090;&#1099;/&#1048;&#1089;&#1082;&#1080;&#1090;&#1080;&#1084;&#1089;&#1082;&#1080;&#1081;/&#1064;&#1072;&#1073;&#1083;&#1086;&#1085;%20&#1062;&#1040;&#1050;_&#1091;&#1075;&#1086;&#1083;&#1100;_&#1062;&#1055;%20(&#1073;&#1077;&#1079;%20&#1053;&#1044;&#1057;)_2&#1087;&#1075;2024&#1075;_&#1084;&#1077;&#1085;&#1077;&#1077;%2050%20&#1090;&#1099;&#1089;%20&#1057;&#1090;&#1077;&#1087;&#1085;&#1086;&#1081;.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PREDEL.PRICE.NCZ.WARM/2026/&#1064;&#1072;&#1073;&#1083;&#1086;&#1085;&#1099;%20&#1076;&#1083;&#1103;%20&#1088;&#1072;&#1089;&#1095;&#1077;&#1090;&#1072;/&#1048;&#1089;&#1082;&#1080;&#1090;&#1080;&#1084;&#1089;&#1082;&#1080;&#1081;/&#1064;&#1072;&#1073;&#1083;&#1086;&#1085;%20&#1062;&#1040;&#1050;_&#1091;&#1075;&#1086;&#1083;&#1100;_2026_5&#1101;&#1090;%20&#1041;&#1099;&#1089;&#1090;&#1088;&#1086;&#1074;&#1089;&#1082;&#1080;&#1081;.xlsm"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PREDEL.PRICE.NCZ.WARM/2026/&#1064;&#1072;&#1073;&#1083;&#1086;&#1085;&#1099;%20&#1076;&#1083;&#1103;%20&#1088;&#1072;&#1089;&#1095;&#1077;&#1090;&#1072;/&#1048;&#1089;&#1082;&#1080;&#1090;&#1080;&#1084;&#1089;&#1082;&#1080;&#1081;/&#1064;&#1072;&#1073;&#1083;&#1086;&#1085;%20&#1062;&#1040;&#1050;_&#1075;&#1072;&#1079;_2026_5%20&#1101;&#1090;%20&#1058;&#1072;&#1083;&#1100;&#1084;&#1077;&#1085;&#1089;&#1082;&#1080;&#1081;.xlsm"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PREDEL.PRICE.NCZ.WARM/2025/&#1088;&#1072;&#1089;&#1095;&#1077;&#1090;&#1099;/&#1048;&#1089;&#1082;&#1080;&#1090;&#1080;&#1084;&#1089;&#1082;&#1080;&#1081;/&#1064;&#1072;&#1073;&#1083;&#1086;&#1085;%20&#1062;&#1040;&#1050;_&#1075;&#1072;&#1079;_&#1062;&#1055;%20(&#1073;&#1077;&#1079;%20&#1053;&#1044;&#1057;)_2&#1087;&#1075;2024&#1075;_&#1084;&#1077;&#1085;&#1077;&#1077;%2050%20&#1090;&#1099;&#1089;%20&#1058;&#1072;&#1083;&#1100;&#1084;&#1077;&#1085;&#1089;&#1082;&#1080;&#1081;.xlsm"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PREDEL.PRICE.NCZ.WARM/2026/&#1064;&#1072;&#1073;&#1083;&#1086;&#1085;&#1099;%20&#1076;&#1083;&#1103;%20&#1088;&#1072;&#1089;&#1095;&#1077;&#1090;&#1072;/&#1048;&#1089;&#1082;&#1080;&#1090;&#1080;&#1084;&#1089;&#1082;&#1080;&#1081;/&#1064;&#1072;&#1073;&#1083;&#1086;&#1085;%20&#1062;&#1040;&#1050;_&#1091;&#1075;&#1086;&#1083;&#1100;_2026_5&#1101;&#1090;%20&#1059;&#1083;&#1099;&#1073;&#1080;&#1085;&#1089;&#1082;&#1080;&#1081;.xlsm"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PREDEL.PRICE.NCZ.WARM/2025/&#1088;&#1072;&#1089;&#1095;&#1077;&#1090;&#1099;/&#1048;&#1089;&#1082;&#1080;&#1090;&#1080;&#1084;&#1089;&#1082;&#1080;&#1081;/&#1064;&#1072;&#1073;&#1083;&#1086;&#1085;%20&#1062;&#1040;&#1050;_&#1091;&#1075;&#1086;&#1083;&#1100;_&#1062;&#1055;%20(&#1073;&#1077;&#1079;%20&#1053;&#1044;&#1057;)_2&#1087;&#1075;2024&#1075;_&#1084;&#1077;&#1085;&#1077;&#1077;%2050%20&#1090;&#1099;&#1089;%20&#1059;&#1083;&#1099;&#1073;&#1080;&#1085;&#1089;&#1082;&#1080;&#1081;.xlsm"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PREDEL.PRICE.NCZ.WARM/2026/&#1064;&#1072;&#1073;&#1083;&#1086;&#1085;&#1099;%20&#1076;&#1083;&#1103;%20&#1088;&#1072;&#1089;&#1095;&#1077;&#1090;&#1072;/&#1048;&#1089;&#1082;&#1080;&#1090;&#1080;&#1084;&#1089;&#1082;&#1080;&#1081;/&#1064;&#1072;&#1073;&#1083;&#1086;&#1085;%20&#1062;&#1040;&#1050;_&#1091;&#1075;&#1086;&#1083;&#1100;_2026_5&#1101;&#1090;%20&#1059;&#1089;&#1090;&#1100;-&#1063;&#1077;&#1084;&#1089;&#1082;&#1086;&#1081;.xlsm"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PREDEL.PRICE.NCZ.WARM/2025/&#1088;&#1072;&#1089;&#1095;&#1077;&#1090;&#1099;/&#1048;&#1089;&#1082;&#1080;&#1090;&#1080;&#1084;&#1089;&#1082;&#1080;&#1081;/&#1064;&#1072;&#1073;&#1083;&#1086;&#1085;%20&#1062;&#1040;&#1050;_&#1091;&#1075;&#1086;&#1083;&#1100;_&#1062;&#1055;%20(&#1073;&#1077;&#1079;%20&#1053;&#1044;&#1057;)_2&#1087;&#1075;2024&#1075;_&#1084;&#1077;&#1085;&#1077;&#1077;%2050%20&#1090;&#1099;&#1089;%20&#1059;&#1089;&#1090;&#1100;-&#1063;&#1077;&#1084;&#1089;&#1082;&#1086;&#1081;.xlsm"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PREDEL.PRICE.NCZ.WARM/2026/&#1064;&#1072;&#1073;&#1083;&#1086;&#1085;&#1099;%20&#1076;&#1083;&#1103;%20&#1088;&#1072;&#1089;&#1095;&#1077;&#1090;&#1072;/&#1048;&#1089;&#1082;&#1080;&#1090;&#1080;&#1084;&#1089;&#1082;&#1080;&#1081;/&#1064;&#1072;&#1073;&#1083;&#1086;&#1085;%20&#1062;&#1040;&#1050;_&#1075;&#1072;&#1079;_2026_5%20&#1101;&#1090;%20&#1063;&#1077;&#1088;&#1085;&#1086;&#1088;&#1077;&#1095;&#1077;&#1085;&#1089;&#1082;&#1080;&#1081;.xlsm"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PREDEL.PRICE.NCZ.WARM/2025/&#1088;&#1072;&#1089;&#1095;&#1077;&#1090;&#1099;/&#1048;&#1089;&#1082;&#1080;&#1090;&#1080;&#1084;&#1089;&#1082;&#1080;&#1081;/&#1064;&#1072;&#1073;&#1083;&#1086;&#1085;%20&#1062;&#1040;&#1050;_&#1075;&#1072;&#1079;_&#1062;&#1055;%20(&#1073;&#1077;&#1079;%20&#1053;&#1044;&#1057;)_2&#1087;&#1075;2024&#1075;_&#1084;&#1077;&#1085;&#1077;&#1077;%2050%20&#1090;&#1099;&#1089;%20&#1063;&#1077;&#1088;&#1085;&#1086;&#1088;&#1077;&#1095;&#1077;&#1085;&#1089;&#1082;&#1080;&#1081;.xlsm"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PREDEL.PRICE.NCZ.WARM/2026/&#1064;&#1072;&#1073;&#1083;&#1086;&#1085;&#1099;%20&#1076;&#1083;&#1103;%20&#1088;&#1072;&#1089;&#1095;&#1077;&#1090;&#1072;/&#1048;&#1089;&#1082;&#1080;&#1090;&#1080;&#1084;&#1089;&#1082;&#1080;&#1081;/&#1064;&#1072;&#1073;&#1083;&#1086;&#1085;%20&#1062;&#1040;&#1050;_&#1091;&#1075;&#1086;&#1083;&#1100;_2026_5&#1101;&#1090;%20&#1063;&#1077;&#1088;&#1085;&#1086;&#1088;&#1077;&#1095;&#1077;&#1085;&#1089;&#1082;&#1080;&#1081;.xlsm"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PREDEL.PRICE.NCZ.WARM/2025/&#1088;&#1072;&#1089;&#1095;&#1077;&#1090;&#1099;/&#1048;&#1089;&#1082;&#1080;&#1090;&#1080;&#1084;&#1089;&#1082;&#1080;&#1081;/&#1064;&#1072;&#1073;&#1083;&#1086;&#1085;%20&#1062;&#1040;&#1050;_&#1091;&#1075;&#1086;&#1083;&#1100;_&#1062;&#1055;%20(&#1073;&#1077;&#1079;%20&#1053;&#1044;&#1057;)_2&#1087;&#1075;2024&#1075;_&#1084;&#1077;&#1085;&#1077;&#1077;%2050%20&#1090;&#1099;&#1089;%20&#1063;&#1077;&#1088;&#1085;&#1086;&#1088;&#1077;&#1095;&#1077;&#1085;&#1089;&#1082;&#1080;&#1081;.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PREDEL.PRICE.NCZ.WARM/2025/&#1088;&#1072;&#1089;&#1095;&#1077;&#1090;&#1099;/&#1048;&#1089;&#1082;&#1080;&#1090;&#1080;&#1084;&#1089;&#1082;&#1080;&#1081;/&#1064;&#1072;&#1073;&#1083;&#1086;&#1085;%20&#1062;&#1040;&#1050;_&#1091;&#1075;&#1086;&#1083;&#1100;_&#1062;&#1055;%20(&#1073;&#1077;&#1079;%20&#1053;&#1044;&#1057;)_2&#1087;&#1075;2024&#1075;_&#1084;&#1077;&#1085;&#1077;&#1077;%2050%20&#1090;&#1099;&#1089;%20&#1041;&#1099;&#1089;&#1090;&#1088;&#1086;&#1074;&#1089;&#1082;&#1080;&#1081;.xlsm"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PREDEL.PRICE.NCZ.WARM/2026/&#1064;&#1072;&#1073;&#1083;&#1086;&#1085;&#1099;%20&#1076;&#1083;&#1103;%20&#1088;&#1072;&#1089;&#1095;&#1077;&#1090;&#1072;/&#1048;&#1089;&#1082;&#1080;&#1090;&#1080;&#1084;&#1089;&#1082;&#1080;&#1081;/&#1064;&#1072;&#1073;&#1083;&#1086;&#1085;%20&#1062;&#1040;&#1050;_&#1091;&#1075;&#1086;&#1083;&#1100;_2026_5&#1101;&#1090;%20&#1064;&#1080;&#1073;&#1082;&#1086;&#1074;&#1089;&#1082;&#1080;&#1081;.xlsm"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PREDEL.PRICE.NCZ.WARM/2025/&#1088;&#1072;&#1089;&#1095;&#1077;&#1090;&#1099;/&#1048;&#1089;&#1082;&#1080;&#1090;&#1080;&#1084;&#1089;&#1082;&#1080;&#1081;/&#1064;&#1072;&#1073;&#1083;&#1086;&#1085;%20&#1062;&#1040;&#1050;_&#1091;&#1075;&#1086;&#1083;&#1100;_&#1062;&#1055;%20(&#1073;&#1077;&#1079;%20&#1053;&#1044;&#1057;)_2&#1087;&#1075;2024&#1075;_&#1084;&#1077;&#1085;&#1077;&#1077;%2050%20&#1090;&#1099;&#1089;%20&#1064;&#1080;&#1073;&#1082;&#1086;&#1074;&#1089;&#1082;&#1080;&#1081;.xlsm"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PREDEL.PRICE.NCZ.WARM/2026/&#1064;&#1072;&#1073;&#1083;&#1086;&#1085;&#1099;%20&#1076;&#1083;&#1103;%20&#1088;&#1072;&#1089;&#1095;&#1077;&#1090;&#1072;/&#1048;&#1089;&#1082;&#1080;&#1090;&#1080;&#1084;&#1089;&#1082;&#1080;&#1081;/&#1064;&#1072;&#1073;&#1083;&#1086;&#1085;%20&#1062;&#1040;&#1050;_&#1091;&#1075;&#1086;&#1083;&#1100;_2026_5&#1101;&#1090;%20&#1045;&#1074;&#1089;&#1080;&#1085;&#1089;&#1082;&#1080;&#1081;.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PREDEL.PRICE.NCZ.WARM/2026/&#1064;&#1072;&#1073;&#1083;&#1086;&#1085;&#1099;%20&#1076;&#1083;&#1103;%20&#1088;&#1072;&#1089;&#1095;&#1077;&#1090;&#1072;/&#1048;&#1089;&#1082;&#1080;&#1090;&#1080;&#1084;&#1089;&#1082;&#1080;&#1081;/&#1064;&#1072;&#1073;&#1083;&#1086;&#1085;%20&#1062;&#1040;&#1050;_&#1075;&#1072;&#1079;_2026_5%20&#1101;&#1090;%20&#1042;&#1077;&#1088;&#1093;-&#1050;&#1086;&#1077;&#1085;&#1089;&#1082;&#1080;&#1081;.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PREDEL.PRICE.NCZ.WARM/2025/&#1088;&#1072;&#1089;&#1095;&#1077;&#1090;&#1099;/&#1048;&#1089;&#1082;&#1080;&#1090;&#1080;&#1084;&#1089;&#1082;&#1080;&#1081;/&#1064;&#1072;&#1073;&#1083;&#1086;&#1085;%20&#1062;&#1040;&#1050;_&#1075;&#1072;&#1079;_&#1062;&#1055;%20(&#1073;&#1077;&#1079;%20&#1053;&#1044;&#1057;)_2&#1087;&#1075;2024&#1075;_&#1084;&#1077;&#1085;&#1077;&#1077;%2050%20&#1090;&#1099;&#1089;%20&#1042;&#1077;&#1088;&#1093;-&#1050;&#1086;&#1077;&#1085;&#1089;&#1082;&#1080;&#1081;.xlsm"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PREDEL.PRICE.NCZ.WARM/2026/&#1064;&#1072;&#1073;&#1083;&#1086;&#1085;&#1099;%20&#1076;&#1083;&#1103;%20&#1088;&#1072;&#1089;&#1095;&#1077;&#1090;&#1072;/&#1048;&#1089;&#1082;&#1080;&#1090;&#1080;&#1084;&#1089;&#1082;&#1080;&#1081;/&#1064;&#1072;&#1073;&#1083;&#1086;&#1085;%20&#1062;&#1040;&#1050;_&#1091;&#1075;&#1086;&#1083;&#1100;_2026_5&#1101;&#1090;%20&#1043;&#1080;&#1083;&#1077;&#1074;&#1089;&#1082;&#1080;&#1081;.xlsm"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PREDEL.PRICE.NCZ.WARM/2025/&#1088;&#1072;&#1089;&#1095;&#1077;&#1090;&#1099;/&#1048;&#1089;&#1082;&#1080;&#1090;&#1080;&#1084;&#1089;&#1082;&#1080;&#1081;/&#1064;&#1072;&#1073;&#1083;&#1086;&#1085;%20&#1062;&#1040;&#1050;_&#1091;&#1075;&#1086;&#1083;&#1100;_&#1062;&#1055;%20(&#1073;&#1077;&#1079;%20&#1053;&#1044;&#1057;)_2&#1087;&#1075;2024&#1075;_&#1084;&#1077;&#1085;&#1077;&#1077;%2050%20&#1090;&#1099;&#1089;%20&#1043;&#1080;&#1083;&#1077;&#1074;&#1089;&#1082;&#1080;&#1081;.xlsm"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PREDEL.PRICE.NCZ.WARM/2026/&#1064;&#1072;&#1073;&#1083;&#1086;&#1085;&#1099;%20&#1076;&#1083;&#1103;%20&#1088;&#1072;&#1089;&#1095;&#1077;&#1090;&#1072;/&#1048;&#1089;&#1082;&#1080;&#1090;&#1080;&#1084;&#1089;&#1082;&#1080;&#1081;/&#1064;&#1072;&#1073;&#1083;&#1086;&#1085;%20&#1062;&#1040;&#1050;_&#1091;&#1075;&#1086;&#1083;&#1100;_2026_5&#1101;&#1090;%20&#1043;&#1091;&#1089;&#1077;&#1083;&#1100;&#1085;&#1080;&#1082;&#1086;&#1074;&#1089;&#1082;&#1080;&#108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нструкция"/>
      <sheetName val="Структура"/>
      <sheetName val="Содержание"/>
      <sheetName val="И1"/>
      <sheetName val="Инвест.об."/>
      <sheetName val="И2"/>
      <sheetName val="И2.1"/>
      <sheetName val="С1"/>
      <sheetName val="С1.1"/>
      <sheetName val="С1.2"/>
      <sheetName val="Data1.2"/>
      <sheetName val="С1.3"/>
      <sheetName val="Data1.3"/>
      <sheetName val="С2"/>
      <sheetName val="С2.1"/>
      <sheetName val="Data2.1"/>
      <sheetName val="С2.2"/>
      <sheetName val="С2.3"/>
      <sheetName val="С2.4"/>
      <sheetName val="Data2.4"/>
      <sheetName val="С2.5"/>
      <sheetName val="С2.6"/>
      <sheetName val="Data2.6"/>
      <sheetName val="С3"/>
      <sheetName val="С3.1"/>
      <sheetName val="С4"/>
      <sheetName val="С4.1"/>
      <sheetName val="С4.2"/>
      <sheetName val="С4.3"/>
      <sheetName val="С4.4"/>
      <sheetName val="С5"/>
      <sheetName val="С6"/>
      <sheetName val="И3"/>
      <sheetName val="Проверка"/>
      <sheetName val="ИПЦ_ИПГ"/>
      <sheetName val="АК_прогноз"/>
      <sheetName val="ПУЦ (п.67)"/>
      <sheetName val="АК_прогноз_j"/>
      <sheetName val="Гр&amp;ПУЦ_v1"/>
      <sheetName val="Заморозка"/>
      <sheetName val="ИПГ_мо"/>
      <sheetName val="ИПГ_рег"/>
      <sheetName val="Темп VS ИПГ"/>
      <sheetName val="МУ770_Т1"/>
      <sheetName val="Гр&amp;ПУЦ_v2"/>
      <sheetName val="Системный"/>
      <sheetName val="Шаблон ЦАК_уголь_2026_5эт Бурми"/>
    </sheetNames>
    <sheetDataSet>
      <sheetData sheetId="0"/>
      <sheetData sheetId="1"/>
      <sheetData sheetId="2"/>
      <sheetData sheetId="3">
        <row r="8">
          <cell r="D8" t="str">
            <v>Период регулирования (i)-й</v>
          </cell>
          <cell r="E8">
            <v>2026</v>
          </cell>
        </row>
        <row r="9">
          <cell r="D9" t="str">
            <v>Период регулирования (i-1)-й</v>
          </cell>
          <cell r="E9">
            <v>2025</v>
          </cell>
        </row>
        <row r="10">
          <cell r="D10" t="str">
            <v>Период регулирования (i-2)-й</v>
          </cell>
          <cell r="E10">
            <v>2024</v>
          </cell>
        </row>
        <row r="11">
          <cell r="D11" t="str">
            <v>Базовый год (б)</v>
          </cell>
          <cell r="E11">
            <v>2019</v>
          </cell>
        </row>
        <row r="13">
          <cell r="D13" t="str">
            <v>Субъект Российской Федерации</v>
          </cell>
          <cell r="E13" t="str">
            <v>Новосибирская область</v>
          </cell>
        </row>
        <row r="14">
          <cell r="D14" t="str">
            <v>Тип муниципального образования (выберите из списка)</v>
          </cell>
        </row>
        <row r="15">
          <cell r="D15" t="str">
            <v/>
          </cell>
          <cell r="E15">
            <v>0</v>
          </cell>
        </row>
        <row r="16">
          <cell r="D16" t="str">
            <v>Код ОКТМО</v>
          </cell>
        </row>
        <row r="17">
          <cell r="D17" t="str">
            <v>Система теплоснабжения</v>
          </cell>
          <cell r="E17">
            <v>0</v>
          </cell>
        </row>
        <row r="18">
          <cell r="D18" t="str">
            <v>Вид топлива, использование которого преобладает в системе теплоснабжения</v>
          </cell>
        </row>
      </sheetData>
      <sheetData sheetId="4"/>
      <sheetData sheetId="5"/>
      <sheetData sheetId="6"/>
      <sheetData sheetId="7">
        <row r="12">
          <cell r="F12">
            <v>1072.1735839339653</v>
          </cell>
        </row>
        <row r="13">
          <cell r="F13">
            <v>176.4</v>
          </cell>
        </row>
        <row r="16">
          <cell r="F16">
            <v>7000</v>
          </cell>
        </row>
        <row r="17">
          <cell r="F17">
            <v>0.72857142857142854</v>
          </cell>
        </row>
        <row r="20">
          <cell r="F20">
            <v>21.588411179999994</v>
          </cell>
        </row>
        <row r="21">
          <cell r="F21">
            <v>20.818139999999996</v>
          </cell>
        </row>
        <row r="22">
          <cell r="F22">
            <v>1.0369999999999999</v>
          </cell>
        </row>
        <row r="23">
          <cell r="F23">
            <v>1.0469999999999999</v>
          </cell>
        </row>
      </sheetData>
      <sheetData sheetId="8">
        <row r="9">
          <cell r="I9" t="str">
            <v>цены (тарифы), подлежащие государственному регулированию, действовавшие на день окончания (i-2)-го расчетного периода в системе теплоснабжения</v>
          </cell>
        </row>
        <row r="13">
          <cell r="E13" t="str">
            <v>каменный уголь</v>
          </cell>
        </row>
        <row r="16">
          <cell r="E16">
            <v>5100</v>
          </cell>
        </row>
        <row r="19">
          <cell r="E19">
            <v>-0.11899999999999999</v>
          </cell>
        </row>
        <row r="20">
          <cell r="E20">
            <v>4.0000000000000001E-3</v>
          </cell>
        </row>
        <row r="27">
          <cell r="E27">
            <v>4611.09</v>
          </cell>
        </row>
      </sheetData>
      <sheetData sheetId="9"/>
      <sheetData sheetId="10"/>
      <sheetData sheetId="11">
        <row r="9">
          <cell r="G9">
            <v>0</v>
          </cell>
        </row>
      </sheetData>
      <sheetData sheetId="12"/>
      <sheetData sheetId="13">
        <row r="12">
          <cell r="F12">
            <v>3097.7824122172187</v>
          </cell>
        </row>
        <row r="13">
          <cell r="F13">
            <v>210571.60987470482</v>
          </cell>
        </row>
        <row r="14">
          <cell r="F14">
            <v>113455</v>
          </cell>
        </row>
        <row r="15">
          <cell r="F15">
            <v>1.071</v>
          </cell>
        </row>
        <row r="16">
          <cell r="F16">
            <v>1</v>
          </cell>
        </row>
        <row r="17">
          <cell r="F17">
            <v>1.01</v>
          </cell>
        </row>
        <row r="18">
          <cell r="F18">
            <v>40220.845230503684</v>
          </cell>
        </row>
        <row r="19">
          <cell r="F19">
            <v>0</v>
          </cell>
        </row>
        <row r="20">
          <cell r="F20">
            <v>23441.524932855718</v>
          </cell>
        </row>
        <row r="21">
          <cell r="F21">
            <v>1</v>
          </cell>
        </row>
        <row r="22">
          <cell r="F22">
            <v>4298.6978080550834</v>
          </cell>
        </row>
        <row r="23">
          <cell r="F23">
            <v>1990</v>
          </cell>
        </row>
        <row r="26">
          <cell r="F26">
            <v>3185.880383940208</v>
          </cell>
        </row>
        <row r="27">
          <cell r="F27">
            <v>0.44209422600000003</v>
          </cell>
        </row>
        <row r="28">
          <cell r="F28">
            <v>4200</v>
          </cell>
        </row>
        <row r="29">
          <cell r="F29">
            <v>0.21369165990259753</v>
          </cell>
        </row>
        <row r="30">
          <cell r="F30">
            <v>0.20047619047619047</v>
          </cell>
        </row>
        <row r="31">
          <cell r="F31">
            <v>0.13880000000000001</v>
          </cell>
        </row>
        <row r="32">
          <cell r="F32">
            <v>0.12640000000000001</v>
          </cell>
        </row>
        <row r="33">
          <cell r="F33">
            <v>10</v>
          </cell>
        </row>
        <row r="35">
          <cell r="F35">
            <v>1.7157947422665329</v>
          </cell>
        </row>
        <row r="37">
          <cell r="F37">
            <v>20.818139999999996</v>
          </cell>
        </row>
        <row r="38">
          <cell r="F38">
            <v>7</v>
          </cell>
        </row>
        <row r="40">
          <cell r="F40">
            <v>0.97</v>
          </cell>
        </row>
        <row r="42">
          <cell r="F42">
            <v>0.35</v>
          </cell>
        </row>
      </sheetData>
      <sheetData sheetId="14">
        <row r="12">
          <cell r="E12" t="str">
            <v>V</v>
          </cell>
        </row>
        <row r="13">
          <cell r="E13" t="str">
            <v>6 и менее баллов</v>
          </cell>
        </row>
        <row r="14">
          <cell r="E14" t="str">
            <v>от 200 до 500</v>
          </cell>
        </row>
        <row r="15">
          <cell r="E15" t="str">
            <v>нет</v>
          </cell>
        </row>
        <row r="19">
          <cell r="E19">
            <v>-38</v>
          </cell>
        </row>
        <row r="22">
          <cell r="E22" t="str">
            <v>нет</v>
          </cell>
        </row>
        <row r="27">
          <cell r="E27">
            <v>246.24401</v>
          </cell>
        </row>
        <row r="28">
          <cell r="E28">
            <v>269.12432000000001</v>
          </cell>
        </row>
      </sheetData>
      <sheetData sheetId="15"/>
      <sheetData sheetId="16">
        <row r="10">
          <cell r="E10">
            <v>1287</v>
          </cell>
        </row>
        <row r="12">
          <cell r="E12">
            <v>5.97</v>
          </cell>
        </row>
        <row r="13">
          <cell r="E13">
            <v>1</v>
          </cell>
        </row>
        <row r="14">
          <cell r="E14">
            <v>12104</v>
          </cell>
        </row>
        <row r="15">
          <cell r="E15">
            <v>4.8000000000000001E-2</v>
          </cell>
        </row>
        <row r="16">
          <cell r="E16">
            <v>1</v>
          </cell>
        </row>
      </sheetData>
      <sheetData sheetId="17">
        <row r="11">
          <cell r="E11">
            <v>9.89</v>
          </cell>
        </row>
        <row r="12">
          <cell r="E12">
            <v>0.56000000000000005</v>
          </cell>
        </row>
        <row r="13">
          <cell r="E13">
            <v>300</v>
          </cell>
        </row>
        <row r="14">
          <cell r="E14">
            <v>61211</v>
          </cell>
        </row>
        <row r="15">
          <cell r="E15">
            <v>45675</v>
          </cell>
        </row>
        <row r="16">
          <cell r="E16">
            <v>65637</v>
          </cell>
        </row>
        <row r="17">
          <cell r="E17">
            <v>31684</v>
          </cell>
        </row>
        <row r="21">
          <cell r="E21" t="str">
            <v>Муниципальное унитарное предприятие города Куйбышева Куйбышевского района Новосибирской области "Горводоканал"</v>
          </cell>
        </row>
        <row r="22">
          <cell r="E22">
            <v>8809</v>
          </cell>
        </row>
        <row r="23">
          <cell r="E23">
            <v>530.41</v>
          </cell>
        </row>
        <row r="25">
          <cell r="E25" t="str">
            <v>Муниципальное унитарное предприятие города Куйбышева Куйбышевского района Новосибирской области "Геострой"</v>
          </cell>
        </row>
        <row r="26">
          <cell r="E26">
            <v>21397</v>
          </cell>
        </row>
        <row r="27">
          <cell r="E27">
            <v>857.14</v>
          </cell>
        </row>
      </sheetData>
      <sheetData sheetId="18">
        <row r="12">
          <cell r="F12" t="str">
            <v>Постановление Правительства Новосибирской области от 29.11.2011 №535-п (ред. 14.04.2014) "Об утверждении результатов государственной кадастровой оценки земель населенных пунктов в новосибирской области и среднего уровня кадастровой стоимости земель населенных пунктов по муниципальным районам и городским округам Новосибирской области"</v>
          </cell>
        </row>
      </sheetData>
      <sheetData sheetId="19"/>
      <sheetData sheetId="20">
        <row r="11">
          <cell r="E11">
            <v>-2.9000000000000026E-2</v>
          </cell>
          <cell r="F11">
            <v>0.245</v>
          </cell>
          <cell r="G11">
            <v>0.114</v>
          </cell>
          <cell r="H11">
            <v>0.04</v>
          </cell>
          <cell r="I11">
            <v>0.121</v>
          </cell>
          <cell r="J11">
            <v>0.03</v>
          </cell>
          <cell r="K11">
            <v>6.0999999999999999E-2</v>
          </cell>
          <cell r="L11">
            <v>3.2682303599220003E-2</v>
          </cell>
          <cell r="M11">
            <v>0</v>
          </cell>
          <cell r="N11">
            <v>0</v>
          </cell>
          <cell r="O11">
            <v>0</v>
          </cell>
          <cell r="P11">
            <v>0</v>
          </cell>
          <cell r="Q11">
            <v>0</v>
          </cell>
          <cell r="R11">
            <v>0</v>
          </cell>
          <cell r="S11">
            <v>0</v>
          </cell>
          <cell r="T11">
            <v>0</v>
          </cell>
          <cell r="U11">
            <v>0</v>
          </cell>
          <cell r="V11">
            <v>0</v>
          </cell>
          <cell r="W11">
            <v>0</v>
          </cell>
          <cell r="X11">
            <v>0</v>
          </cell>
          <cell r="Y11">
            <v>0</v>
          </cell>
          <cell r="Z11">
            <v>0</v>
          </cell>
          <cell r="AA11">
            <v>0</v>
          </cell>
          <cell r="AB11">
            <v>0</v>
          </cell>
          <cell r="AC11">
            <v>0</v>
          </cell>
          <cell r="AD11">
            <v>0</v>
          </cell>
          <cell r="AE11">
            <v>0</v>
          </cell>
          <cell r="AF11">
            <v>0</v>
          </cell>
          <cell r="AG11">
            <v>0</v>
          </cell>
          <cell r="AH11">
            <v>0</v>
          </cell>
          <cell r="AI11">
            <v>0</v>
          </cell>
          <cell r="AJ11">
            <v>0</v>
          </cell>
          <cell r="AK11">
            <v>0</v>
          </cell>
          <cell r="AL11">
            <v>0</v>
          </cell>
          <cell r="AM11">
            <v>0</v>
          </cell>
          <cell r="AN11">
            <v>0</v>
          </cell>
          <cell r="AO11">
            <v>0</v>
          </cell>
          <cell r="AP11">
            <v>0</v>
          </cell>
          <cell r="AQ11">
            <v>0</v>
          </cell>
          <cell r="AR11">
            <v>0</v>
          </cell>
          <cell r="AS11">
            <v>0</v>
          </cell>
          <cell r="AT11">
            <v>0</v>
          </cell>
          <cell r="AU11">
            <v>0</v>
          </cell>
          <cell r="AV11">
            <v>0</v>
          </cell>
          <cell r="AW11">
            <v>0</v>
          </cell>
          <cell r="AX11">
            <v>0</v>
          </cell>
          <cell r="AY11">
            <v>0</v>
          </cell>
          <cell r="AZ11">
            <v>0</v>
          </cell>
          <cell r="BA11">
            <v>0</v>
          </cell>
          <cell r="BB11">
            <v>0</v>
          </cell>
          <cell r="BC11">
            <v>0</v>
          </cell>
          <cell r="BD11">
            <v>0</v>
          </cell>
          <cell r="BE11">
            <v>0</v>
          </cell>
          <cell r="BF11">
            <v>0</v>
          </cell>
          <cell r="BG11">
            <v>0</v>
          </cell>
          <cell r="BH11">
            <v>0</v>
          </cell>
          <cell r="BI11">
            <v>0</v>
          </cell>
          <cell r="BJ11">
            <v>0</v>
          </cell>
          <cell r="BK11">
            <v>0</v>
          </cell>
          <cell r="BL11">
            <v>0</v>
          </cell>
          <cell r="BM11">
            <v>0</v>
          </cell>
          <cell r="BN11">
            <v>0</v>
          </cell>
          <cell r="BO11">
            <v>0</v>
          </cell>
          <cell r="BP11">
            <v>0</v>
          </cell>
          <cell r="BQ11">
            <v>0</v>
          </cell>
          <cell r="BR11">
            <v>0</v>
          </cell>
          <cell r="BS11">
            <v>0</v>
          </cell>
          <cell r="BT11">
            <v>0</v>
          </cell>
          <cell r="BU11">
            <v>0</v>
          </cell>
          <cell r="BV11">
            <v>0</v>
          </cell>
          <cell r="BW11">
            <v>0</v>
          </cell>
          <cell r="BX11">
            <v>0</v>
          </cell>
          <cell r="BY11">
            <v>0</v>
          </cell>
          <cell r="BZ11">
            <v>0</v>
          </cell>
          <cell r="CA11">
            <v>0</v>
          </cell>
          <cell r="CB11">
            <v>0</v>
          </cell>
          <cell r="CC11">
            <v>0</v>
          </cell>
          <cell r="CD11">
            <v>0</v>
          </cell>
          <cell r="CE11">
            <v>0</v>
          </cell>
          <cell r="CF11">
            <v>0</v>
          </cell>
          <cell r="CG11">
            <v>0</v>
          </cell>
        </row>
      </sheetData>
      <sheetData sheetId="21">
        <row r="11">
          <cell r="G11" t="str">
            <v>Информация с официального сайта Банка России</v>
          </cell>
        </row>
      </sheetData>
      <sheetData sheetId="22"/>
      <sheetData sheetId="23">
        <row r="12">
          <cell r="F12">
            <v>940.47266370947932</v>
          </cell>
        </row>
        <row r="14">
          <cell r="F14">
            <v>15827.997028730506</v>
          </cell>
        </row>
        <row r="15">
          <cell r="F15">
            <v>0.25</v>
          </cell>
        </row>
        <row r="18">
          <cell r="F18">
            <v>15</v>
          </cell>
        </row>
        <row r="19">
          <cell r="F19">
            <v>3741.3369093945325</v>
          </cell>
        </row>
        <row r="20">
          <cell r="F20">
            <v>2.1999999999999999E-2</v>
          </cell>
        </row>
        <row r="21">
          <cell r="F21">
            <v>10</v>
          </cell>
        </row>
        <row r="22">
          <cell r="F22">
            <v>9.5576411518206239</v>
          </cell>
        </row>
        <row r="23">
          <cell r="F23">
            <v>3.0000000000000001E-3</v>
          </cell>
        </row>
        <row r="24">
          <cell r="F24">
            <v>3185.880383940208</v>
          </cell>
        </row>
      </sheetData>
      <sheetData sheetId="24">
        <row r="12">
          <cell r="F12" t="str">
            <v>Налоговый кодекс РФ</v>
          </cell>
        </row>
      </sheetData>
      <sheetData sheetId="25">
        <row r="12">
          <cell r="F12">
            <v>544.95824942576314</v>
          </cell>
        </row>
        <row r="16">
          <cell r="F16">
            <v>1652.5</v>
          </cell>
        </row>
        <row r="17">
          <cell r="F17">
            <v>73547</v>
          </cell>
        </row>
        <row r="18">
          <cell r="F18">
            <v>0.02</v>
          </cell>
        </row>
        <row r="19">
          <cell r="F19">
            <v>12104</v>
          </cell>
        </row>
        <row r="20">
          <cell r="F20">
            <v>1.4999999999999999E-2</v>
          </cell>
        </row>
        <row r="21">
          <cell r="F21">
            <v>1933.1949342509995</v>
          </cell>
        </row>
        <row r="22">
          <cell r="F22">
            <v>3.6112641666666665</v>
          </cell>
        </row>
        <row r="23">
          <cell r="F23">
            <v>180</v>
          </cell>
        </row>
        <row r="24">
          <cell r="F24">
            <v>8497.1999999999989</v>
          </cell>
        </row>
        <row r="25">
          <cell r="F25">
            <v>0.35</v>
          </cell>
        </row>
        <row r="26">
          <cell r="F26">
            <v>91.185569999999998</v>
          </cell>
        </row>
        <row r="27">
          <cell r="F27">
            <v>1291.2863994686898</v>
          </cell>
        </row>
        <row r="28">
          <cell r="F28">
            <v>991.77142816335618</v>
          </cell>
        </row>
        <row r="29">
          <cell r="F29">
            <v>299.51497130533357</v>
          </cell>
        </row>
        <row r="30">
          <cell r="F30">
            <v>2820.6624785956101</v>
          </cell>
        </row>
        <row r="33">
          <cell r="F33">
            <v>1581.3484522247327</v>
          </cell>
        </row>
        <row r="35">
          <cell r="F35">
            <v>18.902267999999999</v>
          </cell>
        </row>
        <row r="36">
          <cell r="F36">
            <v>14319.9</v>
          </cell>
        </row>
        <row r="37">
          <cell r="F37">
            <v>1.32</v>
          </cell>
        </row>
      </sheetData>
      <sheetData sheetId="26">
        <row r="12">
          <cell r="F12" t="str">
            <v>Постановление Правительства Российской Федерации от 17.04.2024 № 492</v>
          </cell>
        </row>
      </sheetData>
      <sheetData sheetId="27">
        <row r="8">
          <cell r="F8" t="str">
            <v>нет</v>
          </cell>
        </row>
        <row r="15">
          <cell r="D15" t="str">
            <v>АО "Новосибирскэнергосбыт"</v>
          </cell>
        </row>
        <row r="21">
          <cell r="D21">
            <v>0</v>
          </cell>
        </row>
      </sheetData>
      <sheetData sheetId="28">
        <row r="11">
          <cell r="E11">
            <v>1871</v>
          </cell>
        </row>
        <row r="12">
          <cell r="E12">
            <v>1636</v>
          </cell>
        </row>
        <row r="13">
          <cell r="E13">
            <v>204</v>
          </cell>
        </row>
        <row r="16">
          <cell r="E16">
            <v>0</v>
          </cell>
        </row>
        <row r="17">
          <cell r="E17">
            <v>25.15</v>
          </cell>
        </row>
        <row r="18">
          <cell r="E18">
            <v>0</v>
          </cell>
        </row>
        <row r="19">
          <cell r="E19">
            <v>14.63</v>
          </cell>
        </row>
      </sheetData>
      <sheetData sheetId="29"/>
      <sheetData sheetId="30">
        <row r="12">
          <cell r="F12">
            <v>113.10773818572852</v>
          </cell>
        </row>
        <row r="17">
          <cell r="F17">
            <v>0.02</v>
          </cell>
        </row>
      </sheetData>
      <sheetData sheetId="31">
        <row r="12">
          <cell r="F12" t="str">
            <v>-</v>
          </cell>
        </row>
      </sheetData>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нструкция"/>
      <sheetName val="Структура"/>
      <sheetName val="Содержание"/>
      <sheetName val="И1"/>
      <sheetName val="Инвест.об."/>
      <sheetName val="И2"/>
      <sheetName val="И2.1"/>
      <sheetName val="С1"/>
      <sheetName val="С1.1"/>
      <sheetName val="С1.2"/>
      <sheetName val="Data1.2"/>
      <sheetName val="С1.3"/>
      <sheetName val="Data1.3"/>
      <sheetName val="С2"/>
      <sheetName val="С2.1"/>
      <sheetName val="Data2.1"/>
      <sheetName val="С2.2"/>
      <sheetName val="С2.3"/>
      <sheetName val="С2.4"/>
      <sheetName val="Data2.4"/>
      <sheetName val="С2.5"/>
      <sheetName val="С2.6"/>
      <sheetName val="Data2.6"/>
      <sheetName val="С3"/>
      <sheetName val="С3.1"/>
      <sheetName val="С4"/>
      <sheetName val="С4.1"/>
      <sheetName val="С4.2"/>
      <sheetName val="С4.3"/>
      <sheetName val="С4.4"/>
      <sheetName val="С5"/>
      <sheetName val="С6"/>
      <sheetName val="И3"/>
      <sheetName val="Проверка"/>
      <sheetName val="ИПЦ_ИПГ"/>
      <sheetName val="АК_прогноз"/>
      <sheetName val="ПУЦ (п.67)"/>
      <sheetName val="АК_прогноз_j"/>
      <sheetName val="Гр&amp;ПУЦ_v1"/>
      <sheetName val="Заморозка"/>
      <sheetName val="ИПГ_мо"/>
      <sheetName val="ИПГ_рег"/>
      <sheetName val="Темп VS ИПГ"/>
      <sheetName val="МУ770_Т1"/>
      <sheetName val="Гр&amp;ПУЦ_v2"/>
      <sheetName val="Системный"/>
    </sheetNames>
    <sheetDataSet>
      <sheetData sheetId="0"/>
      <sheetData sheetId="1"/>
      <sheetData sheetId="2"/>
      <sheetData sheetId="3">
        <row r="8">
          <cell r="D8" t="str">
            <v>Период регулирования (i)-й</v>
          </cell>
        </row>
        <row r="14">
          <cell r="E14" t="str">
            <v xml:space="preserve">село Гусельниково, Искитимский муниципальный район </v>
          </cell>
        </row>
        <row r="16">
          <cell r="E16" t="str">
            <v>(50615410101)</v>
          </cell>
        </row>
      </sheetData>
      <sheetData sheetId="4"/>
      <sheetData sheetId="5"/>
      <sheetData sheetId="6"/>
      <sheetData sheetId="7">
        <row r="12">
          <cell r="F12">
            <v>958.24669124268542</v>
          </cell>
        </row>
      </sheetData>
      <sheetData sheetId="8">
        <row r="13">
          <cell r="E13" t="str">
            <v>уголь (вид угля не указан в топливном балансе)</v>
          </cell>
        </row>
      </sheetData>
      <sheetData sheetId="9"/>
      <sheetData sheetId="10"/>
      <sheetData sheetId="11"/>
      <sheetData sheetId="12"/>
      <sheetData sheetId="13">
        <row r="12">
          <cell r="F12">
            <v>3063.2235383547568</v>
          </cell>
        </row>
      </sheetData>
      <sheetData sheetId="14">
        <row r="12">
          <cell r="E12" t="str">
            <v>V</v>
          </cell>
        </row>
      </sheetData>
      <sheetData sheetId="15"/>
      <sheetData sheetId="16">
        <row r="10">
          <cell r="E10">
            <v>1287</v>
          </cell>
        </row>
      </sheetData>
      <sheetData sheetId="17">
        <row r="11">
          <cell r="E11">
            <v>9.89</v>
          </cell>
        </row>
      </sheetData>
      <sheetData sheetId="18"/>
      <sheetData sheetId="19"/>
      <sheetData sheetId="20">
        <row r="11">
          <cell r="E11">
            <v>-2.9000000000000026E-2</v>
          </cell>
        </row>
      </sheetData>
      <sheetData sheetId="21"/>
      <sheetData sheetId="22"/>
      <sheetData sheetId="23">
        <row r="12">
          <cell r="F12">
            <v>917.89815316767874</v>
          </cell>
        </row>
      </sheetData>
      <sheetData sheetId="24"/>
      <sheetData sheetId="25">
        <row r="12">
          <cell r="F12">
            <v>521.22357730729868</v>
          </cell>
        </row>
      </sheetData>
      <sheetData sheetId="26"/>
      <sheetData sheetId="27">
        <row r="8">
          <cell r="F8" t="str">
            <v>нет</v>
          </cell>
        </row>
      </sheetData>
      <sheetData sheetId="28">
        <row r="11">
          <cell r="E11">
            <v>1871</v>
          </cell>
        </row>
      </sheetData>
      <sheetData sheetId="29"/>
      <sheetData sheetId="30">
        <row r="12">
          <cell r="F12">
            <v>109.2118392014484</v>
          </cell>
        </row>
      </sheetData>
      <sheetData sheetId="31">
        <row r="12">
          <cell r="F12" t="str">
            <v>-</v>
          </cell>
        </row>
      </sheetData>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нструкция"/>
      <sheetName val="Структура"/>
      <sheetName val="Содержание"/>
      <sheetName val="И1"/>
      <sheetName val="Инвест.об."/>
      <sheetName val="И2"/>
      <sheetName val="И2.1"/>
      <sheetName val="С1"/>
      <sheetName val="С1.1"/>
      <sheetName val="С1.2"/>
      <sheetName val="Data1.2"/>
      <sheetName val="С1.3"/>
      <sheetName val="Data1.3"/>
      <sheetName val="С2"/>
      <sheetName val="С2.1"/>
      <sheetName val="Data2.1"/>
      <sheetName val="С2.2"/>
      <sheetName val="С2.3"/>
      <sheetName val="С2.4"/>
      <sheetName val="С2.5"/>
      <sheetName val="С2.6"/>
      <sheetName val="Data2.6"/>
      <sheetName val="С3"/>
      <sheetName val="С3.1"/>
      <sheetName val="С4"/>
      <sheetName val="С4.1"/>
      <sheetName val="С4.2"/>
      <sheetName val="С4.3"/>
      <sheetName val="С4.4"/>
      <sheetName val="С5"/>
      <sheetName val="С6"/>
      <sheetName val="С6.1"/>
      <sheetName val="И3"/>
      <sheetName val="Проверка"/>
      <sheetName val="Системный"/>
      <sheetName val="АК_прогноз"/>
      <sheetName val="Гр&amp;ПУЦ_v1"/>
      <sheetName val="Заморозка"/>
      <sheetName val="ИПГ_мо"/>
      <sheetName val="ИПГ_рег"/>
      <sheetName val="Темп VS ИПГ"/>
      <sheetName val="МУ770_Т1"/>
      <sheetName val="ИПЦ_ИПГ"/>
      <sheetName val="ПУЦ (п.67)"/>
      <sheetName val="Гр&amp;ПУЦ_v2"/>
      <sheetName val="Лист1"/>
      <sheetName val="Шаблон ЦАК_газ_2026_5 эт Евсинс"/>
    </sheetNames>
    <sheetDataSet>
      <sheetData sheetId="0"/>
      <sheetData sheetId="1"/>
      <sheetData sheetId="2"/>
      <sheetData sheetId="3">
        <row r="8">
          <cell r="D8" t="str">
            <v>Период регулирования (i)-й</v>
          </cell>
          <cell r="E8">
            <v>2026</v>
          </cell>
        </row>
        <row r="9">
          <cell r="D9" t="str">
            <v>Период регулирования (i-1)-й</v>
          </cell>
          <cell r="E9">
            <v>2025</v>
          </cell>
        </row>
        <row r="10">
          <cell r="D10" t="str">
            <v>Период регулирования (i-2)-й</v>
          </cell>
          <cell r="E10">
            <v>2024</v>
          </cell>
        </row>
        <row r="11">
          <cell r="D11" t="str">
            <v>Базовый год (б)</v>
          </cell>
          <cell r="E11">
            <v>2019</v>
          </cell>
        </row>
        <row r="13">
          <cell r="D13" t="str">
            <v>Субъект Российской Федерации</v>
          </cell>
          <cell r="E13" t="str">
            <v>Новосибирская область</v>
          </cell>
        </row>
        <row r="14">
          <cell r="D14" t="str">
            <v>Тип муниципального образования (выберите из списка)</v>
          </cell>
        </row>
        <row r="15">
          <cell r="D15" t="str">
            <v/>
          </cell>
          <cell r="E15">
            <v>0</v>
          </cell>
        </row>
        <row r="16">
          <cell r="D16" t="str">
            <v>Код ОКТМО</v>
          </cell>
        </row>
        <row r="17">
          <cell r="D17" t="str">
            <v>Система теплоснабжения</v>
          </cell>
          <cell r="E17">
            <v>0</v>
          </cell>
        </row>
        <row r="18">
          <cell r="D18" t="str">
            <v>Вид топлива, использование которого преобладает в системе теплоснабжения</v>
          </cell>
          <cell r="E18" t="str">
            <v>Газ</v>
          </cell>
        </row>
      </sheetData>
      <sheetData sheetId="4"/>
      <sheetData sheetId="5"/>
      <sheetData sheetId="6"/>
      <sheetData sheetId="7">
        <row r="12">
          <cell r="F12">
            <v>1278.3072413778675</v>
          </cell>
        </row>
        <row r="13">
          <cell r="F13">
            <v>156.1</v>
          </cell>
        </row>
        <row r="16">
          <cell r="F16">
            <v>7000</v>
          </cell>
        </row>
        <row r="17">
          <cell r="F17">
            <v>1.1285714285714286</v>
          </cell>
        </row>
        <row r="20">
          <cell r="F20">
            <v>22.307053372799995</v>
          </cell>
        </row>
        <row r="21">
          <cell r="F21">
            <v>21.531904799999996</v>
          </cell>
        </row>
        <row r="22">
          <cell r="F22">
            <v>1.036</v>
          </cell>
        </row>
        <row r="23">
          <cell r="F23" t="str">
            <v>-</v>
          </cell>
        </row>
      </sheetData>
      <sheetData sheetId="8">
        <row r="9">
          <cell r="I9" t="str">
            <v>цены (тарифы), подлежащие государственному регулированию, действовавшие на день окончания (i-2)-го расчетного периода в системе теплоснабжения</v>
          </cell>
        </row>
        <row r="16">
          <cell r="E16">
            <v>7900</v>
          </cell>
        </row>
        <row r="20">
          <cell r="E20">
            <v>0.21299999999999999</v>
          </cell>
        </row>
        <row r="21">
          <cell r="E21">
            <v>9.6000000000000002E-2</v>
          </cell>
        </row>
        <row r="25">
          <cell r="E25" t="str">
            <v>ООО "Газпром межрегионгаз Новосибирск", ООО "Газпром газораспределение Томск" (с 17.02.2025 ООО "Газпром газораспределение Сибирь")</v>
          </cell>
        </row>
        <row r="26">
          <cell r="D26" t="str">
            <v>Среднеарифметическое значение между установленными предельными максимальным и минимальным уровнями оптовых цен, действовавшими на день окончания (i-2)-го расчетного периода регулирования в системе теплоснабжения, без НДС, руб./тыс. куб. м</v>
          </cell>
          <cell r="E26">
            <v>5670</v>
          </cell>
        </row>
        <row r="27">
          <cell r="D27" t="str">
            <v>Тариф на услуги по транспортировке газа по газораспределительным сетям, действовавший на день окончания (i-2)-го расчетного периода регулирования в системе теплоснабжения, без НДС, руб./тыс. куб. м</v>
          </cell>
          <cell r="E27">
            <v>689.14</v>
          </cell>
        </row>
        <row r="28">
          <cell r="D28" t="str">
            <v>Размер платы за снабженческо-сбытовые услуги, действовавший на день окончания (i-2)-го расчетного периода регулирования в системе теплоснабжения, без НДС, руб./тыс. куб. м</v>
          </cell>
          <cell r="E28">
            <v>144.72999999999999</v>
          </cell>
        </row>
        <row r="29">
          <cell r="D29" t="str">
            <v>Специальная надбавка к тарифам на услуги по транспортировке газа по газораспределительным сетям, действовавшая на день окончания (i-2)-го расчетного периода регулирования в системе теплоснабжения, без НДС, руб./тыс. куб. м</v>
          </cell>
          <cell r="E29">
            <v>206.25</v>
          </cell>
        </row>
        <row r="32">
          <cell r="E32">
            <v>6710.12</v>
          </cell>
        </row>
      </sheetData>
      <sheetData sheetId="9"/>
      <sheetData sheetId="10"/>
      <sheetData sheetId="11">
        <row r="9">
          <cell r="G9">
            <v>0</v>
          </cell>
        </row>
      </sheetData>
      <sheetData sheetId="12"/>
      <sheetData sheetId="13">
        <row r="12">
          <cell r="F12">
            <v>2138.4809328120286</v>
          </cell>
        </row>
        <row r="13">
          <cell r="F13">
            <v>119259.45174981897</v>
          </cell>
        </row>
        <row r="14">
          <cell r="F14">
            <v>64899</v>
          </cell>
        </row>
        <row r="15">
          <cell r="F15">
            <v>1.071</v>
          </cell>
        </row>
        <row r="16">
          <cell r="F16">
            <v>1</v>
          </cell>
        </row>
        <row r="17">
          <cell r="F17">
            <v>1</v>
          </cell>
        </row>
        <row r="18">
          <cell r="F18">
            <v>40220.845230503684</v>
          </cell>
        </row>
        <row r="19">
          <cell r="F19">
            <v>0</v>
          </cell>
        </row>
        <row r="20">
          <cell r="F20">
            <v>23441.524932855718</v>
          </cell>
        </row>
        <row r="21">
          <cell r="F21">
            <v>1</v>
          </cell>
        </row>
        <row r="22">
          <cell r="F22">
            <v>24548.869037237404</v>
          </cell>
        </row>
        <row r="23">
          <cell r="F23">
            <v>21</v>
          </cell>
        </row>
        <row r="26">
          <cell r="F26">
            <v>2892</v>
          </cell>
        </row>
        <row r="28">
          <cell r="F28">
            <v>379.2714742785962</v>
          </cell>
        </row>
        <row r="29">
          <cell r="F29">
            <v>0.44209422600000003</v>
          </cell>
        </row>
        <row r="30">
          <cell r="F30">
            <v>500</v>
          </cell>
        </row>
        <row r="31">
          <cell r="F31">
            <v>0.21369165990259753</v>
          </cell>
        </row>
        <row r="32">
          <cell r="F32">
            <v>0.20047619047619047</v>
          </cell>
        </row>
        <row r="33">
          <cell r="F33">
            <v>0.13880000000000001</v>
          </cell>
        </row>
        <row r="34">
          <cell r="F34">
            <v>0.12640000000000001</v>
          </cell>
        </row>
        <row r="35">
          <cell r="F35">
            <v>10</v>
          </cell>
        </row>
        <row r="37">
          <cell r="F37">
            <v>1.7157947422665329</v>
          </cell>
        </row>
        <row r="39">
          <cell r="F39">
            <v>21.531904799999996</v>
          </cell>
        </row>
        <row r="40">
          <cell r="F40">
            <v>7</v>
          </cell>
        </row>
        <row r="42">
          <cell r="F42">
            <v>0.97</v>
          </cell>
        </row>
        <row r="44">
          <cell r="F44">
            <v>0.36199999999999999</v>
          </cell>
        </row>
      </sheetData>
      <sheetData sheetId="14">
        <row r="12">
          <cell r="E12" t="str">
            <v>V</v>
          </cell>
        </row>
        <row r="13">
          <cell r="E13" t="str">
            <v>6 и менее баллов</v>
          </cell>
        </row>
        <row r="14">
          <cell r="E14" t="str">
            <v>до 200</v>
          </cell>
        </row>
        <row r="15">
          <cell r="E15" t="str">
            <v>нет</v>
          </cell>
        </row>
        <row r="19">
          <cell r="E19">
            <v>0</v>
          </cell>
        </row>
        <row r="20">
          <cell r="E20">
            <v>-37</v>
          </cell>
        </row>
        <row r="23">
          <cell r="E23" t="str">
            <v>нет</v>
          </cell>
        </row>
        <row r="28">
          <cell r="E28">
            <v>5515.9310416666667</v>
          </cell>
        </row>
        <row r="29">
          <cell r="E29">
            <v>5878.6480833333326</v>
          </cell>
        </row>
      </sheetData>
      <sheetData sheetId="15"/>
      <sheetData sheetId="16">
        <row r="10">
          <cell r="E10">
            <v>1287</v>
          </cell>
        </row>
        <row r="12">
          <cell r="E12">
            <v>5.97</v>
          </cell>
        </row>
        <row r="13">
          <cell r="E13">
            <v>1</v>
          </cell>
        </row>
        <row r="14">
          <cell r="E14">
            <v>12104</v>
          </cell>
        </row>
        <row r="15">
          <cell r="E15">
            <v>4.8000000000000001E-2</v>
          </cell>
        </row>
        <row r="16">
          <cell r="E16">
            <v>1</v>
          </cell>
        </row>
      </sheetData>
      <sheetData sheetId="17">
        <row r="11">
          <cell r="E11">
            <v>5.45</v>
          </cell>
        </row>
        <row r="12">
          <cell r="E12">
            <v>0.2</v>
          </cell>
        </row>
        <row r="13">
          <cell r="E13">
            <v>300</v>
          </cell>
        </row>
        <row r="14">
          <cell r="E14">
            <v>61211</v>
          </cell>
        </row>
        <row r="15">
          <cell r="E15">
            <v>45675</v>
          </cell>
        </row>
        <row r="16">
          <cell r="E16">
            <v>65637</v>
          </cell>
        </row>
        <row r="17">
          <cell r="E17">
            <v>31684</v>
          </cell>
        </row>
        <row r="21">
          <cell r="E21" t="str">
            <v>МУП г. Новосибирска "Горводоканал"</v>
          </cell>
        </row>
        <row r="22">
          <cell r="E22">
            <v>20170.833333333332</v>
          </cell>
        </row>
        <row r="23">
          <cell r="E23">
            <v>18020</v>
          </cell>
        </row>
        <row r="25">
          <cell r="E25" t="str">
            <v>МУП г. Новосибирска "Горводоканал"</v>
          </cell>
        </row>
        <row r="26">
          <cell r="E26">
            <v>38240.416666666664</v>
          </cell>
        </row>
        <row r="27">
          <cell r="E27">
            <v>19570</v>
          </cell>
        </row>
      </sheetData>
      <sheetData sheetId="18">
        <row r="12">
          <cell r="F12" t="str">
            <v>Постановление Правительства Новосибирской области от 29.11.2011 №535-п (ред. 14.04.2014) "Об утверждении результатов государственной кадастровой оценки земель населенных пунктов в новосибирской области и среднего уровня кадастровой стоимости земель населенных пунктов по муниципальным районам и городским округам Новыосибирской области"</v>
          </cell>
        </row>
      </sheetData>
      <sheetData sheetId="19">
        <row r="11">
          <cell r="E11">
            <v>-2.9000000000000026E-2</v>
          </cell>
          <cell r="F11">
            <v>0.245</v>
          </cell>
          <cell r="G11">
            <v>0.114</v>
          </cell>
          <cell r="H11">
            <v>0.04</v>
          </cell>
          <cell r="I11">
            <v>0.121</v>
          </cell>
          <cell r="J11">
            <v>0.03</v>
          </cell>
          <cell r="K11">
            <v>6.0999999999999999E-2</v>
          </cell>
          <cell r="L11">
            <v>0</v>
          </cell>
          <cell r="M11">
            <v>0</v>
          </cell>
          <cell r="N11">
            <v>0</v>
          </cell>
          <cell r="O11">
            <v>0</v>
          </cell>
          <cell r="P11">
            <v>0</v>
          </cell>
          <cell r="Q11">
            <v>0</v>
          </cell>
          <cell r="R11">
            <v>0</v>
          </cell>
          <cell r="S11">
            <v>0</v>
          </cell>
          <cell r="T11">
            <v>0</v>
          </cell>
          <cell r="U11">
            <v>0</v>
          </cell>
          <cell r="V11">
            <v>0</v>
          </cell>
          <cell r="W11">
            <v>0</v>
          </cell>
          <cell r="X11">
            <v>0</v>
          </cell>
          <cell r="Y11">
            <v>0</v>
          </cell>
          <cell r="Z11">
            <v>0</v>
          </cell>
          <cell r="AA11">
            <v>0</v>
          </cell>
          <cell r="AB11">
            <v>0</v>
          </cell>
          <cell r="AC11">
            <v>0</v>
          </cell>
          <cell r="AD11">
            <v>0</v>
          </cell>
          <cell r="AE11">
            <v>0</v>
          </cell>
          <cell r="AF11">
            <v>0</v>
          </cell>
          <cell r="AG11">
            <v>0</v>
          </cell>
          <cell r="AH11">
            <v>0</v>
          </cell>
          <cell r="AI11">
            <v>0</v>
          </cell>
          <cell r="AJ11">
            <v>0</v>
          </cell>
          <cell r="AK11">
            <v>0</v>
          </cell>
          <cell r="AL11">
            <v>0</v>
          </cell>
          <cell r="AM11">
            <v>0</v>
          </cell>
          <cell r="AN11">
            <v>0</v>
          </cell>
          <cell r="AO11">
            <v>0</v>
          </cell>
          <cell r="AP11">
            <v>0</v>
          </cell>
          <cell r="AQ11">
            <v>0</v>
          </cell>
          <cell r="AR11">
            <v>0</v>
          </cell>
          <cell r="AS11">
            <v>0</v>
          </cell>
          <cell r="AT11">
            <v>0</v>
          </cell>
          <cell r="AU11">
            <v>0</v>
          </cell>
          <cell r="AV11">
            <v>0</v>
          </cell>
          <cell r="AW11">
            <v>0</v>
          </cell>
          <cell r="AX11">
            <v>0</v>
          </cell>
          <cell r="AY11">
            <v>0</v>
          </cell>
          <cell r="AZ11">
            <v>0</v>
          </cell>
          <cell r="BA11">
            <v>0</v>
          </cell>
          <cell r="BB11">
            <v>0</v>
          </cell>
          <cell r="BC11">
            <v>0</v>
          </cell>
          <cell r="BD11">
            <v>0</v>
          </cell>
          <cell r="BE11">
            <v>0</v>
          </cell>
          <cell r="BF11">
            <v>0</v>
          </cell>
          <cell r="BG11">
            <v>0</v>
          </cell>
          <cell r="BH11">
            <v>0</v>
          </cell>
          <cell r="BI11">
            <v>0</v>
          </cell>
          <cell r="BJ11">
            <v>0</v>
          </cell>
          <cell r="BK11">
            <v>0</v>
          </cell>
          <cell r="BL11">
            <v>0</v>
          </cell>
          <cell r="BM11">
            <v>0</v>
          </cell>
          <cell r="BN11">
            <v>0</v>
          </cell>
          <cell r="BO11">
            <v>0</v>
          </cell>
          <cell r="BP11">
            <v>0</v>
          </cell>
          <cell r="BQ11">
            <v>0</v>
          </cell>
          <cell r="BR11">
            <v>0</v>
          </cell>
          <cell r="BS11">
            <v>0</v>
          </cell>
          <cell r="BT11">
            <v>0</v>
          </cell>
          <cell r="BU11">
            <v>0</v>
          </cell>
          <cell r="BV11">
            <v>0</v>
          </cell>
          <cell r="BW11">
            <v>0</v>
          </cell>
          <cell r="BX11">
            <v>0</v>
          </cell>
          <cell r="BY11">
            <v>0</v>
          </cell>
          <cell r="BZ11">
            <v>0</v>
          </cell>
          <cell r="CA11">
            <v>0</v>
          </cell>
          <cell r="CB11">
            <v>0</v>
          </cell>
          <cell r="CC11">
            <v>0</v>
          </cell>
          <cell r="CD11">
            <v>0</v>
          </cell>
          <cell r="CE11">
            <v>0</v>
          </cell>
          <cell r="CF11">
            <v>0</v>
          </cell>
        </row>
      </sheetData>
      <sheetData sheetId="20">
        <row r="11">
          <cell r="G11" t="str">
            <v>Информация с официального сайта Банка России</v>
          </cell>
        </row>
      </sheetData>
      <sheetData sheetId="21"/>
      <sheetData sheetId="22">
        <row r="12">
          <cell r="F12">
            <v>648.30389958699197</v>
          </cell>
        </row>
        <row r="14">
          <cell r="F14">
            <v>11258.985598028818</v>
          </cell>
        </row>
        <row r="15">
          <cell r="F15">
            <v>0.25</v>
          </cell>
        </row>
        <row r="18">
          <cell r="F18">
            <v>15</v>
          </cell>
        </row>
        <row r="19">
          <cell r="F19">
            <v>2699.0944349242141</v>
          </cell>
        </row>
        <row r="20">
          <cell r="F20">
            <v>2.1999999999999999E-2</v>
          </cell>
        </row>
        <row r="21">
          <cell r="F21">
            <v>10</v>
          </cell>
        </row>
        <row r="22">
          <cell r="F22">
            <v>1.1378144228357887</v>
          </cell>
        </row>
        <row r="23">
          <cell r="F23">
            <v>3.0000000000000001E-3</v>
          </cell>
        </row>
        <row r="24">
          <cell r="F24">
            <v>379.2714742785962</v>
          </cell>
        </row>
      </sheetData>
      <sheetData sheetId="23">
        <row r="12">
          <cell r="F12" t="str">
            <v xml:space="preserve">Налоговый кодекс Российской Федерации </v>
          </cell>
        </row>
      </sheetData>
      <sheetData sheetId="24">
        <row r="12">
          <cell r="F12">
            <v>202.84294478057836</v>
          </cell>
        </row>
        <row r="16">
          <cell r="F16">
            <v>832.33500000000004</v>
          </cell>
        </row>
        <row r="17">
          <cell r="F17">
            <v>43385</v>
          </cell>
        </row>
        <row r="18">
          <cell r="F18">
            <v>1.4999999999999999E-2</v>
          </cell>
        </row>
        <row r="19">
          <cell r="F19">
            <v>12104</v>
          </cell>
        </row>
        <row r="20">
          <cell r="F20">
            <v>1.4999999999999999E-2</v>
          </cell>
        </row>
        <row r="21">
          <cell r="F21">
            <v>1221.9019409821399</v>
          </cell>
        </row>
        <row r="22">
          <cell r="F22">
            <v>3.6112641666666665</v>
          </cell>
        </row>
        <row r="23">
          <cell r="F23">
            <v>110</v>
          </cell>
        </row>
        <row r="24">
          <cell r="F24">
            <v>8497.1999999999989</v>
          </cell>
        </row>
        <row r="25">
          <cell r="F25">
            <v>0.36199999999999999</v>
          </cell>
        </row>
        <row r="26">
          <cell r="F26">
            <v>40.841459999999998</v>
          </cell>
        </row>
        <row r="27">
          <cell r="F27">
            <v>0</v>
          </cell>
        </row>
        <row r="28">
          <cell r="F28">
            <v>0</v>
          </cell>
        </row>
        <row r="29">
          <cell r="F29">
            <v>0</v>
          </cell>
        </row>
        <row r="30">
          <cell r="F30">
            <v>772.87047132573866</v>
          </cell>
        </row>
      </sheetData>
      <sheetData sheetId="25"/>
      <sheetData sheetId="26">
        <row r="8">
          <cell r="F8" t="str">
            <v>нет</v>
          </cell>
        </row>
        <row r="15">
          <cell r="D15" t="str">
            <v>АО "Новосибирскэнергосбыт"</v>
          </cell>
        </row>
        <row r="21">
          <cell r="D21">
            <v>0</v>
          </cell>
        </row>
      </sheetData>
      <sheetData sheetId="27">
        <row r="11">
          <cell r="E11">
            <v>1871</v>
          </cell>
        </row>
        <row r="12">
          <cell r="E12">
            <v>61</v>
          </cell>
        </row>
        <row r="13">
          <cell r="E13">
            <v>73</v>
          </cell>
        </row>
        <row r="16">
          <cell r="E16">
            <v>0</v>
          </cell>
        </row>
        <row r="17">
          <cell r="E17">
            <v>20.38</v>
          </cell>
        </row>
        <row r="18">
          <cell r="E18">
            <v>0</v>
          </cell>
        </row>
        <row r="19">
          <cell r="E19">
            <v>20.100000000000001</v>
          </cell>
        </row>
      </sheetData>
      <sheetData sheetId="28"/>
      <sheetData sheetId="29">
        <row r="12">
          <cell r="F12">
            <v>85.35870037114934</v>
          </cell>
        </row>
        <row r="17">
          <cell r="F17">
            <v>0.02</v>
          </cell>
        </row>
      </sheetData>
      <sheetData sheetId="30">
        <row r="12">
          <cell r="F12">
            <v>0</v>
          </cell>
        </row>
        <row r="13">
          <cell r="F13">
            <v>0</v>
          </cell>
        </row>
        <row r="19">
          <cell r="F19">
            <v>0</v>
          </cell>
        </row>
      </sheetData>
      <sheetData sheetId="31">
        <row r="11">
          <cell r="E11" t="str">
            <v>да</v>
          </cell>
        </row>
        <row r="12">
          <cell r="E12">
            <v>0</v>
          </cell>
        </row>
        <row r="17">
          <cell r="E17">
            <v>0</v>
          </cell>
        </row>
        <row r="18">
          <cell r="E18" t="str">
            <v>да</v>
          </cell>
        </row>
        <row r="19">
          <cell r="E19">
            <v>0</v>
          </cell>
        </row>
        <row r="22">
          <cell r="E22">
            <v>0</v>
          </cell>
        </row>
        <row r="23">
          <cell r="E23">
            <v>0</v>
          </cell>
        </row>
      </sheetData>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нструкция"/>
      <sheetName val="Структура"/>
      <sheetName val="Содержание"/>
      <sheetName val="И1"/>
      <sheetName val="Инвест.об."/>
      <sheetName val="И2"/>
      <sheetName val="И2.1"/>
      <sheetName val="С1"/>
      <sheetName val="С1.1"/>
      <sheetName val="С1.2"/>
      <sheetName val="Data1.2"/>
      <sheetName val="С1.3"/>
      <sheetName val="Data1.3"/>
      <sheetName val="С2"/>
      <sheetName val="С2.1"/>
      <sheetName val="Data2.1"/>
      <sheetName val="С2.2"/>
      <sheetName val="С2.3"/>
      <sheetName val="С2.4"/>
      <sheetName val="С2.5"/>
      <sheetName val="С2.6"/>
      <sheetName val="Data2.6"/>
      <sheetName val="С3"/>
      <sheetName val="С3.1"/>
      <sheetName val="С4"/>
      <sheetName val="С4.1"/>
      <sheetName val="С4.2"/>
      <sheetName val="С4.3"/>
      <sheetName val="С4.4"/>
      <sheetName val="С5"/>
      <sheetName val="С6"/>
      <sheetName val="С6.1"/>
      <sheetName val="И3"/>
      <sheetName val="Проверка"/>
      <sheetName val="Системный"/>
      <sheetName val="АК_прогноз"/>
      <sheetName val="Гр&amp;ПУЦ_v1"/>
      <sheetName val="Заморозка"/>
      <sheetName val="ИПГ_мо"/>
      <sheetName val="ИПГ_рег"/>
      <sheetName val="Темп VS ИПГ"/>
      <sheetName val="МУ770_Т1"/>
      <sheetName val="ИПЦ_ИПГ"/>
      <sheetName val="ПУЦ (п.67)"/>
      <sheetName val="Гр&amp;ПУЦ_v2"/>
      <sheetName val="Лист1"/>
    </sheetNames>
    <sheetDataSet>
      <sheetData sheetId="0"/>
      <sheetData sheetId="1"/>
      <sheetData sheetId="2"/>
      <sheetData sheetId="3">
        <row r="8">
          <cell r="D8" t="str">
            <v>Период регулирования (i)-й</v>
          </cell>
        </row>
        <row r="14">
          <cell r="E14" t="str">
            <v>поселок Агролес, Искитимский муниципальный район</v>
          </cell>
        </row>
        <row r="16">
          <cell r="E16" t="str">
            <v xml:space="preserve"> (50615417101)</v>
          </cell>
        </row>
      </sheetData>
      <sheetData sheetId="4"/>
      <sheetData sheetId="5"/>
      <sheetData sheetId="6"/>
      <sheetData sheetId="7">
        <row r="12">
          <cell r="F12">
            <v>1201.0642791911237</v>
          </cell>
        </row>
      </sheetData>
      <sheetData sheetId="8">
        <row r="16">
          <cell r="E16">
            <v>7900</v>
          </cell>
        </row>
      </sheetData>
      <sheetData sheetId="9"/>
      <sheetData sheetId="10"/>
      <sheetData sheetId="11"/>
      <sheetData sheetId="12"/>
      <sheetData sheetId="13">
        <row r="12">
          <cell r="F12">
            <v>2049.7946392543367</v>
          </cell>
        </row>
      </sheetData>
      <sheetData sheetId="14">
        <row r="12">
          <cell r="E12" t="str">
            <v>V</v>
          </cell>
        </row>
      </sheetData>
      <sheetData sheetId="15"/>
      <sheetData sheetId="16">
        <row r="10">
          <cell r="E10">
            <v>1287</v>
          </cell>
        </row>
      </sheetData>
      <sheetData sheetId="17">
        <row r="11">
          <cell r="E11">
            <v>5.45</v>
          </cell>
        </row>
      </sheetData>
      <sheetData sheetId="18"/>
      <sheetData sheetId="19">
        <row r="11">
          <cell r="E11">
            <v>-2.9000000000000026E-2</v>
          </cell>
        </row>
      </sheetData>
      <sheetData sheetId="20"/>
      <sheetData sheetId="21"/>
      <sheetData sheetId="22">
        <row r="12">
          <cell r="F12">
            <v>613.3572799725365</v>
          </cell>
        </row>
      </sheetData>
      <sheetData sheetId="23"/>
      <sheetData sheetId="24">
        <row r="12">
          <cell r="F12">
            <v>269.43884718588168</v>
          </cell>
        </row>
      </sheetData>
      <sheetData sheetId="25"/>
      <sheetData sheetId="26">
        <row r="8">
          <cell r="F8" t="str">
            <v>нет</v>
          </cell>
        </row>
      </sheetData>
      <sheetData sheetId="27">
        <row r="11">
          <cell r="E11">
            <v>1871</v>
          </cell>
        </row>
      </sheetData>
      <sheetData sheetId="28"/>
      <sheetData sheetId="29">
        <row r="12">
          <cell r="F12">
            <v>82.673100912077572</v>
          </cell>
        </row>
      </sheetData>
      <sheetData sheetId="30">
        <row r="12">
          <cell r="F12">
            <v>0</v>
          </cell>
        </row>
      </sheetData>
      <sheetData sheetId="31">
        <row r="11">
          <cell r="E11" t="str">
            <v>да</v>
          </cell>
        </row>
      </sheetData>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нструкция"/>
      <sheetName val="Структура"/>
      <sheetName val="Содержание"/>
      <sheetName val="И1"/>
      <sheetName val="Инвест.об."/>
      <sheetName val="И2"/>
      <sheetName val="И2.1"/>
      <sheetName val="С1"/>
      <sheetName val="С1.1"/>
      <sheetName val="С1.2"/>
      <sheetName val="Data1.2"/>
      <sheetName val="С1.3"/>
      <sheetName val="Data1.3"/>
      <sheetName val="С2"/>
      <sheetName val="С2.1"/>
      <sheetName val="Data2.1"/>
      <sheetName val="С2.2"/>
      <sheetName val="С2.3"/>
      <sheetName val="С2.4"/>
      <sheetName val="Data2.4"/>
      <sheetName val="С2.5"/>
      <sheetName val="С2.6"/>
      <sheetName val="Data2.6"/>
      <sheetName val="С3"/>
      <sheetName val="С3.1"/>
      <sheetName val="С4"/>
      <sheetName val="С4.1"/>
      <sheetName val="С4.2"/>
      <sheetName val="С4.3"/>
      <sheetName val="С4.4"/>
      <sheetName val="С5"/>
      <sheetName val="С6"/>
      <sheetName val="И3"/>
      <sheetName val="Проверка"/>
      <sheetName val="ИПЦ_ИПГ"/>
      <sheetName val="АК_прогноз"/>
      <sheetName val="ПУЦ (п.67)"/>
      <sheetName val="АК_прогноз_j"/>
      <sheetName val="Гр&amp;ПУЦ_v1"/>
      <sheetName val="Заморозка"/>
      <sheetName val="ИПГ_мо"/>
      <sheetName val="ИПГ_рег"/>
      <sheetName val="Темп VS ИПГ"/>
      <sheetName val="МУ770_Т1"/>
      <sheetName val="Гр&amp;ПУЦ_v2"/>
      <sheetName val="Системный"/>
      <sheetName val="Шаблон ЦАК_уголь_2026_5эт Легос"/>
    </sheetNames>
    <sheetDataSet>
      <sheetData sheetId="0"/>
      <sheetData sheetId="1"/>
      <sheetData sheetId="2"/>
      <sheetData sheetId="3">
        <row r="8">
          <cell r="D8" t="str">
            <v>Период регулирования (i)-й</v>
          </cell>
          <cell r="E8">
            <v>2026</v>
          </cell>
        </row>
        <row r="9">
          <cell r="D9" t="str">
            <v>Период регулирования (i-1)-й</v>
          </cell>
          <cell r="E9">
            <v>2025</v>
          </cell>
        </row>
        <row r="10">
          <cell r="D10" t="str">
            <v>Период регулирования (i-2)-й</v>
          </cell>
          <cell r="E10">
            <v>2024</v>
          </cell>
        </row>
        <row r="11">
          <cell r="D11" t="str">
            <v>Базовый год (б)</v>
          </cell>
          <cell r="E11">
            <v>2019</v>
          </cell>
        </row>
        <row r="13">
          <cell r="D13" t="str">
            <v>Субъект Российской Федерации</v>
          </cell>
          <cell r="E13" t="str">
            <v>Новосибирская область</v>
          </cell>
        </row>
        <row r="14">
          <cell r="D14" t="str">
            <v>Тип муниципального образования (выберите из списка)</v>
          </cell>
        </row>
        <row r="15">
          <cell r="D15" t="str">
            <v/>
          </cell>
          <cell r="E15">
            <v>0</v>
          </cell>
        </row>
        <row r="16">
          <cell r="D16" t="str">
            <v>Код ОКТМО</v>
          </cell>
        </row>
        <row r="17">
          <cell r="D17" t="str">
            <v>Система теплоснабжения</v>
          </cell>
          <cell r="E17">
            <v>0</v>
          </cell>
        </row>
        <row r="18">
          <cell r="D18" t="str">
            <v>Вид топлива, использование которого преобладает в системе теплоснабжения</v>
          </cell>
        </row>
      </sheetData>
      <sheetData sheetId="4"/>
      <sheetData sheetId="5"/>
      <sheetData sheetId="6"/>
      <sheetData sheetId="7">
        <row r="12">
          <cell r="F12">
            <v>720.34893333841308</v>
          </cell>
        </row>
        <row r="13">
          <cell r="F13">
            <v>176.4</v>
          </cell>
        </row>
        <row r="16">
          <cell r="F16">
            <v>7000</v>
          </cell>
        </row>
        <row r="17">
          <cell r="F17">
            <v>0.72857142857142854</v>
          </cell>
        </row>
        <row r="20">
          <cell r="F20">
            <v>21.588411179999994</v>
          </cell>
        </row>
        <row r="21">
          <cell r="F21">
            <v>20.818139999999996</v>
          </cell>
        </row>
        <row r="22">
          <cell r="F22">
            <v>1.0369999999999999</v>
          </cell>
        </row>
        <row r="23">
          <cell r="F23">
            <v>1.0469999999999999</v>
          </cell>
        </row>
      </sheetData>
      <sheetData sheetId="8">
        <row r="9">
          <cell r="I9" t="str">
            <v>цены (тарифы), подлежащие государственному регулированию, действовавшие на день окончания (i-2)-го расчетного периода в системе теплоснабжения</v>
          </cell>
        </row>
        <row r="13">
          <cell r="E13" t="str">
            <v>каменный уголь</v>
          </cell>
        </row>
        <row r="16">
          <cell r="E16">
            <v>5100</v>
          </cell>
        </row>
        <row r="19">
          <cell r="E19">
            <v>-0.11899999999999999</v>
          </cell>
        </row>
        <row r="20">
          <cell r="E20">
            <v>4.0000000000000001E-3</v>
          </cell>
        </row>
        <row r="27">
          <cell r="E27">
            <v>3098</v>
          </cell>
        </row>
      </sheetData>
      <sheetData sheetId="9"/>
      <sheetData sheetId="10"/>
      <sheetData sheetId="11">
        <row r="9">
          <cell r="G9">
            <v>0</v>
          </cell>
        </row>
      </sheetData>
      <sheetData sheetId="12"/>
      <sheetData sheetId="13">
        <row r="12">
          <cell r="F12">
            <v>3097.7824122172187</v>
          </cell>
        </row>
        <row r="13">
          <cell r="F13">
            <v>210571.60987470482</v>
          </cell>
        </row>
        <row r="14">
          <cell r="F14">
            <v>113455</v>
          </cell>
        </row>
        <row r="15">
          <cell r="F15">
            <v>1.071</v>
          </cell>
        </row>
        <row r="16">
          <cell r="F16">
            <v>1</v>
          </cell>
        </row>
        <row r="17">
          <cell r="F17">
            <v>1.01</v>
          </cell>
        </row>
        <row r="18">
          <cell r="F18">
            <v>40220.845230503684</v>
          </cell>
        </row>
        <row r="19">
          <cell r="F19">
            <v>0</v>
          </cell>
        </row>
        <row r="20">
          <cell r="F20">
            <v>23441.524932855718</v>
          </cell>
        </row>
        <row r="21">
          <cell r="F21">
            <v>1</v>
          </cell>
        </row>
        <row r="22">
          <cell r="F22">
            <v>4298.6978080550834</v>
          </cell>
        </row>
        <row r="23">
          <cell r="F23">
            <v>1990</v>
          </cell>
        </row>
        <row r="26">
          <cell r="F26">
            <v>3185.880383940208</v>
          </cell>
        </row>
        <row r="27">
          <cell r="F27">
            <v>0.44209422600000003</v>
          </cell>
        </row>
        <row r="28">
          <cell r="F28">
            <v>4200</v>
          </cell>
        </row>
        <row r="29">
          <cell r="F29">
            <v>0.21369165990259753</v>
          </cell>
        </row>
        <row r="30">
          <cell r="F30">
            <v>0.20047619047619047</v>
          </cell>
        </row>
        <row r="31">
          <cell r="F31">
            <v>0.13880000000000001</v>
          </cell>
        </row>
        <row r="32">
          <cell r="F32">
            <v>0.12640000000000001</v>
          </cell>
        </row>
        <row r="33">
          <cell r="F33">
            <v>10</v>
          </cell>
        </row>
        <row r="35">
          <cell r="F35">
            <v>1.7157947422665329</v>
          </cell>
        </row>
        <row r="37">
          <cell r="F37">
            <v>20.818139999999996</v>
          </cell>
        </row>
        <row r="38">
          <cell r="F38">
            <v>7</v>
          </cell>
        </row>
        <row r="40">
          <cell r="F40">
            <v>0.97</v>
          </cell>
        </row>
        <row r="42">
          <cell r="F42">
            <v>0.35</v>
          </cell>
        </row>
      </sheetData>
      <sheetData sheetId="14">
        <row r="12">
          <cell r="E12" t="str">
            <v>V</v>
          </cell>
        </row>
        <row r="13">
          <cell r="E13" t="str">
            <v>6 и менее баллов</v>
          </cell>
        </row>
        <row r="14">
          <cell r="E14" t="str">
            <v>от 200 до 500</v>
          </cell>
        </row>
        <row r="15">
          <cell r="E15" t="str">
            <v>нет</v>
          </cell>
        </row>
        <row r="19">
          <cell r="E19">
            <v>-38</v>
          </cell>
        </row>
        <row r="22">
          <cell r="E22" t="str">
            <v>нет</v>
          </cell>
        </row>
        <row r="27">
          <cell r="E27">
            <v>246.24401</v>
          </cell>
        </row>
        <row r="28">
          <cell r="E28">
            <v>269.12432000000001</v>
          </cell>
        </row>
      </sheetData>
      <sheetData sheetId="15"/>
      <sheetData sheetId="16">
        <row r="10">
          <cell r="E10">
            <v>1287</v>
          </cell>
        </row>
        <row r="12">
          <cell r="E12">
            <v>5.97</v>
          </cell>
        </row>
        <row r="13">
          <cell r="E13">
            <v>1</v>
          </cell>
        </row>
        <row r="14">
          <cell r="E14">
            <v>12104</v>
          </cell>
        </row>
        <row r="15">
          <cell r="E15">
            <v>4.8000000000000001E-2</v>
          </cell>
        </row>
        <row r="16">
          <cell r="E16">
            <v>1</v>
          </cell>
        </row>
      </sheetData>
      <sheetData sheetId="17">
        <row r="11">
          <cell r="E11">
            <v>9.89</v>
          </cell>
        </row>
        <row r="12">
          <cell r="E12">
            <v>0.56000000000000005</v>
          </cell>
        </row>
        <row r="13">
          <cell r="E13">
            <v>300</v>
          </cell>
        </row>
        <row r="14">
          <cell r="E14">
            <v>61211</v>
          </cell>
        </row>
        <row r="15">
          <cell r="E15">
            <v>45675</v>
          </cell>
        </row>
        <row r="16">
          <cell r="E16">
            <v>65637</v>
          </cell>
        </row>
        <row r="17">
          <cell r="E17">
            <v>31684</v>
          </cell>
        </row>
        <row r="21">
          <cell r="E21" t="str">
            <v>Муниципальное унитарное предприятие города Куйбышева Куйбышевского района Новосибирской области "Горводоканал"</v>
          </cell>
        </row>
        <row r="22">
          <cell r="E22">
            <v>8809</v>
          </cell>
        </row>
        <row r="23">
          <cell r="E23">
            <v>530.41</v>
          </cell>
        </row>
        <row r="25">
          <cell r="E25" t="str">
            <v>Муниципальное унитарное предприятие города Куйбышева Куйбышевского района Новосибирской области "Геострой"</v>
          </cell>
        </row>
        <row r="26">
          <cell r="E26">
            <v>21397</v>
          </cell>
        </row>
        <row r="27">
          <cell r="E27">
            <v>857.14</v>
          </cell>
        </row>
      </sheetData>
      <sheetData sheetId="18">
        <row r="12">
          <cell r="F12" t="str">
            <v>Постановление Правительства Новосибирской области от 29.11.2011 №535-п (ред. 14.04.2014) "Об утверждении результатов государственной кадастровой оценки земель населенных пунктов в новосибирской области и среднего уровня кадастровой стоимости земель населенных пунктов по муниципальным районам и городским округам Новосибирской области"</v>
          </cell>
        </row>
      </sheetData>
      <sheetData sheetId="19"/>
      <sheetData sheetId="20">
        <row r="11">
          <cell r="E11">
            <v>-2.9000000000000026E-2</v>
          </cell>
          <cell r="F11">
            <v>0.245</v>
          </cell>
          <cell r="G11">
            <v>0.114</v>
          </cell>
          <cell r="H11">
            <v>0.04</v>
          </cell>
          <cell r="I11">
            <v>0.121</v>
          </cell>
          <cell r="J11">
            <v>0.03</v>
          </cell>
          <cell r="K11">
            <v>6.0999999999999999E-2</v>
          </cell>
          <cell r="L11">
            <v>3.2682303599220003E-2</v>
          </cell>
          <cell r="M11">
            <v>0</v>
          </cell>
          <cell r="N11">
            <v>0</v>
          </cell>
          <cell r="O11">
            <v>0</v>
          </cell>
          <cell r="P11">
            <v>0</v>
          </cell>
          <cell r="Q11">
            <v>0</v>
          </cell>
          <cell r="R11">
            <v>0</v>
          </cell>
          <cell r="S11">
            <v>0</v>
          </cell>
          <cell r="T11">
            <v>0</v>
          </cell>
          <cell r="U11">
            <v>0</v>
          </cell>
          <cell r="V11">
            <v>0</v>
          </cell>
          <cell r="W11">
            <v>0</v>
          </cell>
          <cell r="X11">
            <v>0</v>
          </cell>
          <cell r="Y11">
            <v>0</v>
          </cell>
          <cell r="Z11">
            <v>0</v>
          </cell>
          <cell r="AA11">
            <v>0</v>
          </cell>
          <cell r="AB11">
            <v>0</v>
          </cell>
          <cell r="AC11">
            <v>0</v>
          </cell>
          <cell r="AD11">
            <v>0</v>
          </cell>
          <cell r="AE11">
            <v>0</v>
          </cell>
          <cell r="AF11">
            <v>0</v>
          </cell>
          <cell r="AG11">
            <v>0</v>
          </cell>
          <cell r="AH11">
            <v>0</v>
          </cell>
          <cell r="AI11">
            <v>0</v>
          </cell>
          <cell r="AJ11">
            <v>0</v>
          </cell>
          <cell r="AK11">
            <v>0</v>
          </cell>
          <cell r="AL11">
            <v>0</v>
          </cell>
          <cell r="AM11">
            <v>0</v>
          </cell>
          <cell r="AN11">
            <v>0</v>
          </cell>
          <cell r="AO11">
            <v>0</v>
          </cell>
          <cell r="AP11">
            <v>0</v>
          </cell>
          <cell r="AQ11">
            <v>0</v>
          </cell>
          <cell r="AR11">
            <v>0</v>
          </cell>
          <cell r="AS11">
            <v>0</v>
          </cell>
          <cell r="AT11">
            <v>0</v>
          </cell>
          <cell r="AU11">
            <v>0</v>
          </cell>
          <cell r="AV11">
            <v>0</v>
          </cell>
          <cell r="AW11">
            <v>0</v>
          </cell>
          <cell r="AX11">
            <v>0</v>
          </cell>
          <cell r="AY11">
            <v>0</v>
          </cell>
          <cell r="AZ11">
            <v>0</v>
          </cell>
          <cell r="BA11">
            <v>0</v>
          </cell>
          <cell r="BB11">
            <v>0</v>
          </cell>
          <cell r="BC11">
            <v>0</v>
          </cell>
          <cell r="BD11">
            <v>0</v>
          </cell>
          <cell r="BE11">
            <v>0</v>
          </cell>
          <cell r="BF11">
            <v>0</v>
          </cell>
          <cell r="BG11">
            <v>0</v>
          </cell>
          <cell r="BH11">
            <v>0</v>
          </cell>
          <cell r="BI11">
            <v>0</v>
          </cell>
          <cell r="BJ11">
            <v>0</v>
          </cell>
          <cell r="BK11">
            <v>0</v>
          </cell>
          <cell r="BL11">
            <v>0</v>
          </cell>
          <cell r="BM11">
            <v>0</v>
          </cell>
          <cell r="BN11">
            <v>0</v>
          </cell>
          <cell r="BO11">
            <v>0</v>
          </cell>
          <cell r="BP11">
            <v>0</v>
          </cell>
          <cell r="BQ11">
            <v>0</v>
          </cell>
          <cell r="BR11">
            <v>0</v>
          </cell>
          <cell r="BS11">
            <v>0</v>
          </cell>
          <cell r="BT11">
            <v>0</v>
          </cell>
          <cell r="BU11">
            <v>0</v>
          </cell>
          <cell r="BV11">
            <v>0</v>
          </cell>
          <cell r="BW11">
            <v>0</v>
          </cell>
          <cell r="BX11">
            <v>0</v>
          </cell>
          <cell r="BY11">
            <v>0</v>
          </cell>
          <cell r="BZ11">
            <v>0</v>
          </cell>
          <cell r="CA11">
            <v>0</v>
          </cell>
          <cell r="CB11">
            <v>0</v>
          </cell>
          <cell r="CC11">
            <v>0</v>
          </cell>
          <cell r="CD11">
            <v>0</v>
          </cell>
          <cell r="CE11">
            <v>0</v>
          </cell>
          <cell r="CF11">
            <v>0</v>
          </cell>
          <cell r="CG11">
            <v>0</v>
          </cell>
        </row>
      </sheetData>
      <sheetData sheetId="21">
        <row r="11">
          <cell r="G11" t="str">
            <v>Информация с официального сайта Банка России</v>
          </cell>
        </row>
      </sheetData>
      <sheetData sheetId="22"/>
      <sheetData sheetId="23">
        <row r="12">
          <cell r="F12">
            <v>940.47266370947932</v>
          </cell>
        </row>
        <row r="14">
          <cell r="F14">
            <v>15827.997028730506</v>
          </cell>
        </row>
        <row r="15">
          <cell r="F15">
            <v>0.25</v>
          </cell>
        </row>
        <row r="18">
          <cell r="F18">
            <v>15</v>
          </cell>
        </row>
        <row r="19">
          <cell r="F19">
            <v>3741.3369093945325</v>
          </cell>
        </row>
        <row r="20">
          <cell r="F20">
            <v>2.1999999999999999E-2</v>
          </cell>
        </row>
        <row r="21">
          <cell r="F21">
            <v>10</v>
          </cell>
        </row>
        <row r="22">
          <cell r="F22">
            <v>9.5576411518206239</v>
          </cell>
        </row>
        <row r="23">
          <cell r="F23">
            <v>3.0000000000000001E-3</v>
          </cell>
        </row>
        <row r="24">
          <cell r="F24">
            <v>3185.880383940208</v>
          </cell>
        </row>
      </sheetData>
      <sheetData sheetId="24">
        <row r="12">
          <cell r="F12" t="str">
            <v>Налоговый кодекс РФ</v>
          </cell>
        </row>
      </sheetData>
      <sheetData sheetId="25">
        <row r="12">
          <cell r="F12">
            <v>520.41603669585561</v>
          </cell>
        </row>
        <row r="13">
          <cell r="F13">
            <v>20.818139999999996</v>
          </cell>
        </row>
        <row r="16">
          <cell r="F16">
            <v>1652.5</v>
          </cell>
        </row>
        <row r="17">
          <cell r="F17">
            <v>73547</v>
          </cell>
        </row>
        <row r="18">
          <cell r="F18">
            <v>0.02</v>
          </cell>
        </row>
        <row r="19">
          <cell r="F19">
            <v>12104</v>
          </cell>
        </row>
        <row r="20">
          <cell r="F20">
            <v>1.4999999999999999E-2</v>
          </cell>
        </row>
        <row r="21">
          <cell r="F21">
            <v>1933.1949342509995</v>
          </cell>
        </row>
        <row r="22">
          <cell r="F22">
            <v>3.6112641666666665</v>
          </cell>
        </row>
        <row r="23">
          <cell r="F23">
            <v>180</v>
          </cell>
        </row>
        <row r="24">
          <cell r="F24">
            <v>8497.1999999999989</v>
          </cell>
        </row>
        <row r="25">
          <cell r="F25">
            <v>0.35</v>
          </cell>
        </row>
        <row r="26">
          <cell r="F26">
            <v>92.173709999999986</v>
          </cell>
        </row>
        <row r="27">
          <cell r="F27">
            <v>1291.2863994686898</v>
          </cell>
        </row>
        <row r="28">
          <cell r="F28">
            <v>991.77142816335618</v>
          </cell>
        </row>
        <row r="29">
          <cell r="F29">
            <v>299.51497130533357</v>
          </cell>
        </row>
        <row r="30">
          <cell r="F30">
            <v>2308.0438126579911</v>
          </cell>
        </row>
        <row r="33">
          <cell r="F33">
            <v>1068.6450140162826</v>
          </cell>
        </row>
        <row r="35">
          <cell r="F35">
            <v>18.902267999999999</v>
          </cell>
        </row>
        <row r="36">
          <cell r="F36">
            <v>14319.9</v>
          </cell>
        </row>
        <row r="37">
          <cell r="F37">
            <v>1.32</v>
          </cell>
        </row>
      </sheetData>
      <sheetData sheetId="26">
        <row r="12">
          <cell r="F12" t="str">
            <v>Постановление Правительства Российской Федерации от 17.04.2024 № 492</v>
          </cell>
        </row>
      </sheetData>
      <sheetData sheetId="27">
        <row r="8">
          <cell r="F8" t="str">
            <v>нет</v>
          </cell>
        </row>
        <row r="15">
          <cell r="D15" t="str">
            <v>АО "Новосибирскэнергосбыт"</v>
          </cell>
        </row>
        <row r="21">
          <cell r="D21">
            <v>0</v>
          </cell>
        </row>
      </sheetData>
      <sheetData sheetId="28">
        <row r="11">
          <cell r="E11">
            <v>1871</v>
          </cell>
        </row>
        <row r="12">
          <cell r="E12">
            <v>1636</v>
          </cell>
        </row>
        <row r="13">
          <cell r="E13">
            <v>204</v>
          </cell>
        </row>
        <row r="16">
          <cell r="E16">
            <v>0</v>
          </cell>
        </row>
        <row r="17">
          <cell r="E17">
            <v>24.49</v>
          </cell>
        </row>
        <row r="18">
          <cell r="E18">
            <v>0</v>
          </cell>
        </row>
        <row r="19">
          <cell r="E19">
            <v>30.82</v>
          </cell>
        </row>
      </sheetData>
      <sheetData sheetId="29"/>
      <sheetData sheetId="30">
        <row r="17">
          <cell r="F17">
            <v>0.02</v>
          </cell>
        </row>
      </sheetData>
      <sheetData sheetId="31">
        <row r="12">
          <cell r="F12" t="str">
            <v>-</v>
          </cell>
        </row>
      </sheetData>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нструкция"/>
      <sheetName val="Структура"/>
      <sheetName val="Содержание"/>
      <sheetName val="И1"/>
      <sheetName val="Инвест.об."/>
      <sheetName val="И2"/>
      <sheetName val="И2.1"/>
      <sheetName val="С1"/>
      <sheetName val="С1.1"/>
      <sheetName val="С1.2"/>
      <sheetName val="Data1.2"/>
      <sheetName val="С1.3"/>
      <sheetName val="Data1.3"/>
      <sheetName val="С2"/>
      <sheetName val="С2.1"/>
      <sheetName val="Data2.1"/>
      <sheetName val="С2.2"/>
      <sheetName val="С2.3"/>
      <sheetName val="С2.4"/>
      <sheetName val="Data2.4"/>
      <sheetName val="С2.5"/>
      <sheetName val="С2.6"/>
      <sheetName val="Data2.6"/>
      <sheetName val="С3"/>
      <sheetName val="С3.1"/>
      <sheetName val="С4"/>
      <sheetName val="С4.1"/>
      <sheetName val="С4.2"/>
      <sheetName val="С4.3"/>
      <sheetName val="С4.4"/>
      <sheetName val="С5"/>
      <sheetName val="С6"/>
      <sheetName val="И3"/>
      <sheetName val="Проверка"/>
      <sheetName val="ИПЦ_ИПГ"/>
      <sheetName val="АК_прогноз"/>
      <sheetName val="ПУЦ (п.67)"/>
      <sheetName val="АК_прогноз_j"/>
      <sheetName val="Гр&amp;ПУЦ_v1"/>
      <sheetName val="Заморозка"/>
      <sheetName val="ИПГ_мо"/>
      <sheetName val="ИПГ_рег"/>
      <sheetName val="Темп VS ИПГ"/>
      <sheetName val="МУ770_Т1"/>
      <sheetName val="Гр&amp;ПУЦ_v2"/>
      <sheetName val="Системный"/>
    </sheetNames>
    <sheetDataSet>
      <sheetData sheetId="0"/>
      <sheetData sheetId="1"/>
      <sheetData sheetId="2"/>
      <sheetData sheetId="3">
        <row r="8">
          <cell r="D8" t="str">
            <v>Период регулирования (i)-й</v>
          </cell>
        </row>
        <row r="14">
          <cell r="E14" t="str">
            <v xml:space="preserve">село Легостаево, Искитимский муниципальный район </v>
          </cell>
        </row>
        <row r="16">
          <cell r="E16" t="str">
            <v>(50615416101)</v>
          </cell>
        </row>
      </sheetData>
      <sheetData sheetId="4"/>
      <sheetData sheetId="5"/>
      <sheetData sheetId="6"/>
      <sheetData sheetId="7">
        <row r="12">
          <cell r="F12">
            <v>958.24669124268542</v>
          </cell>
        </row>
      </sheetData>
      <sheetData sheetId="8">
        <row r="13">
          <cell r="E13" t="str">
            <v>уголь (вид угля не указан в топливном балансе)</v>
          </cell>
        </row>
      </sheetData>
      <sheetData sheetId="9"/>
      <sheetData sheetId="10"/>
      <sheetData sheetId="11"/>
      <sheetData sheetId="12"/>
      <sheetData sheetId="13">
        <row r="12">
          <cell r="F12">
            <v>3063.2235383547568</v>
          </cell>
        </row>
      </sheetData>
      <sheetData sheetId="14">
        <row r="12">
          <cell r="E12" t="str">
            <v>V</v>
          </cell>
        </row>
      </sheetData>
      <sheetData sheetId="15"/>
      <sheetData sheetId="16">
        <row r="10">
          <cell r="E10">
            <v>1287</v>
          </cell>
        </row>
      </sheetData>
      <sheetData sheetId="17">
        <row r="11">
          <cell r="E11">
            <v>9.89</v>
          </cell>
        </row>
      </sheetData>
      <sheetData sheetId="18"/>
      <sheetData sheetId="19"/>
      <sheetData sheetId="20">
        <row r="11">
          <cell r="E11">
            <v>-2.9000000000000026E-2</v>
          </cell>
        </row>
      </sheetData>
      <sheetData sheetId="21"/>
      <sheetData sheetId="22"/>
      <sheetData sheetId="23">
        <row r="12">
          <cell r="F12">
            <v>917.89815316767874</v>
          </cell>
        </row>
      </sheetData>
      <sheetData sheetId="24"/>
      <sheetData sheetId="25">
        <row r="12">
          <cell r="F12">
            <v>522.09557484372624</v>
          </cell>
        </row>
      </sheetData>
      <sheetData sheetId="26"/>
      <sheetData sheetId="27">
        <row r="8">
          <cell r="F8" t="str">
            <v>нет</v>
          </cell>
        </row>
      </sheetData>
      <sheetData sheetId="28">
        <row r="11">
          <cell r="E11">
            <v>1871</v>
          </cell>
        </row>
      </sheetData>
      <sheetData sheetId="29"/>
      <sheetData sheetId="30">
        <row r="12">
          <cell r="F12">
            <v>109.22927915217696</v>
          </cell>
        </row>
      </sheetData>
      <sheetData sheetId="31">
        <row r="12">
          <cell r="F12" t="str">
            <v>-</v>
          </cell>
        </row>
      </sheetData>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нструкция"/>
      <sheetName val="Структура"/>
      <sheetName val="Содержание"/>
      <sheetName val="И1"/>
      <sheetName val="Инвест.об."/>
      <sheetName val="И2"/>
      <sheetName val="И2.1"/>
      <sheetName val="С1"/>
      <sheetName val="С1.1"/>
      <sheetName val="С1.2"/>
      <sheetName val="Data1.2"/>
      <sheetName val="С1.3"/>
      <sheetName val="Data1.3"/>
      <sheetName val="С2"/>
      <sheetName val="С2.1"/>
      <sheetName val="Data2.1"/>
      <sheetName val="С2.2"/>
      <sheetName val="С2.3"/>
      <sheetName val="С2.4"/>
      <sheetName val="Data2.4"/>
      <sheetName val="С2.5"/>
      <sheetName val="С2.6"/>
      <sheetName val="Data2.6"/>
      <sheetName val="С3"/>
      <sheetName val="С3.1"/>
      <sheetName val="С4"/>
      <sheetName val="С4.1"/>
      <sheetName val="С4.2"/>
      <sheetName val="С4.3"/>
      <sheetName val="С4.4"/>
      <sheetName val="С5"/>
      <sheetName val="С6"/>
      <sheetName val="И3"/>
      <sheetName val="Проверка"/>
      <sheetName val="ИПЦ_ИПГ"/>
      <sheetName val="АК_прогноз"/>
      <sheetName val="ПУЦ (п.67)"/>
      <sheetName val="АК_прогноз_j"/>
      <sheetName val="Гр&amp;ПУЦ_v1"/>
      <sheetName val="Заморозка"/>
      <sheetName val="ИПГ_мо"/>
      <sheetName val="ИПГ_рег"/>
      <sheetName val="Темп VS ИПГ"/>
      <sheetName val="МУ770_Т1"/>
      <sheetName val="Гр&amp;ПУЦ_v2"/>
      <sheetName val="Системный"/>
      <sheetName val="Шаблон ЦАК_уголь_2026_5эт Листв"/>
    </sheetNames>
    <sheetDataSet>
      <sheetData sheetId="0"/>
      <sheetData sheetId="1"/>
      <sheetData sheetId="2"/>
      <sheetData sheetId="3">
        <row r="8">
          <cell r="D8" t="str">
            <v>Период регулирования (i)-й</v>
          </cell>
          <cell r="E8">
            <v>2026</v>
          </cell>
        </row>
        <row r="9">
          <cell r="D9" t="str">
            <v>Период регулирования (i-1)-й</v>
          </cell>
          <cell r="E9">
            <v>2025</v>
          </cell>
        </row>
        <row r="10">
          <cell r="D10" t="str">
            <v>Период регулирования (i-2)-й</v>
          </cell>
          <cell r="E10">
            <v>2024</v>
          </cell>
        </row>
        <row r="11">
          <cell r="D11" t="str">
            <v>Базовый год (б)</v>
          </cell>
          <cell r="E11">
            <v>2019</v>
          </cell>
        </row>
        <row r="13">
          <cell r="D13" t="str">
            <v>Субъект Российской Федерации</v>
          </cell>
          <cell r="E13" t="str">
            <v>Новосибирская область</v>
          </cell>
        </row>
        <row r="14">
          <cell r="D14" t="str">
            <v>Тип муниципального образования (выберите из списка)</v>
          </cell>
        </row>
        <row r="15">
          <cell r="D15" t="str">
            <v/>
          </cell>
          <cell r="E15">
            <v>0</v>
          </cell>
        </row>
        <row r="16">
          <cell r="D16" t="str">
            <v>Код ОКТМО</v>
          </cell>
        </row>
        <row r="17">
          <cell r="D17" t="str">
            <v>Система теплоснабжения</v>
          </cell>
          <cell r="E17">
            <v>0</v>
          </cell>
        </row>
        <row r="18">
          <cell r="D18" t="str">
            <v>Вид топлива, использование которого преобладает в системе теплоснабжения</v>
          </cell>
        </row>
      </sheetData>
      <sheetData sheetId="4"/>
      <sheetData sheetId="5"/>
      <sheetData sheetId="6"/>
      <sheetData sheetId="7">
        <row r="12">
          <cell r="F12">
            <v>1088.8197363347713</v>
          </cell>
        </row>
        <row r="13">
          <cell r="F13">
            <v>176.4</v>
          </cell>
        </row>
        <row r="16">
          <cell r="F16">
            <v>7000</v>
          </cell>
        </row>
        <row r="17">
          <cell r="F17">
            <v>0.72857142857142854</v>
          </cell>
        </row>
        <row r="20">
          <cell r="F20">
            <v>21.588411179999994</v>
          </cell>
        </row>
        <row r="21">
          <cell r="F21">
            <v>20.818139999999996</v>
          </cell>
        </row>
        <row r="22">
          <cell r="F22">
            <v>1.0369999999999999</v>
          </cell>
        </row>
        <row r="23">
          <cell r="F23">
            <v>1.0469999999999999</v>
          </cell>
        </row>
      </sheetData>
      <sheetData sheetId="8">
        <row r="9">
          <cell r="I9" t="str">
            <v>цены (тарифы), подлежащие государственному регулированию, действовавшие на день окончания (i-2)-го расчетного периода в системе теплоснабжения</v>
          </cell>
        </row>
        <row r="13">
          <cell r="E13" t="str">
            <v>каменный уголь</v>
          </cell>
        </row>
        <row r="16">
          <cell r="E16">
            <v>5100</v>
          </cell>
        </row>
        <row r="19">
          <cell r="E19">
            <v>-0.11899999999999999</v>
          </cell>
        </row>
        <row r="20">
          <cell r="E20">
            <v>4.0000000000000001E-3</v>
          </cell>
        </row>
        <row r="27">
          <cell r="E27">
            <v>4682.68</v>
          </cell>
        </row>
      </sheetData>
      <sheetData sheetId="9"/>
      <sheetData sheetId="10"/>
      <sheetData sheetId="11">
        <row r="9">
          <cell r="G9">
            <v>0</v>
          </cell>
        </row>
      </sheetData>
      <sheetData sheetId="12"/>
      <sheetData sheetId="13">
        <row r="12">
          <cell r="F12">
            <v>3097.7824122172187</v>
          </cell>
        </row>
        <row r="13">
          <cell r="F13">
            <v>210571.60987470482</v>
          </cell>
        </row>
        <row r="14">
          <cell r="F14">
            <v>113455</v>
          </cell>
        </row>
        <row r="15">
          <cell r="F15">
            <v>1.071</v>
          </cell>
        </row>
        <row r="16">
          <cell r="F16">
            <v>1</v>
          </cell>
        </row>
        <row r="17">
          <cell r="F17">
            <v>1.01</v>
          </cell>
        </row>
        <row r="18">
          <cell r="F18">
            <v>40220.845230503684</v>
          </cell>
        </row>
        <row r="19">
          <cell r="F19">
            <v>0</v>
          </cell>
        </row>
        <row r="20">
          <cell r="F20">
            <v>23441.524932855718</v>
          </cell>
        </row>
        <row r="21">
          <cell r="F21">
            <v>1</v>
          </cell>
        </row>
        <row r="22">
          <cell r="F22">
            <v>4298.6978080550834</v>
          </cell>
        </row>
        <row r="23">
          <cell r="F23">
            <v>1990</v>
          </cell>
        </row>
        <row r="26">
          <cell r="F26">
            <v>3185.880383940208</v>
          </cell>
        </row>
        <row r="27">
          <cell r="F27">
            <v>0.44209422600000003</v>
          </cell>
        </row>
        <row r="28">
          <cell r="F28">
            <v>4200</v>
          </cell>
        </row>
        <row r="29">
          <cell r="F29">
            <v>0.21369165990259753</v>
          </cell>
        </row>
        <row r="30">
          <cell r="F30">
            <v>0.20047619047619047</v>
          </cell>
        </row>
        <row r="31">
          <cell r="F31">
            <v>0.13880000000000001</v>
          </cell>
        </row>
        <row r="32">
          <cell r="F32">
            <v>0.12640000000000001</v>
          </cell>
        </row>
        <row r="33">
          <cell r="F33">
            <v>10</v>
          </cell>
        </row>
        <row r="35">
          <cell r="F35">
            <v>1.7157947422665329</v>
          </cell>
        </row>
        <row r="37">
          <cell r="F37">
            <v>20.818139999999996</v>
          </cell>
        </row>
        <row r="38">
          <cell r="F38">
            <v>7</v>
          </cell>
        </row>
        <row r="40">
          <cell r="F40">
            <v>0.97</v>
          </cell>
        </row>
        <row r="42">
          <cell r="F42">
            <v>0.35</v>
          </cell>
        </row>
      </sheetData>
      <sheetData sheetId="14">
        <row r="12">
          <cell r="E12" t="str">
            <v>V</v>
          </cell>
        </row>
        <row r="13">
          <cell r="E13" t="str">
            <v>6 и менее баллов</v>
          </cell>
        </row>
        <row r="14">
          <cell r="E14" t="str">
            <v>от 200 до 500</v>
          </cell>
        </row>
        <row r="15">
          <cell r="E15" t="str">
            <v>нет</v>
          </cell>
        </row>
        <row r="19">
          <cell r="E19">
            <v>-38</v>
          </cell>
        </row>
        <row r="22">
          <cell r="E22" t="str">
            <v>нет</v>
          </cell>
        </row>
        <row r="27">
          <cell r="E27">
            <v>246.24401</v>
          </cell>
        </row>
        <row r="28">
          <cell r="E28">
            <v>269.12432000000001</v>
          </cell>
        </row>
      </sheetData>
      <sheetData sheetId="15"/>
      <sheetData sheetId="16">
        <row r="10">
          <cell r="E10">
            <v>1287</v>
          </cell>
        </row>
        <row r="12">
          <cell r="E12">
            <v>5.97</v>
          </cell>
        </row>
        <row r="13">
          <cell r="E13">
            <v>1</v>
          </cell>
        </row>
        <row r="14">
          <cell r="E14">
            <v>12104</v>
          </cell>
        </row>
        <row r="15">
          <cell r="E15">
            <v>4.8000000000000001E-2</v>
          </cell>
        </row>
        <row r="16">
          <cell r="E16">
            <v>1</v>
          </cell>
        </row>
      </sheetData>
      <sheetData sheetId="17">
        <row r="11">
          <cell r="E11">
            <v>9.89</v>
          </cell>
        </row>
        <row r="12">
          <cell r="E12">
            <v>0.56000000000000005</v>
          </cell>
        </row>
        <row r="13">
          <cell r="E13">
            <v>300</v>
          </cell>
        </row>
        <row r="14">
          <cell r="E14">
            <v>61211</v>
          </cell>
        </row>
        <row r="15">
          <cell r="E15">
            <v>45675</v>
          </cell>
        </row>
        <row r="16">
          <cell r="E16">
            <v>65637</v>
          </cell>
        </row>
        <row r="17">
          <cell r="E17">
            <v>31684</v>
          </cell>
        </row>
        <row r="21">
          <cell r="E21" t="str">
            <v>Муниципальное унитарное предприятие города Куйбышева Куйбышевского района Новосибирской области "Горводоканал"</v>
          </cell>
        </row>
        <row r="22">
          <cell r="E22">
            <v>8809</v>
          </cell>
        </row>
        <row r="23">
          <cell r="E23">
            <v>530.41</v>
          </cell>
        </row>
        <row r="25">
          <cell r="E25" t="str">
            <v>Муниципальное унитарное предприятие города Куйбышева Куйбышевского района Новосибирской области "Геострой"</v>
          </cell>
        </row>
        <row r="26">
          <cell r="E26">
            <v>21397</v>
          </cell>
        </row>
        <row r="27">
          <cell r="E27">
            <v>857.14</v>
          </cell>
        </row>
      </sheetData>
      <sheetData sheetId="18">
        <row r="12">
          <cell r="F12" t="str">
            <v>Постановление Правительства Новосибирской области от 29.11.2011 №535-п (ред. 14.04.2014) "Об утверждении результатов государственной кадастровой оценки земель населенных пунктов в новосибирской области и среднего уровня кадастровой стоимости земель населенных пунктов по муниципальным районам и городским округам Новосибирской области"</v>
          </cell>
        </row>
      </sheetData>
      <sheetData sheetId="19"/>
      <sheetData sheetId="20">
        <row r="11">
          <cell r="E11">
            <v>-2.9000000000000026E-2</v>
          </cell>
          <cell r="F11">
            <v>0.245</v>
          </cell>
          <cell r="G11">
            <v>0.114</v>
          </cell>
          <cell r="H11">
            <v>0.04</v>
          </cell>
          <cell r="I11">
            <v>0.121</v>
          </cell>
          <cell r="J11">
            <v>0.03</v>
          </cell>
          <cell r="K11">
            <v>6.0999999999999999E-2</v>
          </cell>
          <cell r="L11">
            <v>3.2682303599220003E-2</v>
          </cell>
          <cell r="M11">
            <v>0</v>
          </cell>
          <cell r="N11">
            <v>0</v>
          </cell>
          <cell r="O11">
            <v>0</v>
          </cell>
          <cell r="P11">
            <v>0</v>
          </cell>
          <cell r="Q11">
            <v>0</v>
          </cell>
          <cell r="R11">
            <v>0</v>
          </cell>
          <cell r="S11">
            <v>0</v>
          </cell>
          <cell r="T11">
            <v>0</v>
          </cell>
          <cell r="U11">
            <v>0</v>
          </cell>
          <cell r="V11">
            <v>0</v>
          </cell>
          <cell r="W11">
            <v>0</v>
          </cell>
          <cell r="X11">
            <v>0</v>
          </cell>
          <cell r="Y11">
            <v>0</v>
          </cell>
          <cell r="Z11">
            <v>0</v>
          </cell>
          <cell r="AA11">
            <v>0</v>
          </cell>
          <cell r="AB11">
            <v>0</v>
          </cell>
          <cell r="AC11">
            <v>0</v>
          </cell>
          <cell r="AD11">
            <v>0</v>
          </cell>
          <cell r="AE11">
            <v>0</v>
          </cell>
          <cell r="AF11">
            <v>0</v>
          </cell>
          <cell r="AG11">
            <v>0</v>
          </cell>
          <cell r="AH11">
            <v>0</v>
          </cell>
          <cell r="AI11">
            <v>0</v>
          </cell>
          <cell r="AJ11">
            <v>0</v>
          </cell>
          <cell r="AK11">
            <v>0</v>
          </cell>
          <cell r="AL11">
            <v>0</v>
          </cell>
          <cell r="AM11">
            <v>0</v>
          </cell>
          <cell r="AN11">
            <v>0</v>
          </cell>
          <cell r="AO11">
            <v>0</v>
          </cell>
          <cell r="AP11">
            <v>0</v>
          </cell>
          <cell r="AQ11">
            <v>0</v>
          </cell>
          <cell r="AR11">
            <v>0</v>
          </cell>
          <cell r="AS11">
            <v>0</v>
          </cell>
          <cell r="AT11">
            <v>0</v>
          </cell>
          <cell r="AU11">
            <v>0</v>
          </cell>
          <cell r="AV11">
            <v>0</v>
          </cell>
          <cell r="AW11">
            <v>0</v>
          </cell>
          <cell r="AX11">
            <v>0</v>
          </cell>
          <cell r="AY11">
            <v>0</v>
          </cell>
          <cell r="AZ11">
            <v>0</v>
          </cell>
          <cell r="BA11">
            <v>0</v>
          </cell>
          <cell r="BB11">
            <v>0</v>
          </cell>
          <cell r="BC11">
            <v>0</v>
          </cell>
          <cell r="BD11">
            <v>0</v>
          </cell>
          <cell r="BE11">
            <v>0</v>
          </cell>
          <cell r="BF11">
            <v>0</v>
          </cell>
          <cell r="BG11">
            <v>0</v>
          </cell>
          <cell r="BH11">
            <v>0</v>
          </cell>
          <cell r="BI11">
            <v>0</v>
          </cell>
          <cell r="BJ11">
            <v>0</v>
          </cell>
          <cell r="BK11">
            <v>0</v>
          </cell>
          <cell r="BL11">
            <v>0</v>
          </cell>
          <cell r="BM11">
            <v>0</v>
          </cell>
          <cell r="BN11">
            <v>0</v>
          </cell>
          <cell r="BO11">
            <v>0</v>
          </cell>
          <cell r="BP11">
            <v>0</v>
          </cell>
          <cell r="BQ11">
            <v>0</v>
          </cell>
          <cell r="BR11">
            <v>0</v>
          </cell>
          <cell r="BS11">
            <v>0</v>
          </cell>
          <cell r="BT11">
            <v>0</v>
          </cell>
          <cell r="BU11">
            <v>0</v>
          </cell>
          <cell r="BV11">
            <v>0</v>
          </cell>
          <cell r="BW11">
            <v>0</v>
          </cell>
          <cell r="BX11">
            <v>0</v>
          </cell>
          <cell r="BY11">
            <v>0</v>
          </cell>
          <cell r="BZ11">
            <v>0</v>
          </cell>
          <cell r="CA11">
            <v>0</v>
          </cell>
          <cell r="CB11">
            <v>0</v>
          </cell>
          <cell r="CC11">
            <v>0</v>
          </cell>
          <cell r="CD11">
            <v>0</v>
          </cell>
          <cell r="CE11">
            <v>0</v>
          </cell>
          <cell r="CF11">
            <v>0</v>
          </cell>
          <cell r="CG11">
            <v>0</v>
          </cell>
        </row>
      </sheetData>
      <sheetData sheetId="21">
        <row r="11">
          <cell r="G11" t="str">
            <v>Информация с официального сайта Банка России</v>
          </cell>
        </row>
      </sheetData>
      <sheetData sheetId="22"/>
      <sheetData sheetId="23">
        <row r="12">
          <cell r="F12">
            <v>940.47266370947932</v>
          </cell>
        </row>
        <row r="14">
          <cell r="F14">
            <v>15827.997028730506</v>
          </cell>
        </row>
        <row r="15">
          <cell r="F15">
            <v>0.25</v>
          </cell>
        </row>
        <row r="18">
          <cell r="F18">
            <v>15</v>
          </cell>
        </row>
        <row r="19">
          <cell r="F19">
            <v>3741.3369093945325</v>
          </cell>
        </row>
        <row r="20">
          <cell r="F20">
            <v>2.1999999999999999E-2</v>
          </cell>
        </row>
        <row r="21">
          <cell r="F21">
            <v>10</v>
          </cell>
        </row>
        <row r="22">
          <cell r="F22">
            <v>9.5576411518206239</v>
          </cell>
        </row>
        <row r="23">
          <cell r="F23">
            <v>3.0000000000000001E-3</v>
          </cell>
        </row>
        <row r="24">
          <cell r="F24">
            <v>3185.880383940208</v>
          </cell>
        </row>
      </sheetData>
      <sheetData sheetId="24">
        <row r="12">
          <cell r="F12" t="str">
            <v>Налоговый кодекс РФ</v>
          </cell>
        </row>
      </sheetData>
      <sheetData sheetId="25">
        <row r="12">
          <cell r="F12">
            <v>545.46847033649465</v>
          </cell>
        </row>
        <row r="16">
          <cell r="F16">
            <v>1652.5</v>
          </cell>
        </row>
        <row r="17">
          <cell r="F17">
            <v>73547</v>
          </cell>
        </row>
        <row r="18">
          <cell r="F18">
            <v>0.02</v>
          </cell>
        </row>
        <row r="19">
          <cell r="F19">
            <v>12104</v>
          </cell>
        </row>
        <row r="20">
          <cell r="F20">
            <v>1.4999999999999999E-2</v>
          </cell>
        </row>
        <row r="21">
          <cell r="F21">
            <v>1933.1949342509995</v>
          </cell>
        </row>
        <row r="22">
          <cell r="F22">
            <v>3.6112641666666665</v>
          </cell>
        </row>
        <row r="23">
          <cell r="F23">
            <v>180</v>
          </cell>
        </row>
        <row r="24">
          <cell r="F24">
            <v>8497.1999999999989</v>
          </cell>
        </row>
        <row r="25">
          <cell r="F25">
            <v>0.35</v>
          </cell>
        </row>
        <row r="26">
          <cell r="F26">
            <v>83.616630000000001</v>
          </cell>
        </row>
        <row r="27">
          <cell r="F27">
            <v>1291.2863994686898</v>
          </cell>
        </row>
        <row r="28">
          <cell r="F28">
            <v>991.77142816335618</v>
          </cell>
        </row>
        <row r="29">
          <cell r="F29">
            <v>299.51497130533357</v>
          </cell>
        </row>
        <row r="30">
          <cell r="F30">
            <v>2844.2710764026751</v>
          </cell>
        </row>
        <row r="33">
          <cell r="F33">
            <v>1605.6063874046249</v>
          </cell>
        </row>
        <row r="35">
          <cell r="F35">
            <v>18.902267999999999</v>
          </cell>
        </row>
        <row r="36">
          <cell r="F36">
            <v>14319.9</v>
          </cell>
        </row>
        <row r="37">
          <cell r="F37">
            <v>1.32</v>
          </cell>
        </row>
      </sheetData>
      <sheetData sheetId="26">
        <row r="12">
          <cell r="F12" t="str">
            <v>Постановление Правительства Российской Федерации от 17.04.2024 № 492</v>
          </cell>
        </row>
      </sheetData>
      <sheetData sheetId="27">
        <row r="8">
          <cell r="F8" t="str">
            <v>нет</v>
          </cell>
        </row>
        <row r="15">
          <cell r="D15" t="str">
            <v>АО "Новосибирскэнергосбыт"</v>
          </cell>
        </row>
        <row r="21">
          <cell r="D21">
            <v>0</v>
          </cell>
        </row>
      </sheetData>
      <sheetData sheetId="28">
        <row r="11">
          <cell r="E11">
            <v>1871</v>
          </cell>
        </row>
        <row r="12">
          <cell r="E12">
            <v>1636</v>
          </cell>
        </row>
        <row r="13">
          <cell r="E13">
            <v>204</v>
          </cell>
        </row>
        <row r="16">
          <cell r="E16">
            <v>0</v>
          </cell>
        </row>
        <row r="17">
          <cell r="E17">
            <v>22.05</v>
          </cell>
        </row>
        <row r="18">
          <cell r="E18">
            <v>0</v>
          </cell>
        </row>
        <row r="19">
          <cell r="E19">
            <v>30.82</v>
          </cell>
        </row>
      </sheetData>
      <sheetData sheetId="29"/>
      <sheetData sheetId="30">
        <row r="12">
          <cell r="F12">
            <v>113.45086565195929</v>
          </cell>
        </row>
        <row r="17">
          <cell r="F17">
            <v>0.02</v>
          </cell>
        </row>
      </sheetData>
      <sheetData sheetId="31">
        <row r="12">
          <cell r="F12" t="str">
            <v>-</v>
          </cell>
        </row>
      </sheetData>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нструкция"/>
      <sheetName val="Структура"/>
      <sheetName val="Содержание"/>
      <sheetName val="И1"/>
      <sheetName val="Инвест.об."/>
      <sheetName val="И2"/>
      <sheetName val="И2.1"/>
      <sheetName val="С1"/>
      <sheetName val="С1.1"/>
      <sheetName val="С1.2"/>
      <sheetName val="Data1.2"/>
      <sheetName val="С1.3"/>
      <sheetName val="Data1.3"/>
      <sheetName val="С2"/>
      <sheetName val="С2.1"/>
      <sheetName val="Data2.1"/>
      <sheetName val="С2.2"/>
      <sheetName val="С2.3"/>
      <sheetName val="С2.4"/>
      <sheetName val="Data2.4"/>
      <sheetName val="С2.5"/>
      <sheetName val="С2.6"/>
      <sheetName val="Data2.6"/>
      <sheetName val="С3"/>
      <sheetName val="С3.1"/>
      <sheetName val="С4"/>
      <sheetName val="С4.1"/>
      <sheetName val="С4.2"/>
      <sheetName val="С4.3"/>
      <sheetName val="С4.4"/>
      <sheetName val="С5"/>
      <sheetName val="С6"/>
      <sheetName val="И3"/>
      <sheetName val="Проверка"/>
      <sheetName val="ИПЦ_ИПГ"/>
      <sheetName val="АК_прогноз"/>
      <sheetName val="ПУЦ (п.67)"/>
      <sheetName val="АК_прогноз_j"/>
      <sheetName val="Гр&amp;ПУЦ_v1"/>
      <sheetName val="Заморозка"/>
      <sheetName val="ИПГ_мо"/>
      <sheetName val="ИПГ_рег"/>
      <sheetName val="Темп VS ИПГ"/>
      <sheetName val="МУ770_Т1"/>
      <sheetName val="Гр&amp;ПУЦ_v2"/>
      <sheetName val="Системный"/>
    </sheetNames>
    <sheetDataSet>
      <sheetData sheetId="0"/>
      <sheetData sheetId="1"/>
      <sheetData sheetId="2"/>
      <sheetData sheetId="3">
        <row r="8">
          <cell r="D8" t="str">
            <v>Период регулирования (i)-й</v>
          </cell>
        </row>
        <row r="14">
          <cell r="E14" t="str">
            <v xml:space="preserve">поселок Листвянский, Искитимский муниципальный район </v>
          </cell>
        </row>
        <row r="16">
          <cell r="E16" t="str">
            <v>(50615415101)</v>
          </cell>
        </row>
      </sheetData>
      <sheetData sheetId="4"/>
      <sheetData sheetId="5"/>
      <sheetData sheetId="6"/>
      <sheetData sheetId="7">
        <row r="12">
          <cell r="F12">
            <v>958.24669124268542</v>
          </cell>
        </row>
      </sheetData>
      <sheetData sheetId="8">
        <row r="13">
          <cell r="E13" t="str">
            <v>уголь (вид угля не указан в топливном балансе)</v>
          </cell>
        </row>
      </sheetData>
      <sheetData sheetId="9"/>
      <sheetData sheetId="10"/>
      <sheetData sheetId="11"/>
      <sheetData sheetId="12"/>
      <sheetData sheetId="13">
        <row r="12">
          <cell r="F12">
            <v>3063.2235383547568</v>
          </cell>
        </row>
      </sheetData>
      <sheetData sheetId="14">
        <row r="12">
          <cell r="E12" t="str">
            <v>V</v>
          </cell>
        </row>
      </sheetData>
      <sheetData sheetId="15"/>
      <sheetData sheetId="16">
        <row r="10">
          <cell r="E10">
            <v>1287</v>
          </cell>
        </row>
      </sheetData>
      <sheetData sheetId="17">
        <row r="11">
          <cell r="E11">
            <v>9.89</v>
          </cell>
        </row>
      </sheetData>
      <sheetData sheetId="18"/>
      <sheetData sheetId="19"/>
      <sheetData sheetId="20">
        <row r="11">
          <cell r="E11">
            <v>-2.9000000000000026E-2</v>
          </cell>
        </row>
      </sheetData>
      <sheetData sheetId="21"/>
      <sheetData sheetId="22"/>
      <sheetData sheetId="23">
        <row r="12">
          <cell r="F12">
            <v>917.89815316767874</v>
          </cell>
        </row>
      </sheetData>
      <sheetData sheetId="24"/>
      <sheetData sheetId="25">
        <row r="12">
          <cell r="F12">
            <v>521.37918629528076</v>
          </cell>
        </row>
      </sheetData>
      <sheetData sheetId="26"/>
      <sheetData sheetId="27">
        <row r="8">
          <cell r="F8" t="str">
            <v>нет</v>
          </cell>
        </row>
      </sheetData>
      <sheetData sheetId="28">
        <row r="11">
          <cell r="E11">
            <v>1871</v>
          </cell>
        </row>
      </sheetData>
      <sheetData sheetId="29"/>
      <sheetData sheetId="30">
        <row r="12">
          <cell r="F12">
            <v>109.21495138120805</v>
          </cell>
        </row>
      </sheetData>
      <sheetData sheetId="31">
        <row r="12">
          <cell r="F12" t="str">
            <v>-</v>
          </cell>
        </row>
      </sheetData>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нструкция"/>
      <sheetName val="Структура"/>
      <sheetName val="Содержание"/>
      <sheetName val="И1"/>
      <sheetName val="Инвест.об."/>
      <sheetName val="И2"/>
      <sheetName val="И2.1"/>
      <sheetName val="С1"/>
      <sheetName val="С1.1"/>
      <sheetName val="С1.2"/>
      <sheetName val="Data1.2"/>
      <sheetName val="С1.3"/>
      <sheetName val="Data1.3"/>
      <sheetName val="С2"/>
      <sheetName val="С2.1"/>
      <sheetName val="Data2.1"/>
      <sheetName val="С2.2"/>
      <sheetName val="С2.3"/>
      <sheetName val="С2.4"/>
      <sheetName val="С2.5"/>
      <sheetName val="С2.6"/>
      <sheetName val="Data2.6"/>
      <sheetName val="С3"/>
      <sheetName val="С3.1"/>
      <sheetName val="С4"/>
      <sheetName val="С4.1"/>
      <sheetName val="С4.2"/>
      <sheetName val="С4.3"/>
      <sheetName val="С4.4"/>
      <sheetName val="С5"/>
      <sheetName val="С6"/>
      <sheetName val="С6.1"/>
      <sheetName val="И3"/>
      <sheetName val="Проверка"/>
      <sheetName val="Системный"/>
      <sheetName val="АК_прогноз"/>
      <sheetName val="Гр&amp;ПУЦ_v1"/>
      <sheetName val="Заморозка"/>
      <sheetName val="ИПГ_мо"/>
      <sheetName val="ИПГ_рег"/>
      <sheetName val="Темп VS ИПГ"/>
      <sheetName val="МУ770_Т1"/>
      <sheetName val="ИПЦ_ИПГ"/>
      <sheetName val="ПУЦ (п.67)"/>
      <sheetName val="Гр&amp;ПУЦ_v2"/>
      <sheetName val="Лист1"/>
      <sheetName val="Шаблон ЦАК_газ_2026_5 эт Мичури"/>
    </sheetNames>
    <sheetDataSet>
      <sheetData sheetId="0"/>
      <sheetData sheetId="1"/>
      <sheetData sheetId="2"/>
      <sheetData sheetId="3">
        <row r="8">
          <cell r="D8" t="str">
            <v>Период регулирования (i)-й</v>
          </cell>
          <cell r="E8">
            <v>2026</v>
          </cell>
        </row>
        <row r="9">
          <cell r="D9" t="str">
            <v>Период регулирования (i-1)-й</v>
          </cell>
          <cell r="E9">
            <v>2025</v>
          </cell>
        </row>
        <row r="10">
          <cell r="D10" t="str">
            <v>Период регулирования (i-2)-й</v>
          </cell>
          <cell r="E10">
            <v>2024</v>
          </cell>
        </row>
        <row r="11">
          <cell r="D11" t="str">
            <v>Базовый год (б)</v>
          </cell>
          <cell r="E11">
            <v>2019</v>
          </cell>
        </row>
        <row r="13">
          <cell r="D13" t="str">
            <v>Субъект Российской Федерации</v>
          </cell>
          <cell r="E13" t="str">
            <v>Новосибирская область</v>
          </cell>
        </row>
        <row r="14">
          <cell r="D14" t="str">
            <v>Тип муниципального образования (выберите из списка)</v>
          </cell>
        </row>
        <row r="15">
          <cell r="D15" t="str">
            <v/>
          </cell>
          <cell r="E15">
            <v>0</v>
          </cell>
        </row>
        <row r="16">
          <cell r="D16" t="str">
            <v>Код ОКТМО</v>
          </cell>
        </row>
        <row r="17">
          <cell r="D17" t="str">
            <v>Система теплоснабжения</v>
          </cell>
          <cell r="E17">
            <v>0</v>
          </cell>
        </row>
        <row r="18">
          <cell r="D18" t="str">
            <v>Вид топлива, использование которого преобладает в системе теплоснабжения</v>
          </cell>
          <cell r="E18" t="str">
            <v>Газ</v>
          </cell>
        </row>
      </sheetData>
      <sheetData sheetId="4"/>
      <sheetData sheetId="5"/>
      <sheetData sheetId="6"/>
      <sheetData sheetId="7">
        <row r="12">
          <cell r="F12">
            <v>1278.3072413778675</v>
          </cell>
        </row>
        <row r="13">
          <cell r="F13">
            <v>156.1</v>
          </cell>
        </row>
        <row r="16">
          <cell r="F16">
            <v>7000</v>
          </cell>
        </row>
        <row r="17">
          <cell r="F17">
            <v>1.1285714285714286</v>
          </cell>
        </row>
        <row r="20">
          <cell r="F20">
            <v>22.307053372799995</v>
          </cell>
        </row>
        <row r="21">
          <cell r="F21">
            <v>21.531904799999996</v>
          </cell>
        </row>
        <row r="22">
          <cell r="F22">
            <v>1.036</v>
          </cell>
        </row>
        <row r="23">
          <cell r="F23" t="str">
            <v>-</v>
          </cell>
        </row>
      </sheetData>
      <sheetData sheetId="8">
        <row r="9">
          <cell r="I9" t="str">
            <v>цены (тарифы), подлежащие государственному регулированию, действовавшие на день окончания (i-2)-го расчетного периода в системе теплоснабжения</v>
          </cell>
        </row>
        <row r="16">
          <cell r="E16">
            <v>7900</v>
          </cell>
        </row>
        <row r="20">
          <cell r="E20">
            <v>0.21299999999999999</v>
          </cell>
        </row>
        <row r="21">
          <cell r="E21">
            <v>9.6000000000000002E-2</v>
          </cell>
        </row>
        <row r="25">
          <cell r="E25" t="str">
            <v>ООО "Газпром межрегионгаз Новосибирск", ООО "Газпром газораспределение Томск" (с 17.02.2025 ООО "Газпром газораспределение Сибирь")</v>
          </cell>
        </row>
        <row r="26">
          <cell r="D26" t="str">
            <v>Среднеарифметическое значение между установленными предельными максимальным и минимальным уровнями оптовых цен, действовавшими на день окончания (i-2)-го расчетного периода регулирования в системе теплоснабжения, без НДС, руб./тыс. куб. м</v>
          </cell>
          <cell r="E26">
            <v>5670</v>
          </cell>
        </row>
        <row r="27">
          <cell r="D27" t="str">
            <v>Тариф на услуги по транспортировке газа по газораспределительным сетям, действовавший на день окончания (i-2)-го расчетного периода регулирования в системе теплоснабжения, без НДС, руб./тыс. куб. м</v>
          </cell>
          <cell r="E27">
            <v>689.14</v>
          </cell>
        </row>
        <row r="28">
          <cell r="D28" t="str">
            <v>Размер платы за снабженческо-сбытовые услуги, действовавший на день окончания (i-2)-го расчетного периода регулирования в системе теплоснабжения, без НДС, руб./тыс. куб. м</v>
          </cell>
          <cell r="E28">
            <v>144.72999999999999</v>
          </cell>
        </row>
        <row r="29">
          <cell r="D29" t="str">
            <v>Специальная надбавка к тарифам на услуги по транспортировке газа по газораспределительным сетям, действовавшая на день окончания (i-2)-го расчетного периода регулирования в системе теплоснабжения, без НДС, руб./тыс. куб. м</v>
          </cell>
          <cell r="E29">
            <v>206.25</v>
          </cell>
        </row>
        <row r="32">
          <cell r="E32">
            <v>6710.12</v>
          </cell>
        </row>
      </sheetData>
      <sheetData sheetId="9"/>
      <sheetData sheetId="10"/>
      <sheetData sheetId="11">
        <row r="9">
          <cell r="G9">
            <v>0</v>
          </cell>
        </row>
      </sheetData>
      <sheetData sheetId="12"/>
      <sheetData sheetId="13">
        <row r="12">
          <cell r="F12">
            <v>2138.4809328120286</v>
          </cell>
        </row>
        <row r="13">
          <cell r="F13">
            <v>119259.45174981897</v>
          </cell>
        </row>
        <row r="14">
          <cell r="F14">
            <v>64899</v>
          </cell>
        </row>
        <row r="15">
          <cell r="F15">
            <v>1.071</v>
          </cell>
        </row>
        <row r="16">
          <cell r="F16">
            <v>1</v>
          </cell>
        </row>
        <row r="17">
          <cell r="F17">
            <v>1</v>
          </cell>
        </row>
        <row r="18">
          <cell r="F18">
            <v>40220.845230503684</v>
          </cell>
        </row>
        <row r="19">
          <cell r="F19">
            <v>0</v>
          </cell>
        </row>
        <row r="20">
          <cell r="F20">
            <v>23441.524932855718</v>
          </cell>
        </row>
        <row r="21">
          <cell r="F21">
            <v>1</v>
          </cell>
        </row>
        <row r="22">
          <cell r="F22">
            <v>24548.869037237404</v>
          </cell>
        </row>
        <row r="23">
          <cell r="F23">
            <v>21</v>
          </cell>
        </row>
        <row r="26">
          <cell r="F26">
            <v>2892</v>
          </cell>
        </row>
        <row r="28">
          <cell r="F28">
            <v>379.2714742785962</v>
          </cell>
        </row>
        <row r="29">
          <cell r="F29">
            <v>0.44209422600000003</v>
          </cell>
        </row>
        <row r="30">
          <cell r="F30">
            <v>500</v>
          </cell>
        </row>
        <row r="31">
          <cell r="F31">
            <v>0.21369165990259753</v>
          </cell>
        </row>
        <row r="32">
          <cell r="F32">
            <v>0.20047619047619047</v>
          </cell>
        </row>
        <row r="33">
          <cell r="F33">
            <v>0.13880000000000001</v>
          </cell>
        </row>
        <row r="34">
          <cell r="F34">
            <v>0.12640000000000001</v>
          </cell>
        </row>
        <row r="35">
          <cell r="F35">
            <v>10</v>
          </cell>
        </row>
        <row r="37">
          <cell r="F37">
            <v>1.7157947422665329</v>
          </cell>
        </row>
        <row r="39">
          <cell r="F39">
            <v>21.531904799999996</v>
          </cell>
        </row>
        <row r="40">
          <cell r="F40">
            <v>7</v>
          </cell>
        </row>
        <row r="42">
          <cell r="F42">
            <v>0.97</v>
          </cell>
        </row>
        <row r="44">
          <cell r="F44">
            <v>0.36199999999999999</v>
          </cell>
        </row>
      </sheetData>
      <sheetData sheetId="14">
        <row r="12">
          <cell r="E12" t="str">
            <v>V</v>
          </cell>
        </row>
        <row r="13">
          <cell r="E13" t="str">
            <v>6 и менее баллов</v>
          </cell>
        </row>
        <row r="14">
          <cell r="E14" t="str">
            <v>до 200</v>
          </cell>
        </row>
        <row r="15">
          <cell r="E15" t="str">
            <v>нет</v>
          </cell>
        </row>
        <row r="19">
          <cell r="E19">
            <v>0</v>
          </cell>
        </row>
        <row r="20">
          <cell r="E20">
            <v>-37</v>
          </cell>
        </row>
        <row r="23">
          <cell r="E23" t="str">
            <v>нет</v>
          </cell>
        </row>
        <row r="28">
          <cell r="E28">
            <v>5515.9310416666667</v>
          </cell>
        </row>
        <row r="29">
          <cell r="E29">
            <v>5878.6480833333326</v>
          </cell>
        </row>
      </sheetData>
      <sheetData sheetId="15"/>
      <sheetData sheetId="16">
        <row r="10">
          <cell r="E10">
            <v>1287</v>
          </cell>
        </row>
        <row r="12">
          <cell r="E12">
            <v>5.97</v>
          </cell>
        </row>
        <row r="13">
          <cell r="E13">
            <v>1</v>
          </cell>
        </row>
        <row r="14">
          <cell r="E14">
            <v>12104</v>
          </cell>
        </row>
        <row r="15">
          <cell r="E15">
            <v>4.8000000000000001E-2</v>
          </cell>
        </row>
        <row r="16">
          <cell r="E16">
            <v>1</v>
          </cell>
        </row>
      </sheetData>
      <sheetData sheetId="17">
        <row r="11">
          <cell r="E11">
            <v>5.45</v>
          </cell>
        </row>
        <row r="12">
          <cell r="E12">
            <v>0.2</v>
          </cell>
        </row>
        <row r="13">
          <cell r="E13">
            <v>300</v>
          </cell>
        </row>
        <row r="14">
          <cell r="E14">
            <v>61211</v>
          </cell>
        </row>
        <row r="15">
          <cell r="E15">
            <v>45675</v>
          </cell>
        </row>
        <row r="16">
          <cell r="E16">
            <v>65637</v>
          </cell>
        </row>
        <row r="17">
          <cell r="E17">
            <v>31684</v>
          </cell>
        </row>
        <row r="21">
          <cell r="E21" t="str">
            <v>МУП г. Новосибирска "Горводоканал"</v>
          </cell>
        </row>
        <row r="22">
          <cell r="E22">
            <v>20170.833333333332</v>
          </cell>
        </row>
        <row r="23">
          <cell r="E23">
            <v>18020</v>
          </cell>
        </row>
        <row r="25">
          <cell r="E25" t="str">
            <v>МУП г. Новосибирска "Горводоканал"</v>
          </cell>
        </row>
        <row r="26">
          <cell r="E26">
            <v>38240.416666666664</v>
          </cell>
        </row>
        <row r="27">
          <cell r="E27">
            <v>19570</v>
          </cell>
        </row>
      </sheetData>
      <sheetData sheetId="18">
        <row r="12">
          <cell r="F12" t="str">
            <v>Постановление Правительства Новосибирской области от 29.11.2011 №535-п (ред. 14.04.2014) "Об утверждении результатов государственной кадастровой оценки земель населенных пунктов в новосибирской области и среднего уровня кадастровой стоимости земель населенных пунктов по муниципальным районам и городским округам Новыосибирской области"</v>
          </cell>
        </row>
      </sheetData>
      <sheetData sheetId="19">
        <row r="11">
          <cell r="E11">
            <v>-2.9000000000000026E-2</v>
          </cell>
          <cell r="F11">
            <v>0.245</v>
          </cell>
          <cell r="G11">
            <v>0.114</v>
          </cell>
          <cell r="H11">
            <v>0.04</v>
          </cell>
          <cell r="I11">
            <v>0.121</v>
          </cell>
          <cell r="J11">
            <v>0.03</v>
          </cell>
          <cell r="K11">
            <v>6.0999999999999999E-2</v>
          </cell>
          <cell r="L11">
            <v>0</v>
          </cell>
          <cell r="M11">
            <v>0</v>
          </cell>
          <cell r="N11">
            <v>0</v>
          </cell>
          <cell r="O11">
            <v>0</v>
          </cell>
          <cell r="P11">
            <v>0</v>
          </cell>
          <cell r="Q11">
            <v>0</v>
          </cell>
          <cell r="R11">
            <v>0</v>
          </cell>
          <cell r="S11">
            <v>0</v>
          </cell>
          <cell r="T11">
            <v>0</v>
          </cell>
          <cell r="U11">
            <v>0</v>
          </cell>
          <cell r="V11">
            <v>0</v>
          </cell>
          <cell r="W11">
            <v>0</v>
          </cell>
          <cell r="X11">
            <v>0</v>
          </cell>
          <cell r="Y11">
            <v>0</v>
          </cell>
          <cell r="Z11">
            <v>0</v>
          </cell>
          <cell r="AA11">
            <v>0</v>
          </cell>
          <cell r="AB11">
            <v>0</v>
          </cell>
          <cell r="AC11">
            <v>0</v>
          </cell>
          <cell r="AD11">
            <v>0</v>
          </cell>
          <cell r="AE11">
            <v>0</v>
          </cell>
          <cell r="AF11">
            <v>0</v>
          </cell>
          <cell r="AG11">
            <v>0</v>
          </cell>
          <cell r="AH11">
            <v>0</v>
          </cell>
          <cell r="AI11">
            <v>0</v>
          </cell>
          <cell r="AJ11">
            <v>0</v>
          </cell>
          <cell r="AK11">
            <v>0</v>
          </cell>
          <cell r="AL11">
            <v>0</v>
          </cell>
          <cell r="AM11">
            <v>0</v>
          </cell>
          <cell r="AN11">
            <v>0</v>
          </cell>
          <cell r="AO11">
            <v>0</v>
          </cell>
          <cell r="AP11">
            <v>0</v>
          </cell>
          <cell r="AQ11">
            <v>0</v>
          </cell>
          <cell r="AR11">
            <v>0</v>
          </cell>
          <cell r="AS11">
            <v>0</v>
          </cell>
          <cell r="AT11">
            <v>0</v>
          </cell>
          <cell r="AU11">
            <v>0</v>
          </cell>
          <cell r="AV11">
            <v>0</v>
          </cell>
          <cell r="AW11">
            <v>0</v>
          </cell>
          <cell r="AX11">
            <v>0</v>
          </cell>
          <cell r="AY11">
            <v>0</v>
          </cell>
          <cell r="AZ11">
            <v>0</v>
          </cell>
          <cell r="BA11">
            <v>0</v>
          </cell>
          <cell r="BB11">
            <v>0</v>
          </cell>
          <cell r="BC11">
            <v>0</v>
          </cell>
          <cell r="BD11">
            <v>0</v>
          </cell>
          <cell r="BE11">
            <v>0</v>
          </cell>
          <cell r="BF11">
            <v>0</v>
          </cell>
          <cell r="BG11">
            <v>0</v>
          </cell>
          <cell r="BH11">
            <v>0</v>
          </cell>
          <cell r="BI11">
            <v>0</v>
          </cell>
          <cell r="BJ11">
            <v>0</v>
          </cell>
          <cell r="BK11">
            <v>0</v>
          </cell>
          <cell r="BL11">
            <v>0</v>
          </cell>
          <cell r="BM11">
            <v>0</v>
          </cell>
          <cell r="BN11">
            <v>0</v>
          </cell>
          <cell r="BO11">
            <v>0</v>
          </cell>
          <cell r="BP11">
            <v>0</v>
          </cell>
          <cell r="BQ11">
            <v>0</v>
          </cell>
          <cell r="BR11">
            <v>0</v>
          </cell>
          <cell r="BS11">
            <v>0</v>
          </cell>
          <cell r="BT11">
            <v>0</v>
          </cell>
          <cell r="BU11">
            <v>0</v>
          </cell>
          <cell r="BV11">
            <v>0</v>
          </cell>
          <cell r="BW11">
            <v>0</v>
          </cell>
          <cell r="BX11">
            <v>0</v>
          </cell>
          <cell r="BY11">
            <v>0</v>
          </cell>
          <cell r="BZ11">
            <v>0</v>
          </cell>
          <cell r="CA11">
            <v>0</v>
          </cell>
          <cell r="CB11">
            <v>0</v>
          </cell>
          <cell r="CC11">
            <v>0</v>
          </cell>
          <cell r="CD11">
            <v>0</v>
          </cell>
          <cell r="CE11">
            <v>0</v>
          </cell>
          <cell r="CF11">
            <v>0</v>
          </cell>
        </row>
      </sheetData>
      <sheetData sheetId="20">
        <row r="11">
          <cell r="G11" t="str">
            <v>Информация с официального сайта Банка России</v>
          </cell>
        </row>
      </sheetData>
      <sheetData sheetId="21"/>
      <sheetData sheetId="22">
        <row r="12">
          <cell r="F12">
            <v>648.30389958699197</v>
          </cell>
        </row>
        <row r="14">
          <cell r="F14">
            <v>11258.985598028818</v>
          </cell>
        </row>
        <row r="15">
          <cell r="F15">
            <v>0.25</v>
          </cell>
        </row>
        <row r="18">
          <cell r="F18">
            <v>15</v>
          </cell>
        </row>
        <row r="19">
          <cell r="F19">
            <v>2699.0944349242141</v>
          </cell>
        </row>
        <row r="20">
          <cell r="F20">
            <v>2.1999999999999999E-2</v>
          </cell>
        </row>
        <row r="21">
          <cell r="F21">
            <v>10</v>
          </cell>
        </row>
        <row r="22">
          <cell r="F22">
            <v>1.1378144228357887</v>
          </cell>
        </row>
        <row r="23">
          <cell r="F23">
            <v>3.0000000000000001E-3</v>
          </cell>
        </row>
        <row r="24">
          <cell r="F24">
            <v>379.2714742785962</v>
          </cell>
        </row>
      </sheetData>
      <sheetData sheetId="23">
        <row r="12">
          <cell r="F12" t="str">
            <v xml:space="preserve">Налоговый кодекс Российской Федерации </v>
          </cell>
        </row>
      </sheetData>
      <sheetData sheetId="24">
        <row r="12">
          <cell r="F12">
            <v>279.23000278373644</v>
          </cell>
        </row>
        <row r="16">
          <cell r="F16">
            <v>832.33500000000004</v>
          </cell>
        </row>
        <row r="17">
          <cell r="F17">
            <v>43385</v>
          </cell>
        </row>
        <row r="18">
          <cell r="F18">
            <v>1.4999999999999999E-2</v>
          </cell>
        </row>
        <row r="19">
          <cell r="F19">
            <v>12104</v>
          </cell>
        </row>
        <row r="20">
          <cell r="F20">
            <v>1.4999999999999999E-2</v>
          </cell>
        </row>
        <row r="21">
          <cell r="F21">
            <v>1221.9019409821399</v>
          </cell>
        </row>
        <row r="22">
          <cell r="F22">
            <v>3.6112641666666665</v>
          </cell>
        </row>
        <row r="23">
          <cell r="F23">
            <v>110</v>
          </cell>
        </row>
        <row r="24">
          <cell r="F24">
            <v>8497.1999999999989</v>
          </cell>
        </row>
        <row r="25">
          <cell r="F25">
            <v>0.36199999999999999</v>
          </cell>
        </row>
        <row r="26">
          <cell r="F26">
            <v>49.168300000000002</v>
          </cell>
        </row>
        <row r="27">
          <cell r="F27">
            <v>904.62444244124072</v>
          </cell>
        </row>
        <row r="28">
          <cell r="F28">
            <v>694.79603874135228</v>
          </cell>
        </row>
        <row r="29">
          <cell r="F29">
            <v>209.82840369988838</v>
          </cell>
        </row>
        <row r="30">
          <cell r="F30">
            <v>851.19232184364705</v>
          </cell>
        </row>
      </sheetData>
      <sheetData sheetId="25"/>
      <sheetData sheetId="26">
        <row r="8">
          <cell r="F8" t="str">
            <v>нет</v>
          </cell>
        </row>
        <row r="15">
          <cell r="D15" t="str">
            <v>АО "Новосибирскэнергосбыт"</v>
          </cell>
        </row>
        <row r="21">
          <cell r="D21">
            <v>0</v>
          </cell>
        </row>
      </sheetData>
      <sheetData sheetId="27">
        <row r="11">
          <cell r="E11">
            <v>1871</v>
          </cell>
        </row>
        <row r="12">
          <cell r="E12">
            <v>61</v>
          </cell>
        </row>
        <row r="13">
          <cell r="E13">
            <v>73</v>
          </cell>
        </row>
        <row r="16">
          <cell r="E16">
            <v>0</v>
          </cell>
        </row>
        <row r="17">
          <cell r="E17">
            <v>24.43</v>
          </cell>
        </row>
        <row r="18">
          <cell r="E18">
            <v>0</v>
          </cell>
        </row>
        <row r="19">
          <cell r="E19">
            <v>26.98</v>
          </cell>
        </row>
      </sheetData>
      <sheetData sheetId="28"/>
      <sheetData sheetId="29">
        <row r="12">
          <cell r="F12">
            <v>86.886441531212498</v>
          </cell>
        </row>
        <row r="17">
          <cell r="F17">
            <v>0.02</v>
          </cell>
        </row>
      </sheetData>
      <sheetData sheetId="30">
        <row r="12">
          <cell r="F12">
            <v>0</v>
          </cell>
        </row>
        <row r="13">
          <cell r="F13">
            <v>0</v>
          </cell>
        </row>
        <row r="19">
          <cell r="F19">
            <v>0</v>
          </cell>
        </row>
      </sheetData>
      <sheetData sheetId="31">
        <row r="11">
          <cell r="E11" t="str">
            <v>да</v>
          </cell>
        </row>
        <row r="12">
          <cell r="E12">
            <v>0</v>
          </cell>
        </row>
        <row r="17">
          <cell r="E17">
            <v>0</v>
          </cell>
        </row>
        <row r="18">
          <cell r="E18" t="str">
            <v>да</v>
          </cell>
        </row>
        <row r="19">
          <cell r="E19">
            <v>0</v>
          </cell>
        </row>
        <row r="22">
          <cell r="E22">
            <v>0</v>
          </cell>
        </row>
        <row r="23">
          <cell r="E23">
            <v>0</v>
          </cell>
        </row>
      </sheetData>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нструкция"/>
      <sheetName val="Структура"/>
      <sheetName val="Содержание"/>
      <sheetName val="И1"/>
      <sheetName val="Инвест.об."/>
      <sheetName val="И2"/>
      <sheetName val="И2.1"/>
      <sheetName val="С1"/>
      <sheetName val="С1.1"/>
      <sheetName val="С1.2"/>
      <sheetName val="Data1.2"/>
      <sheetName val="С1.3"/>
      <sheetName val="Data1.3"/>
      <sheetName val="С2"/>
      <sheetName val="С2.1"/>
      <sheetName val="Data2.1"/>
      <sheetName val="С2.2"/>
      <sheetName val="С2.3"/>
      <sheetName val="С2.4"/>
      <sheetName val="С2.5"/>
      <sheetName val="С2.6"/>
      <sheetName val="Data2.6"/>
      <sheetName val="С3"/>
      <sheetName val="С3.1"/>
      <sheetName val="С4"/>
      <sheetName val="С4.1"/>
      <sheetName val="С4.2"/>
      <sheetName val="С4.3"/>
      <sheetName val="С4.4"/>
      <sheetName val="С5"/>
      <sheetName val="С6"/>
      <sheetName val="С6.1"/>
      <sheetName val="И3"/>
      <sheetName val="Проверка"/>
      <sheetName val="Системный"/>
      <sheetName val="АК_прогноз"/>
      <sheetName val="Гр&amp;ПУЦ_v1"/>
      <sheetName val="Заморозка"/>
      <sheetName val="ИПГ_мо"/>
      <sheetName val="ИПГ_рег"/>
      <sheetName val="Темп VS ИПГ"/>
      <sheetName val="МУ770_Т1"/>
      <sheetName val="ИПЦ_ИПГ"/>
      <sheetName val="ПУЦ (п.67)"/>
      <sheetName val="Гр&amp;ПУЦ_v2"/>
      <sheetName val="Лист1"/>
      <sheetName val="Шаблон ЦАК_газ_2026_5 эт Морозо"/>
    </sheetNames>
    <sheetDataSet>
      <sheetData sheetId="0"/>
      <sheetData sheetId="1"/>
      <sheetData sheetId="2"/>
      <sheetData sheetId="3">
        <row r="8">
          <cell r="D8" t="str">
            <v>Период регулирования (i)-й</v>
          </cell>
          <cell r="E8">
            <v>2026</v>
          </cell>
        </row>
        <row r="9">
          <cell r="D9" t="str">
            <v>Период регулирования (i-1)-й</v>
          </cell>
          <cell r="E9">
            <v>2025</v>
          </cell>
        </row>
        <row r="10">
          <cell r="D10" t="str">
            <v>Период регулирования (i-2)-й</v>
          </cell>
          <cell r="E10">
            <v>2024</v>
          </cell>
        </row>
        <row r="11">
          <cell r="D11" t="str">
            <v>Базовый год (б)</v>
          </cell>
          <cell r="E11">
            <v>2019</v>
          </cell>
        </row>
        <row r="13">
          <cell r="D13" t="str">
            <v>Субъект Российской Федерации</v>
          </cell>
          <cell r="E13" t="str">
            <v>Новосибирская область</v>
          </cell>
        </row>
        <row r="14">
          <cell r="D14" t="str">
            <v>Тип муниципального образования (выберите из списка)</v>
          </cell>
        </row>
        <row r="15">
          <cell r="D15" t="str">
            <v/>
          </cell>
          <cell r="E15">
            <v>0</v>
          </cell>
        </row>
        <row r="16">
          <cell r="D16" t="str">
            <v>Код ОКТМО</v>
          </cell>
        </row>
        <row r="17">
          <cell r="D17" t="str">
            <v>Система теплоснабжения</v>
          </cell>
          <cell r="E17">
            <v>0</v>
          </cell>
        </row>
        <row r="18">
          <cell r="D18" t="str">
            <v>Вид топлива, использование которого преобладает в системе теплоснабжения</v>
          </cell>
          <cell r="E18" t="str">
            <v>Газ</v>
          </cell>
        </row>
      </sheetData>
      <sheetData sheetId="4"/>
      <sheetData sheetId="5"/>
      <sheetData sheetId="6"/>
      <sheetData sheetId="7">
        <row r="12">
          <cell r="F12">
            <v>1278.3072413778675</v>
          </cell>
        </row>
        <row r="13">
          <cell r="F13">
            <v>156.1</v>
          </cell>
        </row>
        <row r="16">
          <cell r="F16">
            <v>7000</v>
          </cell>
        </row>
        <row r="17">
          <cell r="F17">
            <v>1.1285714285714286</v>
          </cell>
        </row>
        <row r="20">
          <cell r="F20">
            <v>22.307053372799995</v>
          </cell>
        </row>
        <row r="21">
          <cell r="F21">
            <v>21.531904799999996</v>
          </cell>
        </row>
        <row r="22">
          <cell r="F22">
            <v>1.036</v>
          </cell>
        </row>
        <row r="23">
          <cell r="F23" t="str">
            <v>-</v>
          </cell>
        </row>
      </sheetData>
      <sheetData sheetId="8">
        <row r="9">
          <cell r="I9" t="str">
            <v>цены (тарифы), подлежащие государственному регулированию, действовавшие на день окончания (i-2)-го расчетного периода в системе теплоснабжения</v>
          </cell>
        </row>
        <row r="16">
          <cell r="E16">
            <v>7900</v>
          </cell>
        </row>
        <row r="20">
          <cell r="E20">
            <v>0.21299999999999999</v>
          </cell>
        </row>
        <row r="21">
          <cell r="E21">
            <v>9.6000000000000002E-2</v>
          </cell>
        </row>
        <row r="25">
          <cell r="E25" t="str">
            <v>ООО "Газпром межрегионгаз Новосибирск", ООО "Газпром газораспределение Томск" (с 17.02.2025 ООО "Газпром газораспределение Сибирь")</v>
          </cell>
        </row>
        <row r="26">
          <cell r="D26" t="str">
            <v>Среднеарифметическое значение между установленными предельными максимальным и минимальным уровнями оптовых цен, действовавшими на день окончания (i-2)-го расчетного периода регулирования в системе теплоснабжения, без НДС, руб./тыс. куб. м</v>
          </cell>
          <cell r="E26">
            <v>5670</v>
          </cell>
        </row>
        <row r="27">
          <cell r="D27" t="str">
            <v>Тариф на услуги по транспортировке газа по газораспределительным сетям, действовавший на день окончания (i-2)-го расчетного периода регулирования в системе теплоснабжения, без НДС, руб./тыс. куб. м</v>
          </cell>
          <cell r="E27">
            <v>689.14</v>
          </cell>
        </row>
        <row r="28">
          <cell r="D28" t="str">
            <v>Размер платы за снабженческо-сбытовые услуги, действовавший на день окончания (i-2)-го расчетного периода регулирования в системе теплоснабжения, без НДС, руб./тыс. куб. м</v>
          </cell>
          <cell r="E28">
            <v>144.72999999999999</v>
          </cell>
        </row>
        <row r="29">
          <cell r="D29" t="str">
            <v>Специальная надбавка к тарифам на услуги по транспортировке газа по газораспределительным сетям, действовавшая на день окончания (i-2)-го расчетного периода регулирования в системе теплоснабжения, без НДС, руб./тыс. куб. м</v>
          </cell>
          <cell r="E29">
            <v>206.25</v>
          </cell>
        </row>
        <row r="32">
          <cell r="E32">
            <v>6710.12</v>
          </cell>
        </row>
      </sheetData>
      <sheetData sheetId="9"/>
      <sheetData sheetId="10"/>
      <sheetData sheetId="11">
        <row r="9">
          <cell r="G9">
            <v>0</v>
          </cell>
        </row>
      </sheetData>
      <sheetData sheetId="12"/>
      <sheetData sheetId="13">
        <row r="12">
          <cell r="F12">
            <v>2138.4809328120286</v>
          </cell>
        </row>
        <row r="13">
          <cell r="F13">
            <v>119259.45174981897</v>
          </cell>
        </row>
        <row r="14">
          <cell r="F14">
            <v>64899</v>
          </cell>
        </row>
        <row r="15">
          <cell r="F15">
            <v>1.071</v>
          </cell>
        </row>
        <row r="16">
          <cell r="F16">
            <v>1</v>
          </cell>
        </row>
        <row r="17">
          <cell r="F17">
            <v>1</v>
          </cell>
        </row>
        <row r="18">
          <cell r="F18">
            <v>40220.845230503684</v>
          </cell>
        </row>
        <row r="19">
          <cell r="F19">
            <v>0</v>
          </cell>
        </row>
        <row r="20">
          <cell r="F20">
            <v>23441.524932855718</v>
          </cell>
        </row>
        <row r="21">
          <cell r="F21">
            <v>1</v>
          </cell>
        </row>
        <row r="22">
          <cell r="F22">
            <v>24548.869037237404</v>
          </cell>
        </row>
        <row r="23">
          <cell r="F23">
            <v>21</v>
          </cell>
        </row>
        <row r="26">
          <cell r="F26">
            <v>2892</v>
          </cell>
        </row>
        <row r="28">
          <cell r="F28">
            <v>379.2714742785962</v>
          </cell>
        </row>
        <row r="29">
          <cell r="F29">
            <v>0.44209422600000003</v>
          </cell>
        </row>
        <row r="30">
          <cell r="F30">
            <v>500</v>
          </cell>
        </row>
        <row r="31">
          <cell r="F31">
            <v>0.21369165990259753</v>
          </cell>
        </row>
        <row r="32">
          <cell r="F32">
            <v>0.20047619047619047</v>
          </cell>
        </row>
        <row r="33">
          <cell r="F33">
            <v>0.13880000000000001</v>
          </cell>
        </row>
        <row r="34">
          <cell r="F34">
            <v>0.12640000000000001</v>
          </cell>
        </row>
        <row r="35">
          <cell r="F35">
            <v>10</v>
          </cell>
        </row>
        <row r="37">
          <cell r="F37">
            <v>1.7157947422665329</v>
          </cell>
        </row>
        <row r="39">
          <cell r="F39">
            <v>21.531904799999996</v>
          </cell>
        </row>
        <row r="40">
          <cell r="F40">
            <v>7</v>
          </cell>
        </row>
        <row r="42">
          <cell r="F42">
            <v>0.97</v>
          </cell>
        </row>
        <row r="44">
          <cell r="F44">
            <v>0.36199999999999999</v>
          </cell>
        </row>
      </sheetData>
      <sheetData sheetId="14">
        <row r="12">
          <cell r="E12" t="str">
            <v>V</v>
          </cell>
        </row>
        <row r="13">
          <cell r="E13" t="str">
            <v>6 и менее баллов</v>
          </cell>
        </row>
        <row r="14">
          <cell r="E14" t="str">
            <v>до 200</v>
          </cell>
        </row>
        <row r="15">
          <cell r="E15" t="str">
            <v>нет</v>
          </cell>
        </row>
        <row r="19">
          <cell r="E19">
            <v>0</v>
          </cell>
        </row>
        <row r="20">
          <cell r="E20">
            <v>-37</v>
          </cell>
        </row>
        <row r="23">
          <cell r="E23" t="str">
            <v>нет</v>
          </cell>
        </row>
        <row r="28">
          <cell r="E28">
            <v>5515.9310416666667</v>
          </cell>
        </row>
        <row r="29">
          <cell r="E29">
            <v>5878.6480833333326</v>
          </cell>
        </row>
      </sheetData>
      <sheetData sheetId="15"/>
      <sheetData sheetId="16">
        <row r="10">
          <cell r="E10">
            <v>1287</v>
          </cell>
        </row>
        <row r="12">
          <cell r="E12">
            <v>5.97</v>
          </cell>
        </row>
        <row r="13">
          <cell r="E13">
            <v>1</v>
          </cell>
        </row>
        <row r="14">
          <cell r="E14">
            <v>12104</v>
          </cell>
        </row>
        <row r="15">
          <cell r="E15">
            <v>4.8000000000000001E-2</v>
          </cell>
        </row>
        <row r="16">
          <cell r="E16">
            <v>1</v>
          </cell>
        </row>
      </sheetData>
      <sheetData sheetId="17">
        <row r="11">
          <cell r="E11">
            <v>5.45</v>
          </cell>
        </row>
        <row r="12">
          <cell r="E12">
            <v>0.2</v>
          </cell>
        </row>
        <row r="13">
          <cell r="E13">
            <v>300</v>
          </cell>
        </row>
        <row r="14">
          <cell r="E14">
            <v>61211</v>
          </cell>
        </row>
        <row r="15">
          <cell r="E15">
            <v>45675</v>
          </cell>
        </row>
        <row r="16">
          <cell r="E16">
            <v>65637</v>
          </cell>
        </row>
        <row r="17">
          <cell r="E17">
            <v>31684</v>
          </cell>
        </row>
        <row r="21">
          <cell r="E21" t="str">
            <v>МУП г. Новосибирска "Горводоканал"</v>
          </cell>
        </row>
        <row r="22">
          <cell r="E22">
            <v>20170.833333333332</v>
          </cell>
        </row>
        <row r="23">
          <cell r="E23">
            <v>18020</v>
          </cell>
        </row>
        <row r="25">
          <cell r="E25" t="str">
            <v>МУП г. Новосибирска "Горводоканал"</v>
          </cell>
        </row>
        <row r="26">
          <cell r="E26">
            <v>38240.416666666664</v>
          </cell>
        </row>
        <row r="27">
          <cell r="E27">
            <v>19570</v>
          </cell>
        </row>
      </sheetData>
      <sheetData sheetId="18">
        <row r="12">
          <cell r="F12" t="str">
            <v>Постановление Правительства Новосибирской области от 29.11.2011 №535-п (ред. 14.04.2014) "Об утверждении результатов государственной кадастровой оценки земель населенных пунктов в новосибирской области и среднего уровня кадастровой стоимости земель населенных пунктов по муниципальным районам и городским округам Новыосибирской области"</v>
          </cell>
        </row>
      </sheetData>
      <sheetData sheetId="19">
        <row r="11">
          <cell r="E11">
            <v>-2.9000000000000026E-2</v>
          </cell>
          <cell r="F11">
            <v>0.245</v>
          </cell>
          <cell r="G11">
            <v>0.114</v>
          </cell>
          <cell r="H11">
            <v>0.04</v>
          </cell>
          <cell r="I11">
            <v>0.121</v>
          </cell>
          <cell r="J11">
            <v>0.03</v>
          </cell>
          <cell r="K11">
            <v>6.0999999999999999E-2</v>
          </cell>
          <cell r="L11">
            <v>0</v>
          </cell>
          <cell r="M11">
            <v>0</v>
          </cell>
          <cell r="N11">
            <v>0</v>
          </cell>
          <cell r="O11">
            <v>0</v>
          </cell>
          <cell r="P11">
            <v>0</v>
          </cell>
          <cell r="Q11">
            <v>0</v>
          </cell>
          <cell r="R11">
            <v>0</v>
          </cell>
          <cell r="S11">
            <v>0</v>
          </cell>
          <cell r="T11">
            <v>0</v>
          </cell>
          <cell r="U11">
            <v>0</v>
          </cell>
          <cell r="V11">
            <v>0</v>
          </cell>
          <cell r="W11">
            <v>0</v>
          </cell>
          <cell r="X11">
            <v>0</v>
          </cell>
          <cell r="Y11">
            <v>0</v>
          </cell>
          <cell r="Z11">
            <v>0</v>
          </cell>
          <cell r="AA11">
            <v>0</v>
          </cell>
          <cell r="AB11">
            <v>0</v>
          </cell>
          <cell r="AC11">
            <v>0</v>
          </cell>
          <cell r="AD11">
            <v>0</v>
          </cell>
          <cell r="AE11">
            <v>0</v>
          </cell>
          <cell r="AF11">
            <v>0</v>
          </cell>
          <cell r="AG11">
            <v>0</v>
          </cell>
          <cell r="AH11">
            <v>0</v>
          </cell>
          <cell r="AI11">
            <v>0</v>
          </cell>
          <cell r="AJ11">
            <v>0</v>
          </cell>
          <cell r="AK11">
            <v>0</v>
          </cell>
          <cell r="AL11">
            <v>0</v>
          </cell>
          <cell r="AM11">
            <v>0</v>
          </cell>
          <cell r="AN11">
            <v>0</v>
          </cell>
          <cell r="AO11">
            <v>0</v>
          </cell>
          <cell r="AP11">
            <v>0</v>
          </cell>
          <cell r="AQ11">
            <v>0</v>
          </cell>
          <cell r="AR11">
            <v>0</v>
          </cell>
          <cell r="AS11">
            <v>0</v>
          </cell>
          <cell r="AT11">
            <v>0</v>
          </cell>
          <cell r="AU11">
            <v>0</v>
          </cell>
          <cell r="AV11">
            <v>0</v>
          </cell>
          <cell r="AW11">
            <v>0</v>
          </cell>
          <cell r="AX11">
            <v>0</v>
          </cell>
          <cell r="AY11">
            <v>0</v>
          </cell>
          <cell r="AZ11">
            <v>0</v>
          </cell>
          <cell r="BA11">
            <v>0</v>
          </cell>
          <cell r="BB11">
            <v>0</v>
          </cell>
          <cell r="BC11">
            <v>0</v>
          </cell>
          <cell r="BD11">
            <v>0</v>
          </cell>
          <cell r="BE11">
            <v>0</v>
          </cell>
          <cell r="BF11">
            <v>0</v>
          </cell>
          <cell r="BG11">
            <v>0</v>
          </cell>
          <cell r="BH11">
            <v>0</v>
          </cell>
          <cell r="BI11">
            <v>0</v>
          </cell>
          <cell r="BJ11">
            <v>0</v>
          </cell>
          <cell r="BK11">
            <v>0</v>
          </cell>
          <cell r="BL11">
            <v>0</v>
          </cell>
          <cell r="BM11">
            <v>0</v>
          </cell>
          <cell r="BN11">
            <v>0</v>
          </cell>
          <cell r="BO11">
            <v>0</v>
          </cell>
          <cell r="BP11">
            <v>0</v>
          </cell>
          <cell r="BQ11">
            <v>0</v>
          </cell>
          <cell r="BR11">
            <v>0</v>
          </cell>
          <cell r="BS11">
            <v>0</v>
          </cell>
          <cell r="BT11">
            <v>0</v>
          </cell>
          <cell r="BU11">
            <v>0</v>
          </cell>
          <cell r="BV11">
            <v>0</v>
          </cell>
          <cell r="BW11">
            <v>0</v>
          </cell>
          <cell r="BX11">
            <v>0</v>
          </cell>
          <cell r="BY11">
            <v>0</v>
          </cell>
          <cell r="BZ11">
            <v>0</v>
          </cell>
          <cell r="CA11">
            <v>0</v>
          </cell>
          <cell r="CB11">
            <v>0</v>
          </cell>
          <cell r="CC11">
            <v>0</v>
          </cell>
          <cell r="CD11">
            <v>0</v>
          </cell>
          <cell r="CE11">
            <v>0</v>
          </cell>
          <cell r="CF11">
            <v>0</v>
          </cell>
        </row>
      </sheetData>
      <sheetData sheetId="20">
        <row r="11">
          <cell r="G11" t="str">
            <v>Информация с официального сайта Банка России</v>
          </cell>
        </row>
      </sheetData>
      <sheetData sheetId="21"/>
      <sheetData sheetId="22">
        <row r="12">
          <cell r="F12">
            <v>648.30389958699197</v>
          </cell>
        </row>
        <row r="14">
          <cell r="F14">
            <v>11258.985598028818</v>
          </cell>
        </row>
        <row r="15">
          <cell r="F15">
            <v>0.25</v>
          </cell>
        </row>
        <row r="18">
          <cell r="F18">
            <v>15</v>
          </cell>
        </row>
        <row r="19">
          <cell r="F19">
            <v>2699.0944349242141</v>
          </cell>
        </row>
        <row r="20">
          <cell r="F20">
            <v>2.1999999999999999E-2</v>
          </cell>
        </row>
        <row r="21">
          <cell r="F21">
            <v>10</v>
          </cell>
        </row>
        <row r="22">
          <cell r="F22">
            <v>1.1378144228357887</v>
          </cell>
        </row>
        <row r="23">
          <cell r="F23">
            <v>3.0000000000000001E-3</v>
          </cell>
        </row>
        <row r="24">
          <cell r="F24">
            <v>379.2714742785962</v>
          </cell>
        </row>
      </sheetData>
      <sheetData sheetId="23">
        <row r="12">
          <cell r="F12" t="str">
            <v xml:space="preserve">Налоговый кодекс Российской Федерации </v>
          </cell>
        </row>
      </sheetData>
      <sheetData sheetId="24">
        <row r="12">
          <cell r="F12">
            <v>277.33140949585226</v>
          </cell>
        </row>
        <row r="16">
          <cell r="F16">
            <v>832.33500000000004</v>
          </cell>
        </row>
        <row r="17">
          <cell r="F17">
            <v>43385</v>
          </cell>
        </row>
        <row r="18">
          <cell r="F18">
            <v>1.4999999999999999E-2</v>
          </cell>
        </row>
        <row r="19">
          <cell r="F19">
            <v>12104</v>
          </cell>
        </row>
        <row r="20">
          <cell r="F20">
            <v>1.4999999999999999E-2</v>
          </cell>
        </row>
        <row r="21">
          <cell r="F21">
            <v>1221.9019409821399</v>
          </cell>
        </row>
        <row r="22">
          <cell r="F22">
            <v>3.6112641666666665</v>
          </cell>
        </row>
        <row r="23">
          <cell r="F23">
            <v>110</v>
          </cell>
        </row>
        <row r="24">
          <cell r="F24">
            <v>8497.1999999999989</v>
          </cell>
        </row>
        <row r="25">
          <cell r="F25">
            <v>0.36199999999999999</v>
          </cell>
        </row>
        <row r="26">
          <cell r="F26">
            <v>26.476980000000001</v>
          </cell>
        </row>
        <row r="27">
          <cell r="F27">
            <v>904.62444244124072</v>
          </cell>
        </row>
        <row r="28">
          <cell r="F28">
            <v>694.79603874135228</v>
          </cell>
        </row>
        <row r="29">
          <cell r="F29">
            <v>209.82840369988838</v>
          </cell>
        </row>
        <row r="30">
          <cell r="F30">
            <v>849.24563946609271</v>
          </cell>
        </row>
      </sheetData>
      <sheetData sheetId="25"/>
      <sheetData sheetId="26">
        <row r="8">
          <cell r="F8" t="str">
            <v>нет</v>
          </cell>
        </row>
        <row r="15">
          <cell r="D15" t="str">
            <v>АО "Новосибирскэнергосбыт"</v>
          </cell>
        </row>
        <row r="21">
          <cell r="D21">
            <v>0</v>
          </cell>
        </row>
      </sheetData>
      <sheetData sheetId="27">
        <row r="11">
          <cell r="E11">
            <v>1871</v>
          </cell>
        </row>
        <row r="12">
          <cell r="E12">
            <v>61</v>
          </cell>
        </row>
        <row r="13">
          <cell r="E13">
            <v>73</v>
          </cell>
        </row>
        <row r="16">
          <cell r="E16">
            <v>0</v>
          </cell>
        </row>
        <row r="17">
          <cell r="E17">
            <v>13.48</v>
          </cell>
        </row>
        <row r="18">
          <cell r="E18">
            <v>0</v>
          </cell>
        </row>
        <row r="19">
          <cell r="E19">
            <v>5.94</v>
          </cell>
        </row>
      </sheetData>
      <sheetData sheetId="28"/>
      <sheetData sheetId="29">
        <row r="12">
          <cell r="F12">
            <v>86.848469665454815</v>
          </cell>
        </row>
        <row r="17">
          <cell r="F17">
            <v>0.02</v>
          </cell>
        </row>
      </sheetData>
      <sheetData sheetId="30">
        <row r="12">
          <cell r="F12">
            <v>0</v>
          </cell>
        </row>
        <row r="13">
          <cell r="F13">
            <v>0</v>
          </cell>
        </row>
        <row r="19">
          <cell r="F19">
            <v>0</v>
          </cell>
        </row>
      </sheetData>
      <sheetData sheetId="31">
        <row r="11">
          <cell r="E11" t="str">
            <v>да</v>
          </cell>
        </row>
        <row r="12">
          <cell r="E12">
            <v>0</v>
          </cell>
        </row>
        <row r="17">
          <cell r="E17">
            <v>0</v>
          </cell>
        </row>
        <row r="18">
          <cell r="E18" t="str">
            <v>да</v>
          </cell>
        </row>
        <row r="19">
          <cell r="E19">
            <v>0</v>
          </cell>
        </row>
        <row r="22">
          <cell r="E22">
            <v>0</v>
          </cell>
        </row>
        <row r="23">
          <cell r="E23">
            <v>0</v>
          </cell>
        </row>
      </sheetData>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нструкция"/>
      <sheetName val="Структура"/>
      <sheetName val="Содержание"/>
      <sheetName val="И1"/>
      <sheetName val="Инвест.об."/>
      <sheetName val="И2"/>
      <sheetName val="И2.1"/>
      <sheetName val="С1"/>
      <sheetName val="С1.1"/>
      <sheetName val="С1.2"/>
      <sheetName val="Data1.2"/>
      <sheetName val="С1.3"/>
      <sheetName val="Data1.3"/>
      <sheetName val="С2"/>
      <sheetName val="С2.1"/>
      <sheetName val="Data2.1"/>
      <sheetName val="С2.2"/>
      <sheetName val="С2.3"/>
      <sheetName val="С2.4"/>
      <sheetName val="С2.5"/>
      <sheetName val="С2.6"/>
      <sheetName val="Data2.6"/>
      <sheetName val="С3"/>
      <sheetName val="С3.1"/>
      <sheetName val="С4"/>
      <sheetName val="С4.1"/>
      <sheetName val="С4.2"/>
      <sheetName val="С4.3"/>
      <sheetName val="С4.4"/>
      <sheetName val="С5"/>
      <sheetName val="С6"/>
      <sheetName val="С6.1"/>
      <sheetName val="И3"/>
      <sheetName val="Проверка"/>
      <sheetName val="Системный"/>
      <sheetName val="АК_прогноз"/>
      <sheetName val="Гр&amp;ПУЦ_v1"/>
      <sheetName val="Заморозка"/>
      <sheetName val="ИПГ_мо"/>
      <sheetName val="ИПГ_рег"/>
      <sheetName val="Темп VS ИПГ"/>
      <sheetName val="МУ770_Т1"/>
      <sheetName val="ИПЦ_ИПГ"/>
      <sheetName val="ПУЦ (п.67)"/>
      <sheetName val="Гр&amp;ПУЦ_v2"/>
      <sheetName val="Лист1"/>
    </sheetNames>
    <sheetDataSet>
      <sheetData sheetId="0"/>
      <sheetData sheetId="1"/>
      <sheetData sheetId="2"/>
      <sheetData sheetId="3">
        <row r="8">
          <cell r="D8" t="str">
            <v>Период регулирования (i)-й</v>
          </cell>
        </row>
        <row r="14">
          <cell r="E14" t="str">
            <v>село Морозово, Искитимский муниципальный район</v>
          </cell>
        </row>
        <row r="16">
          <cell r="E16" t="str">
            <v xml:space="preserve"> (50615418101)</v>
          </cell>
        </row>
      </sheetData>
      <sheetData sheetId="4"/>
      <sheetData sheetId="5"/>
      <sheetData sheetId="6"/>
      <sheetData sheetId="7">
        <row r="12">
          <cell r="F12">
            <v>1201.0642791911237</v>
          </cell>
        </row>
      </sheetData>
      <sheetData sheetId="8">
        <row r="16">
          <cell r="E16">
            <v>7900</v>
          </cell>
        </row>
      </sheetData>
      <sheetData sheetId="9"/>
      <sheetData sheetId="10"/>
      <sheetData sheetId="11"/>
      <sheetData sheetId="12"/>
      <sheetData sheetId="13">
        <row r="12">
          <cell r="F12">
            <v>2049.7946392543367</v>
          </cell>
        </row>
      </sheetData>
      <sheetData sheetId="14">
        <row r="12">
          <cell r="E12" t="str">
            <v>V</v>
          </cell>
        </row>
      </sheetData>
      <sheetData sheetId="15"/>
      <sheetData sheetId="16">
        <row r="10">
          <cell r="E10">
            <v>1287</v>
          </cell>
        </row>
      </sheetData>
      <sheetData sheetId="17">
        <row r="11">
          <cell r="E11">
            <v>5.45</v>
          </cell>
        </row>
      </sheetData>
      <sheetData sheetId="18"/>
      <sheetData sheetId="19">
        <row r="11">
          <cell r="E11">
            <v>-2.9000000000000026E-2</v>
          </cell>
        </row>
      </sheetData>
      <sheetData sheetId="20"/>
      <sheetData sheetId="21"/>
      <sheetData sheetId="22">
        <row r="12">
          <cell r="F12">
            <v>613.3572799725365</v>
          </cell>
        </row>
      </sheetData>
      <sheetData sheetId="23"/>
      <sheetData sheetId="24">
        <row r="12">
          <cell r="F12">
            <v>267.6021300534959</v>
          </cell>
        </row>
      </sheetData>
      <sheetData sheetId="25"/>
      <sheetData sheetId="26">
        <row r="8">
          <cell r="F8" t="str">
            <v>нет</v>
          </cell>
        </row>
      </sheetData>
      <sheetData sheetId="27">
        <row r="11">
          <cell r="E11">
            <v>1871</v>
          </cell>
        </row>
      </sheetData>
      <sheetData sheetId="28"/>
      <sheetData sheetId="29">
        <row r="12">
          <cell r="F12">
            <v>82.636366569429867</v>
          </cell>
        </row>
      </sheetData>
      <sheetData sheetId="30">
        <row r="12">
          <cell r="F12">
            <v>0</v>
          </cell>
        </row>
      </sheetData>
      <sheetData sheetId="31">
        <row r="11">
          <cell r="E11" t="str">
            <v>да</v>
          </cell>
        </row>
      </sheetData>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нструкция"/>
      <sheetName val="Структура"/>
      <sheetName val="Содержание"/>
      <sheetName val="И1"/>
      <sheetName val="Инвест.об."/>
      <sheetName val="И2"/>
      <sheetName val="И2.1"/>
      <sheetName val="С1"/>
      <sheetName val="С1.1"/>
      <sheetName val="С1.2"/>
      <sheetName val="Data1.2"/>
      <sheetName val="С1.3"/>
      <sheetName val="Data1.3"/>
      <sheetName val="С2"/>
      <sheetName val="С2.1"/>
      <sheetName val="Data2.1"/>
      <sheetName val="С2.2"/>
      <sheetName val="С2.3"/>
      <sheetName val="С2.4"/>
      <sheetName val="Data2.4"/>
      <sheetName val="С2.5"/>
      <sheetName val="С2.6"/>
      <sheetName val="Data2.6"/>
      <sheetName val="С3"/>
      <sheetName val="С3.1"/>
      <sheetName val="С4"/>
      <sheetName val="С4.1"/>
      <sheetName val="С4.2"/>
      <sheetName val="С4.3"/>
      <sheetName val="С4.4"/>
      <sheetName val="С5"/>
      <sheetName val="С6"/>
      <sheetName val="И3"/>
      <sheetName val="Проверка"/>
      <sheetName val="ИПЦ_ИПГ"/>
      <sheetName val="АК_прогноз"/>
      <sheetName val="ПУЦ (п.67)"/>
      <sheetName val="АК_прогноз_j"/>
      <sheetName val="Гр&amp;ПУЦ_v1"/>
      <sheetName val="Заморозка"/>
      <sheetName val="ИПГ_мо"/>
      <sheetName val="ИПГ_рег"/>
      <sheetName val="Темп VS ИПГ"/>
      <sheetName val="МУ770_Т1"/>
      <sheetName val="Гр&amp;ПУЦ_v2"/>
      <sheetName val="Системный"/>
    </sheetNames>
    <sheetDataSet>
      <sheetData sheetId="0"/>
      <sheetData sheetId="1"/>
      <sheetData sheetId="2"/>
      <sheetData sheetId="3">
        <row r="8">
          <cell r="D8" t="str">
            <v>Период регулирования (i)-й</v>
          </cell>
        </row>
        <row r="14">
          <cell r="E14" t="str">
            <v xml:space="preserve">деревня Бурмистрово, Искитимский муниципальный район </v>
          </cell>
        </row>
        <row r="16">
          <cell r="E16" t="str">
            <v>(50615401101)</v>
          </cell>
        </row>
      </sheetData>
      <sheetData sheetId="4"/>
      <sheetData sheetId="5"/>
      <sheetData sheetId="6"/>
      <sheetData sheetId="7">
        <row r="12">
          <cell r="F12">
            <v>1048.8516015984944</v>
          </cell>
        </row>
      </sheetData>
      <sheetData sheetId="8">
        <row r="13">
          <cell r="E13" t="str">
            <v>уголь (вид угля не указан в топливном балансе)</v>
          </cell>
        </row>
      </sheetData>
      <sheetData sheetId="9"/>
      <sheetData sheetId="10"/>
      <sheetData sheetId="11"/>
      <sheetData sheetId="12"/>
      <sheetData sheetId="13">
        <row r="12">
          <cell r="F12">
            <v>3063.2235383547568</v>
          </cell>
        </row>
      </sheetData>
      <sheetData sheetId="14">
        <row r="12">
          <cell r="E12" t="str">
            <v>V</v>
          </cell>
        </row>
      </sheetData>
      <sheetData sheetId="15"/>
      <sheetData sheetId="16">
        <row r="10">
          <cell r="E10">
            <v>1287</v>
          </cell>
        </row>
      </sheetData>
      <sheetData sheetId="17">
        <row r="11">
          <cell r="E11">
            <v>9.89</v>
          </cell>
        </row>
      </sheetData>
      <sheetData sheetId="18"/>
      <sheetData sheetId="19"/>
      <sheetData sheetId="20">
        <row r="11">
          <cell r="E11">
            <v>-2.9000000000000026E-2</v>
          </cell>
        </row>
      </sheetData>
      <sheetData sheetId="21"/>
      <sheetData sheetId="22"/>
      <sheetData sheetId="23">
        <row r="12">
          <cell r="F12">
            <v>917.89815316767874</v>
          </cell>
        </row>
      </sheetData>
      <sheetData sheetId="24"/>
      <sheetData sheetId="25">
        <row r="12">
          <cell r="F12">
            <v>528.35519266443873</v>
          </cell>
        </row>
      </sheetData>
      <sheetData sheetId="26"/>
      <sheetData sheetId="27">
        <row r="8">
          <cell r="F8" t="str">
            <v>нет</v>
          </cell>
        </row>
      </sheetData>
      <sheetData sheetId="28">
        <row r="11">
          <cell r="E11">
            <v>1871</v>
          </cell>
        </row>
      </sheetData>
      <sheetData sheetId="29"/>
      <sheetData sheetId="30">
        <row r="12">
          <cell r="F12">
            <v>111.16656971570738</v>
          </cell>
        </row>
      </sheetData>
      <sheetData sheetId="31">
        <row r="12">
          <cell r="F12" t="str">
            <v>-</v>
          </cell>
        </row>
      </sheetData>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нструкция"/>
      <sheetName val="Структура"/>
      <sheetName val="Содержание"/>
      <sheetName val="И1"/>
      <sheetName val="Инвест.об."/>
      <sheetName val="И2"/>
      <sheetName val="И2.1"/>
      <sheetName val="С1"/>
      <sheetName val="С1.1"/>
      <sheetName val="С1.2"/>
      <sheetName val="Data1.2"/>
      <sheetName val="С1.3"/>
      <sheetName val="Data1.3"/>
      <sheetName val="С2"/>
      <sheetName val="С2.1"/>
      <sheetName val="Data2.1"/>
      <sheetName val="С2.2"/>
      <sheetName val="С2.3"/>
      <sheetName val="С2.4"/>
      <sheetName val="Data2.4"/>
      <sheetName val="С2.5"/>
      <sheetName val="С2.6"/>
      <sheetName val="Data2.6"/>
      <sheetName val="С3"/>
      <sheetName val="С3.1"/>
      <sheetName val="С4"/>
      <sheetName val="С4.1"/>
      <sheetName val="С4.2"/>
      <sheetName val="С4.3"/>
      <sheetName val="С4.4"/>
      <sheetName val="С5"/>
      <sheetName val="С6"/>
      <sheetName val="И3"/>
      <sheetName val="Проверка"/>
      <sheetName val="ИПЦ_ИПГ"/>
      <sheetName val="АК_прогноз"/>
      <sheetName val="ПУЦ (п.67)"/>
      <sheetName val="АК_прогноз_j"/>
      <sheetName val="Гр&amp;ПУЦ_v1"/>
      <sheetName val="Заморозка"/>
      <sheetName val="ИПГ_мо"/>
      <sheetName val="ИПГ_рег"/>
      <sheetName val="Темп VS ИПГ"/>
      <sheetName val="МУ770_Т1"/>
      <sheetName val="Гр&amp;ПУЦ_v2"/>
      <sheetName val="Системный"/>
      <sheetName val="Шаблон ЦАК_уголь_2026_5эт Преоб"/>
    </sheetNames>
    <sheetDataSet>
      <sheetData sheetId="0"/>
      <sheetData sheetId="1"/>
      <sheetData sheetId="2"/>
      <sheetData sheetId="3">
        <row r="8">
          <cell r="D8" t="str">
            <v>Период регулирования (i)-й</v>
          </cell>
          <cell r="E8">
            <v>2026</v>
          </cell>
        </row>
        <row r="9">
          <cell r="D9" t="str">
            <v>Период регулирования (i-1)-й</v>
          </cell>
          <cell r="E9">
            <v>2025</v>
          </cell>
        </row>
        <row r="10">
          <cell r="D10" t="str">
            <v>Период регулирования (i-2)-й</v>
          </cell>
          <cell r="E10">
            <v>2024</v>
          </cell>
        </row>
        <row r="11">
          <cell r="D11" t="str">
            <v>Базовый год (б)</v>
          </cell>
          <cell r="E11">
            <v>2019</v>
          </cell>
        </row>
        <row r="13">
          <cell r="D13" t="str">
            <v>Субъект Российской Федерации</v>
          </cell>
          <cell r="E13" t="str">
            <v>Новосибирская область</v>
          </cell>
        </row>
        <row r="14">
          <cell r="D14" t="str">
            <v>Тип муниципального образования (выберите из списка)</v>
          </cell>
        </row>
        <row r="15">
          <cell r="D15" t="str">
            <v/>
          </cell>
          <cell r="E15">
            <v>0</v>
          </cell>
        </row>
        <row r="16">
          <cell r="D16" t="str">
            <v>Код ОКТМО</v>
          </cell>
        </row>
        <row r="17">
          <cell r="D17" t="str">
            <v>Система теплоснабжения</v>
          </cell>
          <cell r="E17">
            <v>0</v>
          </cell>
        </row>
        <row r="18">
          <cell r="D18" t="str">
            <v>Вид топлива, использование которого преобладает в системе теплоснабжения</v>
          </cell>
        </row>
      </sheetData>
      <sheetData sheetId="4"/>
      <sheetData sheetId="5"/>
      <sheetData sheetId="6"/>
      <sheetData sheetId="7">
        <row r="12">
          <cell r="F12">
            <v>1053.8997870743569</v>
          </cell>
        </row>
        <row r="13">
          <cell r="F13">
            <v>176.4</v>
          </cell>
        </row>
        <row r="16">
          <cell r="F16">
            <v>7000</v>
          </cell>
        </row>
        <row r="17">
          <cell r="F17">
            <v>0.72857142857142854</v>
          </cell>
        </row>
        <row r="20">
          <cell r="F20">
            <v>21.588411179999994</v>
          </cell>
        </row>
        <row r="21">
          <cell r="F21">
            <v>20.818139999999996</v>
          </cell>
        </row>
        <row r="22">
          <cell r="F22">
            <v>1.0369999999999999</v>
          </cell>
        </row>
        <row r="23">
          <cell r="F23">
            <v>1.0469999999999999</v>
          </cell>
        </row>
      </sheetData>
      <sheetData sheetId="8">
        <row r="9">
          <cell r="I9" t="str">
            <v>цены (тарифы), подлежащие государственному регулированию, действовавшие на день окончания (i-2)-го расчетного периода в системе теплоснабжения</v>
          </cell>
        </row>
        <row r="13">
          <cell r="E13" t="str">
            <v>каменный уголь</v>
          </cell>
        </row>
        <row r="16">
          <cell r="E16">
            <v>5100</v>
          </cell>
        </row>
        <row r="19">
          <cell r="E19">
            <v>-0.11899999999999999</v>
          </cell>
        </row>
        <row r="20">
          <cell r="E20">
            <v>4.0000000000000001E-3</v>
          </cell>
        </row>
        <row r="27">
          <cell r="E27">
            <v>4532.5</v>
          </cell>
        </row>
      </sheetData>
      <sheetData sheetId="9"/>
      <sheetData sheetId="10"/>
      <sheetData sheetId="11">
        <row r="9">
          <cell r="G9">
            <v>0</v>
          </cell>
        </row>
      </sheetData>
      <sheetData sheetId="12"/>
      <sheetData sheetId="13">
        <row r="12">
          <cell r="F12">
            <v>3097.7824122172187</v>
          </cell>
        </row>
        <row r="13">
          <cell r="F13">
            <v>210571.60987470482</v>
          </cell>
        </row>
        <row r="14">
          <cell r="F14">
            <v>113455</v>
          </cell>
        </row>
        <row r="15">
          <cell r="F15">
            <v>1.071</v>
          </cell>
        </row>
        <row r="16">
          <cell r="F16">
            <v>1</v>
          </cell>
        </row>
        <row r="17">
          <cell r="F17">
            <v>1.01</v>
          </cell>
        </row>
        <row r="18">
          <cell r="F18">
            <v>40220.845230503684</v>
          </cell>
        </row>
        <row r="19">
          <cell r="F19">
            <v>0</v>
          </cell>
        </row>
        <row r="20">
          <cell r="F20">
            <v>23441.524932855718</v>
          </cell>
        </row>
        <row r="21">
          <cell r="F21">
            <v>1</v>
          </cell>
        </row>
        <row r="22">
          <cell r="F22">
            <v>4298.6978080550834</v>
          </cell>
        </row>
        <row r="23">
          <cell r="F23">
            <v>1990</v>
          </cell>
        </row>
        <row r="26">
          <cell r="F26">
            <v>3185.880383940208</v>
          </cell>
        </row>
        <row r="27">
          <cell r="F27">
            <v>0.44209422600000003</v>
          </cell>
        </row>
        <row r="28">
          <cell r="F28">
            <v>4200</v>
          </cell>
        </row>
        <row r="29">
          <cell r="F29">
            <v>0.21369165990259753</v>
          </cell>
        </row>
        <row r="30">
          <cell r="F30">
            <v>0.20047619047619047</v>
          </cell>
        </row>
        <row r="31">
          <cell r="F31">
            <v>0.13880000000000001</v>
          </cell>
        </row>
        <row r="32">
          <cell r="F32">
            <v>0.12640000000000001</v>
          </cell>
        </row>
        <row r="33">
          <cell r="F33">
            <v>10</v>
          </cell>
        </row>
        <row r="35">
          <cell r="F35">
            <v>1.7157947422665329</v>
          </cell>
        </row>
        <row r="37">
          <cell r="F37">
            <v>20.818139999999996</v>
          </cell>
        </row>
        <row r="38">
          <cell r="F38">
            <v>7</v>
          </cell>
        </row>
        <row r="40">
          <cell r="F40">
            <v>0.97</v>
          </cell>
        </row>
        <row r="42">
          <cell r="F42">
            <v>0.35</v>
          </cell>
        </row>
      </sheetData>
      <sheetData sheetId="14">
        <row r="12">
          <cell r="E12" t="str">
            <v>V</v>
          </cell>
        </row>
        <row r="13">
          <cell r="E13" t="str">
            <v>6 и менее баллов</v>
          </cell>
        </row>
        <row r="14">
          <cell r="E14" t="str">
            <v>от 200 до 500</v>
          </cell>
        </row>
        <row r="15">
          <cell r="E15" t="str">
            <v>нет</v>
          </cell>
        </row>
        <row r="19">
          <cell r="E19">
            <v>-38</v>
          </cell>
        </row>
        <row r="22">
          <cell r="E22" t="str">
            <v>нет</v>
          </cell>
        </row>
        <row r="27">
          <cell r="E27">
            <v>246.24401</v>
          </cell>
        </row>
        <row r="28">
          <cell r="E28">
            <v>269.12432000000001</v>
          </cell>
        </row>
      </sheetData>
      <sheetData sheetId="15"/>
      <sheetData sheetId="16">
        <row r="10">
          <cell r="E10">
            <v>1287</v>
          </cell>
        </row>
        <row r="12">
          <cell r="E12">
            <v>5.97</v>
          </cell>
        </row>
        <row r="13">
          <cell r="E13">
            <v>1</v>
          </cell>
        </row>
        <row r="14">
          <cell r="E14">
            <v>12104</v>
          </cell>
        </row>
        <row r="15">
          <cell r="E15">
            <v>4.8000000000000001E-2</v>
          </cell>
        </row>
        <row r="16">
          <cell r="E16">
            <v>1</v>
          </cell>
        </row>
      </sheetData>
      <sheetData sheetId="17">
        <row r="11">
          <cell r="E11">
            <v>9.89</v>
          </cell>
        </row>
        <row r="12">
          <cell r="E12">
            <v>0.56000000000000005</v>
          </cell>
        </row>
        <row r="13">
          <cell r="E13">
            <v>300</v>
          </cell>
        </row>
        <row r="14">
          <cell r="E14">
            <v>61211</v>
          </cell>
        </row>
        <row r="15">
          <cell r="E15">
            <v>45675</v>
          </cell>
        </row>
        <row r="16">
          <cell r="E16">
            <v>65637</v>
          </cell>
        </row>
        <row r="17">
          <cell r="E17">
            <v>31684</v>
          </cell>
        </row>
        <row r="21">
          <cell r="E21" t="str">
            <v>Муниципальное унитарное предприятие города Куйбышева Куйбышевского района Новосибирской области "Горводоканал"</v>
          </cell>
        </row>
        <row r="22">
          <cell r="E22">
            <v>8809</v>
          </cell>
        </row>
        <row r="23">
          <cell r="E23">
            <v>530.41</v>
          </cell>
        </row>
        <row r="25">
          <cell r="E25" t="str">
            <v>Муниципальное унитарное предприятие города Куйбышева Куйбышевского района Новосибирской области "Геострой"</v>
          </cell>
        </row>
        <row r="26">
          <cell r="E26">
            <v>21397</v>
          </cell>
        </row>
        <row r="27">
          <cell r="E27">
            <v>857.14</v>
          </cell>
        </row>
      </sheetData>
      <sheetData sheetId="18">
        <row r="12">
          <cell r="F12" t="str">
            <v>Постановление Правительства Новосибирской области от 29.11.2011 №535-п (ред. 14.04.2014) "Об утверждении результатов государственной кадастровой оценки земель населенных пунктов в новосибирской области и среднего уровня кадастровой стоимости земель населенных пунктов по муниципальным районам и городским округам Новосибирской области"</v>
          </cell>
        </row>
      </sheetData>
      <sheetData sheetId="19"/>
      <sheetData sheetId="20">
        <row r="11">
          <cell r="E11">
            <v>-2.9000000000000026E-2</v>
          </cell>
          <cell r="F11">
            <v>0.245</v>
          </cell>
          <cell r="G11">
            <v>0.114</v>
          </cell>
          <cell r="H11">
            <v>0.04</v>
          </cell>
          <cell r="I11">
            <v>0.121</v>
          </cell>
          <cell r="J11">
            <v>0.03</v>
          </cell>
          <cell r="K11">
            <v>6.0999999999999999E-2</v>
          </cell>
          <cell r="L11">
            <v>3.2682303599220003E-2</v>
          </cell>
          <cell r="M11">
            <v>0</v>
          </cell>
          <cell r="N11">
            <v>0</v>
          </cell>
          <cell r="O11">
            <v>0</v>
          </cell>
          <cell r="P11">
            <v>0</v>
          </cell>
          <cell r="Q11">
            <v>0</v>
          </cell>
          <cell r="R11">
            <v>0</v>
          </cell>
          <cell r="S11">
            <v>0</v>
          </cell>
          <cell r="T11">
            <v>0</v>
          </cell>
          <cell r="U11">
            <v>0</v>
          </cell>
          <cell r="V11">
            <v>0</v>
          </cell>
          <cell r="W11">
            <v>0</v>
          </cell>
          <cell r="X11">
            <v>0</v>
          </cell>
          <cell r="Y11">
            <v>0</v>
          </cell>
          <cell r="Z11">
            <v>0</v>
          </cell>
          <cell r="AA11">
            <v>0</v>
          </cell>
          <cell r="AB11">
            <v>0</v>
          </cell>
          <cell r="AC11">
            <v>0</v>
          </cell>
          <cell r="AD11">
            <v>0</v>
          </cell>
          <cell r="AE11">
            <v>0</v>
          </cell>
          <cell r="AF11">
            <v>0</v>
          </cell>
          <cell r="AG11">
            <v>0</v>
          </cell>
          <cell r="AH11">
            <v>0</v>
          </cell>
          <cell r="AI11">
            <v>0</v>
          </cell>
          <cell r="AJ11">
            <v>0</v>
          </cell>
          <cell r="AK11">
            <v>0</v>
          </cell>
          <cell r="AL11">
            <v>0</v>
          </cell>
          <cell r="AM11">
            <v>0</v>
          </cell>
          <cell r="AN11">
            <v>0</v>
          </cell>
          <cell r="AO11">
            <v>0</v>
          </cell>
          <cell r="AP11">
            <v>0</v>
          </cell>
          <cell r="AQ11">
            <v>0</v>
          </cell>
          <cell r="AR11">
            <v>0</v>
          </cell>
          <cell r="AS11">
            <v>0</v>
          </cell>
          <cell r="AT11">
            <v>0</v>
          </cell>
          <cell r="AU11">
            <v>0</v>
          </cell>
          <cell r="AV11">
            <v>0</v>
          </cell>
          <cell r="AW11">
            <v>0</v>
          </cell>
          <cell r="AX11">
            <v>0</v>
          </cell>
          <cell r="AY11">
            <v>0</v>
          </cell>
          <cell r="AZ11">
            <v>0</v>
          </cell>
          <cell r="BA11">
            <v>0</v>
          </cell>
          <cell r="BB11">
            <v>0</v>
          </cell>
          <cell r="BC11">
            <v>0</v>
          </cell>
          <cell r="BD11">
            <v>0</v>
          </cell>
          <cell r="BE11">
            <v>0</v>
          </cell>
          <cell r="BF11">
            <v>0</v>
          </cell>
          <cell r="BG11">
            <v>0</v>
          </cell>
          <cell r="BH11">
            <v>0</v>
          </cell>
          <cell r="BI11">
            <v>0</v>
          </cell>
          <cell r="BJ11">
            <v>0</v>
          </cell>
          <cell r="BK11">
            <v>0</v>
          </cell>
          <cell r="BL11">
            <v>0</v>
          </cell>
          <cell r="BM11">
            <v>0</v>
          </cell>
          <cell r="BN11">
            <v>0</v>
          </cell>
          <cell r="BO11">
            <v>0</v>
          </cell>
          <cell r="BP11">
            <v>0</v>
          </cell>
          <cell r="BQ11">
            <v>0</v>
          </cell>
          <cell r="BR11">
            <v>0</v>
          </cell>
          <cell r="BS11">
            <v>0</v>
          </cell>
          <cell r="BT11">
            <v>0</v>
          </cell>
          <cell r="BU11">
            <v>0</v>
          </cell>
          <cell r="BV11">
            <v>0</v>
          </cell>
          <cell r="BW11">
            <v>0</v>
          </cell>
          <cell r="BX11">
            <v>0</v>
          </cell>
          <cell r="BY11">
            <v>0</v>
          </cell>
          <cell r="BZ11">
            <v>0</v>
          </cell>
          <cell r="CA11">
            <v>0</v>
          </cell>
          <cell r="CB11">
            <v>0</v>
          </cell>
          <cell r="CC11">
            <v>0</v>
          </cell>
          <cell r="CD11">
            <v>0</v>
          </cell>
          <cell r="CE11">
            <v>0</v>
          </cell>
          <cell r="CF11">
            <v>0</v>
          </cell>
          <cell r="CG11">
            <v>0</v>
          </cell>
        </row>
      </sheetData>
      <sheetData sheetId="21">
        <row r="11">
          <cell r="G11" t="str">
            <v>Информация с официального сайта Банка России</v>
          </cell>
        </row>
      </sheetData>
      <sheetData sheetId="22"/>
      <sheetData sheetId="23">
        <row r="12">
          <cell r="F12">
            <v>940.47266370947932</v>
          </cell>
        </row>
        <row r="14">
          <cell r="F14">
            <v>15827.997028730506</v>
          </cell>
        </row>
        <row r="15">
          <cell r="F15">
            <v>0.25</v>
          </cell>
        </row>
        <row r="18">
          <cell r="F18">
            <v>15</v>
          </cell>
        </row>
        <row r="19">
          <cell r="F19">
            <v>3741.3369093945325</v>
          </cell>
        </row>
        <row r="20">
          <cell r="F20">
            <v>2.1999999999999999E-2</v>
          </cell>
        </row>
        <row r="21">
          <cell r="F21">
            <v>10</v>
          </cell>
        </row>
        <row r="22">
          <cell r="F22">
            <v>9.5576411518206239</v>
          </cell>
        </row>
        <row r="23">
          <cell r="F23">
            <v>3.0000000000000001E-3</v>
          </cell>
        </row>
        <row r="24">
          <cell r="F24">
            <v>3185.880383940208</v>
          </cell>
        </row>
      </sheetData>
      <sheetData sheetId="24">
        <row r="12">
          <cell r="F12" t="str">
            <v>Налоговый кодекс РФ</v>
          </cell>
        </row>
      </sheetData>
      <sheetData sheetId="25">
        <row r="12">
          <cell r="F12">
            <v>542.68666200584585</v>
          </cell>
        </row>
        <row r="16">
          <cell r="F16">
            <v>1652.5</v>
          </cell>
        </row>
        <row r="17">
          <cell r="F17">
            <v>73547</v>
          </cell>
        </row>
        <row r="18">
          <cell r="F18">
            <v>0.02</v>
          </cell>
        </row>
        <row r="19">
          <cell r="F19">
            <v>12104</v>
          </cell>
        </row>
        <row r="20">
          <cell r="F20">
            <v>1.4999999999999999E-2</v>
          </cell>
        </row>
        <row r="21">
          <cell r="F21">
            <v>1933.1949342509995</v>
          </cell>
        </row>
        <row r="22">
          <cell r="F22">
            <v>3.6112641666666665</v>
          </cell>
        </row>
        <row r="23">
          <cell r="F23">
            <v>180</v>
          </cell>
        </row>
        <row r="24">
          <cell r="F24">
            <v>8497.1999999999989</v>
          </cell>
        </row>
        <row r="25">
          <cell r="F25">
            <v>0.35</v>
          </cell>
        </row>
        <row r="26">
          <cell r="F26">
            <v>79.717680000000001</v>
          </cell>
        </row>
        <row r="27">
          <cell r="F27">
            <v>1291.2863994686898</v>
          </cell>
        </row>
        <row r="28">
          <cell r="F28">
            <v>991.77142816335618</v>
          </cell>
        </row>
        <row r="29">
          <cell r="F29">
            <v>299.51497130533357</v>
          </cell>
        </row>
        <row r="30">
          <cell r="F30">
            <v>2793.0487990324232</v>
          </cell>
        </row>
        <row r="33">
          <cell r="F33">
            <v>1554.7185999298906</v>
          </cell>
        </row>
        <row r="35">
          <cell r="F35">
            <v>18.902267999999999</v>
          </cell>
        </row>
        <row r="36">
          <cell r="F36">
            <v>14319.9</v>
          </cell>
        </row>
        <row r="37">
          <cell r="F37">
            <v>1.32</v>
          </cell>
        </row>
      </sheetData>
      <sheetData sheetId="26">
        <row r="12">
          <cell r="F12" t="str">
            <v>Постановление Правительства Российской Федерации от 17.04.2024 № 492</v>
          </cell>
        </row>
      </sheetData>
      <sheetData sheetId="27">
        <row r="8">
          <cell r="F8" t="str">
            <v>нет</v>
          </cell>
        </row>
        <row r="15">
          <cell r="D15" t="str">
            <v>АО "Новосибирскэнергосбыт"</v>
          </cell>
        </row>
        <row r="21">
          <cell r="D21">
            <v>0</v>
          </cell>
        </row>
      </sheetData>
      <sheetData sheetId="28">
        <row r="11">
          <cell r="E11">
            <v>1871</v>
          </cell>
        </row>
        <row r="12">
          <cell r="E12">
            <v>1636</v>
          </cell>
        </row>
        <row r="13">
          <cell r="E13">
            <v>204</v>
          </cell>
        </row>
        <row r="16">
          <cell r="E16">
            <v>0</v>
          </cell>
        </row>
        <row r="17">
          <cell r="E17">
            <v>21.88</v>
          </cell>
        </row>
        <row r="18">
          <cell r="E18">
            <v>0</v>
          </cell>
        </row>
        <row r="19">
          <cell r="E19">
            <v>14.63</v>
          </cell>
        </row>
      </sheetData>
      <sheetData sheetId="29"/>
      <sheetData sheetId="30">
        <row r="12">
          <cell r="F12">
            <v>112.69683050013802</v>
          </cell>
        </row>
        <row r="17">
          <cell r="F17">
            <v>0.02</v>
          </cell>
        </row>
      </sheetData>
      <sheetData sheetId="31">
        <row r="12">
          <cell r="F12" t="str">
            <v>-</v>
          </cell>
        </row>
      </sheetData>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нструкция"/>
      <sheetName val="Структура"/>
      <sheetName val="Содержание"/>
      <sheetName val="И1"/>
      <sheetName val="Инвест.об."/>
      <sheetName val="И2"/>
      <sheetName val="И2.1"/>
      <sheetName val="С1"/>
      <sheetName val="С1.1"/>
      <sheetName val="С1.2"/>
      <sheetName val="Data1.2"/>
      <sheetName val="С1.3"/>
      <sheetName val="Data1.3"/>
      <sheetName val="С2"/>
      <sheetName val="С2.1"/>
      <sheetName val="Data2.1"/>
      <sheetName val="С2.2"/>
      <sheetName val="С2.3"/>
      <sheetName val="С2.4"/>
      <sheetName val="Data2.4"/>
      <sheetName val="С2.5"/>
      <sheetName val="С2.6"/>
      <sheetName val="Data2.6"/>
      <sheetName val="С3"/>
      <sheetName val="С3.1"/>
      <sheetName val="С4"/>
      <sheetName val="С4.1"/>
      <sheetName val="С4.2"/>
      <sheetName val="С4.3"/>
      <sheetName val="С4.4"/>
      <sheetName val="С5"/>
      <sheetName val="С6"/>
      <sheetName val="И3"/>
      <sheetName val="Проверка"/>
      <sheetName val="ИПЦ_ИПГ"/>
      <sheetName val="АК_прогноз"/>
      <sheetName val="ПУЦ (п.67)"/>
      <sheetName val="АК_прогноз_j"/>
      <sheetName val="Гр&amp;ПУЦ_v1"/>
      <sheetName val="Заморозка"/>
      <sheetName val="ИПГ_мо"/>
      <sheetName val="ИПГ_рег"/>
      <sheetName val="Темп VS ИПГ"/>
      <sheetName val="МУ770_Т1"/>
      <sheetName val="Гр&amp;ПУЦ_v2"/>
      <sheetName val="Системный"/>
    </sheetNames>
    <sheetDataSet>
      <sheetData sheetId="0"/>
      <sheetData sheetId="1"/>
      <sheetData sheetId="2"/>
      <sheetData sheetId="3">
        <row r="8">
          <cell r="D8" t="str">
            <v>Период регулирования (i)-й</v>
          </cell>
        </row>
        <row r="14">
          <cell r="E14" t="str">
            <v>село Преображенка, Искитимский муниципальный район</v>
          </cell>
        </row>
        <row r="16">
          <cell r="E16" t="str">
            <v xml:space="preserve"> (50615419101)</v>
          </cell>
        </row>
      </sheetData>
      <sheetData sheetId="4"/>
      <sheetData sheetId="5"/>
      <sheetData sheetId="6"/>
      <sheetData sheetId="7">
        <row r="12">
          <cell r="F12">
            <v>1011.184453971724</v>
          </cell>
        </row>
      </sheetData>
      <sheetData sheetId="8">
        <row r="13">
          <cell r="E13" t="str">
            <v>уголь (вид угля не указан в топливном балансе)</v>
          </cell>
        </row>
      </sheetData>
      <sheetData sheetId="9"/>
      <sheetData sheetId="10"/>
      <sheetData sheetId="11"/>
      <sheetData sheetId="12"/>
      <sheetData sheetId="13">
        <row r="12">
          <cell r="F12">
            <v>3063.2235383547568</v>
          </cell>
        </row>
      </sheetData>
      <sheetData sheetId="14">
        <row r="12">
          <cell r="E12" t="str">
            <v>V</v>
          </cell>
        </row>
      </sheetData>
      <sheetData sheetId="15"/>
      <sheetData sheetId="16">
        <row r="10">
          <cell r="E10">
            <v>1287</v>
          </cell>
        </row>
      </sheetData>
      <sheetData sheetId="17">
        <row r="11">
          <cell r="E11">
            <v>9.89</v>
          </cell>
        </row>
      </sheetData>
      <sheetData sheetId="18"/>
      <sheetData sheetId="19"/>
      <sheetData sheetId="20">
        <row r="11">
          <cell r="E11">
            <v>-2.9000000000000026E-2</v>
          </cell>
        </row>
      </sheetData>
      <sheetData sheetId="21"/>
      <sheetData sheetId="22"/>
      <sheetData sheetId="23">
        <row r="12">
          <cell r="F12">
            <v>917.89815316767874</v>
          </cell>
        </row>
      </sheetData>
      <sheetData sheetId="24"/>
      <sheetData sheetId="25">
        <row r="12">
          <cell r="F12">
            <v>524.75841423490226</v>
          </cell>
        </row>
      </sheetData>
      <sheetData sheetId="26"/>
      <sheetData sheetId="27">
        <row r="8">
          <cell r="F8" t="str">
            <v>нет</v>
          </cell>
        </row>
      </sheetData>
      <sheetData sheetId="28">
        <row r="11">
          <cell r="E11">
            <v>1871</v>
          </cell>
        </row>
      </sheetData>
      <sheetData sheetId="29"/>
      <sheetData sheetId="30">
        <row r="12">
          <cell r="F12">
            <v>110.34129119458125</v>
          </cell>
        </row>
      </sheetData>
      <sheetData sheetId="31">
        <row r="12">
          <cell r="F12" t="str">
            <v>-</v>
          </cell>
        </row>
      </sheetData>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нструкция"/>
      <sheetName val="Структура"/>
      <sheetName val="Содержание"/>
      <sheetName val="И1"/>
      <sheetName val="Инвест.об."/>
      <sheetName val="И2"/>
      <sheetName val="И2.1"/>
      <sheetName val="С1"/>
      <sheetName val="С1.1"/>
      <sheetName val="С1.2"/>
      <sheetName val="Data1.2"/>
      <sheetName val="С1.3"/>
      <sheetName val="Data1.3"/>
      <sheetName val="С2"/>
      <sheetName val="С2.1"/>
      <sheetName val="Data2.1"/>
      <sheetName val="С2.2"/>
      <sheetName val="С2.3"/>
      <sheetName val="С2.4"/>
      <sheetName val="С2.5"/>
      <sheetName val="С2.6"/>
      <sheetName val="Data2.6"/>
      <sheetName val="С3"/>
      <sheetName val="С3.1"/>
      <sheetName val="С4"/>
      <sheetName val="С4.1"/>
      <sheetName val="С4.2"/>
      <sheetName val="С4.3"/>
      <sheetName val="С4.4"/>
      <sheetName val="С5"/>
      <sheetName val="С6"/>
      <sheetName val="С6.1"/>
      <sheetName val="И3"/>
      <sheetName val="Проверка"/>
      <sheetName val="Системный"/>
      <sheetName val="АК_прогноз"/>
      <sheetName val="Гр&amp;ПУЦ_v1"/>
      <sheetName val="Заморозка"/>
      <sheetName val="ИПГ_мо"/>
      <sheetName val="ИПГ_рег"/>
      <sheetName val="Темп VS ИПГ"/>
      <sheetName val="МУ770_Т1"/>
      <sheetName val="ИПЦ_ИПГ"/>
      <sheetName val="ПУЦ (п.67)"/>
      <sheetName val="Гр&amp;ПУЦ_v2"/>
      <sheetName val="Лист1"/>
      <sheetName val="Шаблон ЦАК_газ_2026_5 эт Промыш"/>
    </sheetNames>
    <sheetDataSet>
      <sheetData sheetId="0"/>
      <sheetData sheetId="1"/>
      <sheetData sheetId="2"/>
      <sheetData sheetId="3">
        <row r="8">
          <cell r="D8" t="str">
            <v>Период регулирования (i)-й</v>
          </cell>
          <cell r="E8">
            <v>2026</v>
          </cell>
        </row>
        <row r="9">
          <cell r="D9" t="str">
            <v>Период регулирования (i-1)-й</v>
          </cell>
          <cell r="E9">
            <v>2025</v>
          </cell>
        </row>
        <row r="10">
          <cell r="D10" t="str">
            <v>Период регулирования (i-2)-й</v>
          </cell>
          <cell r="E10">
            <v>2024</v>
          </cell>
        </row>
        <row r="11">
          <cell r="D11" t="str">
            <v>Базовый год (б)</v>
          </cell>
          <cell r="E11">
            <v>2019</v>
          </cell>
        </row>
        <row r="13">
          <cell r="D13" t="str">
            <v>Субъект Российской Федерации</v>
          </cell>
          <cell r="E13" t="str">
            <v>Новосибирская область</v>
          </cell>
        </row>
        <row r="14">
          <cell r="D14" t="str">
            <v>Тип муниципального образования (выберите из списка)</v>
          </cell>
        </row>
        <row r="15">
          <cell r="D15" t="str">
            <v/>
          </cell>
          <cell r="E15">
            <v>0</v>
          </cell>
        </row>
        <row r="16">
          <cell r="D16" t="str">
            <v>Код ОКТМО</v>
          </cell>
        </row>
        <row r="17">
          <cell r="D17" t="str">
            <v>Система теплоснабжения</v>
          </cell>
          <cell r="E17">
            <v>0</v>
          </cell>
        </row>
        <row r="18">
          <cell r="D18" t="str">
            <v>Вид топлива, использование которого преобладает в системе теплоснабжения</v>
          </cell>
          <cell r="E18" t="str">
            <v>Газ</v>
          </cell>
        </row>
      </sheetData>
      <sheetData sheetId="4"/>
      <sheetData sheetId="5"/>
      <sheetData sheetId="6"/>
      <sheetData sheetId="7">
        <row r="12">
          <cell r="F12">
            <v>1278.3072413778675</v>
          </cell>
        </row>
        <row r="13">
          <cell r="F13">
            <v>156.1</v>
          </cell>
        </row>
        <row r="16">
          <cell r="F16">
            <v>7000</v>
          </cell>
        </row>
        <row r="17">
          <cell r="F17">
            <v>1.1285714285714286</v>
          </cell>
        </row>
        <row r="20">
          <cell r="F20">
            <v>22.307053372799995</v>
          </cell>
        </row>
        <row r="21">
          <cell r="F21">
            <v>21.531904799999996</v>
          </cell>
        </row>
        <row r="22">
          <cell r="F22">
            <v>1.036</v>
          </cell>
        </row>
        <row r="23">
          <cell r="F23" t="str">
            <v>-</v>
          </cell>
        </row>
      </sheetData>
      <sheetData sheetId="8">
        <row r="9">
          <cell r="I9" t="str">
            <v>цены (тарифы), подлежащие государственному регулированию, действовавшие на день окончания (i-2)-го расчетного периода в системе теплоснабжения</v>
          </cell>
        </row>
        <row r="16">
          <cell r="E16">
            <v>7900</v>
          </cell>
        </row>
        <row r="20">
          <cell r="E20">
            <v>0.21299999999999999</v>
          </cell>
        </row>
        <row r="21">
          <cell r="E21">
            <v>9.6000000000000002E-2</v>
          </cell>
        </row>
        <row r="25">
          <cell r="E25" t="str">
            <v>ООО "Газпром межрегионгаз Новосибирск", ООО "Газпром газораспределение Томск" (с 17.02.2025 ООО "Газпром газораспределение Сибирь")</v>
          </cell>
        </row>
        <row r="26">
          <cell r="D26" t="str">
            <v>Среднеарифметическое значение между установленными предельными максимальным и минимальным уровнями оптовых цен, действовавшими на день окончания (i-2)-го расчетного периода регулирования в системе теплоснабжения, без НДС, руб./тыс. куб. м</v>
          </cell>
          <cell r="E26">
            <v>5670</v>
          </cell>
        </row>
        <row r="27">
          <cell r="D27" t="str">
            <v>Тариф на услуги по транспортировке газа по газораспределительным сетям, действовавший на день окончания (i-2)-го расчетного периода регулирования в системе теплоснабжения, без НДС, руб./тыс. куб. м</v>
          </cell>
          <cell r="E27">
            <v>689.14</v>
          </cell>
        </row>
        <row r="28">
          <cell r="D28" t="str">
            <v>Размер платы за снабженческо-сбытовые услуги, действовавший на день окончания (i-2)-го расчетного периода регулирования в системе теплоснабжения, без НДС, руб./тыс. куб. м</v>
          </cell>
          <cell r="E28">
            <v>144.72999999999999</v>
          </cell>
        </row>
        <row r="29">
          <cell r="D29" t="str">
            <v>Специальная надбавка к тарифам на услуги по транспортировке газа по газораспределительным сетям, действовавшая на день окончания (i-2)-го расчетного периода регулирования в системе теплоснабжения, без НДС, руб./тыс. куб. м</v>
          </cell>
          <cell r="E29">
            <v>206.25</v>
          </cell>
        </row>
        <row r="32">
          <cell r="E32">
            <v>6710.12</v>
          </cell>
        </row>
      </sheetData>
      <sheetData sheetId="9"/>
      <sheetData sheetId="10"/>
      <sheetData sheetId="11">
        <row r="9">
          <cell r="G9">
            <v>0</v>
          </cell>
        </row>
      </sheetData>
      <sheetData sheetId="12"/>
      <sheetData sheetId="13">
        <row r="12">
          <cell r="F12">
            <v>2138.4809328120286</v>
          </cell>
        </row>
        <row r="13">
          <cell r="F13">
            <v>119259.45174981897</v>
          </cell>
        </row>
        <row r="14">
          <cell r="F14">
            <v>64899</v>
          </cell>
        </row>
        <row r="15">
          <cell r="F15">
            <v>1.071</v>
          </cell>
        </row>
        <row r="16">
          <cell r="F16">
            <v>1</v>
          </cell>
        </row>
        <row r="17">
          <cell r="F17">
            <v>1</v>
          </cell>
        </row>
        <row r="18">
          <cell r="F18">
            <v>40220.845230503684</v>
          </cell>
        </row>
        <row r="19">
          <cell r="F19">
            <v>0</v>
          </cell>
        </row>
        <row r="20">
          <cell r="F20">
            <v>23441.524932855718</v>
          </cell>
        </row>
        <row r="21">
          <cell r="F21">
            <v>1</v>
          </cell>
        </row>
        <row r="22">
          <cell r="F22">
            <v>24548.869037237404</v>
          </cell>
        </row>
        <row r="23">
          <cell r="F23">
            <v>21</v>
          </cell>
        </row>
        <row r="26">
          <cell r="F26">
            <v>2892</v>
          </cell>
        </row>
        <row r="28">
          <cell r="F28">
            <v>379.2714742785962</v>
          </cell>
        </row>
        <row r="29">
          <cell r="F29">
            <v>0.44209422600000003</v>
          </cell>
        </row>
        <row r="30">
          <cell r="F30">
            <v>500</v>
          </cell>
        </row>
        <row r="31">
          <cell r="F31">
            <v>0.21369165990259753</v>
          </cell>
        </row>
        <row r="32">
          <cell r="F32">
            <v>0.20047619047619047</v>
          </cell>
        </row>
        <row r="33">
          <cell r="F33">
            <v>0.13880000000000001</v>
          </cell>
        </row>
        <row r="34">
          <cell r="F34">
            <v>0.12640000000000001</v>
          </cell>
        </row>
        <row r="35">
          <cell r="F35">
            <v>10</v>
          </cell>
        </row>
        <row r="37">
          <cell r="F37">
            <v>1.7157947422665329</v>
          </cell>
        </row>
        <row r="39">
          <cell r="F39">
            <v>21.531904799999996</v>
          </cell>
        </row>
        <row r="40">
          <cell r="F40">
            <v>7</v>
          </cell>
        </row>
        <row r="42">
          <cell r="F42">
            <v>0.97</v>
          </cell>
        </row>
        <row r="44">
          <cell r="F44">
            <v>0.36199999999999999</v>
          </cell>
        </row>
      </sheetData>
      <sheetData sheetId="14">
        <row r="12">
          <cell r="E12" t="str">
            <v>V</v>
          </cell>
        </row>
        <row r="13">
          <cell r="E13" t="str">
            <v>6 и менее баллов</v>
          </cell>
        </row>
        <row r="14">
          <cell r="E14" t="str">
            <v>до 200</v>
          </cell>
        </row>
        <row r="15">
          <cell r="E15" t="str">
            <v>нет</v>
          </cell>
        </row>
        <row r="19">
          <cell r="E19">
            <v>0</v>
          </cell>
        </row>
        <row r="20">
          <cell r="E20">
            <v>-37</v>
          </cell>
        </row>
        <row r="23">
          <cell r="E23" t="str">
            <v>нет</v>
          </cell>
        </row>
        <row r="28">
          <cell r="E28">
            <v>5515.9310416666667</v>
          </cell>
        </row>
        <row r="29">
          <cell r="E29">
            <v>5878.6480833333326</v>
          </cell>
        </row>
      </sheetData>
      <sheetData sheetId="15"/>
      <sheetData sheetId="16">
        <row r="10">
          <cell r="E10">
            <v>1287</v>
          </cell>
        </row>
        <row r="12">
          <cell r="E12">
            <v>5.97</v>
          </cell>
        </row>
        <row r="13">
          <cell r="E13">
            <v>1</v>
          </cell>
        </row>
        <row r="14">
          <cell r="E14">
            <v>12104</v>
          </cell>
        </row>
        <row r="15">
          <cell r="E15">
            <v>4.8000000000000001E-2</v>
          </cell>
        </row>
        <row r="16">
          <cell r="E16">
            <v>1</v>
          </cell>
        </row>
      </sheetData>
      <sheetData sheetId="17">
        <row r="11">
          <cell r="E11">
            <v>5.45</v>
          </cell>
        </row>
        <row r="12">
          <cell r="E12">
            <v>0.2</v>
          </cell>
        </row>
        <row r="13">
          <cell r="E13">
            <v>300</v>
          </cell>
        </row>
        <row r="14">
          <cell r="E14">
            <v>61211</v>
          </cell>
        </row>
        <row r="15">
          <cell r="E15">
            <v>45675</v>
          </cell>
        </row>
        <row r="16">
          <cell r="E16">
            <v>65637</v>
          </cell>
        </row>
        <row r="17">
          <cell r="E17">
            <v>31684</v>
          </cell>
        </row>
        <row r="21">
          <cell r="E21" t="str">
            <v>МУП г. Новосибирска "Горводоканал"</v>
          </cell>
        </row>
        <row r="22">
          <cell r="E22">
            <v>20170.833333333332</v>
          </cell>
        </row>
        <row r="23">
          <cell r="E23">
            <v>18020</v>
          </cell>
        </row>
        <row r="25">
          <cell r="E25" t="str">
            <v>МУП г. Новосибирска "Горводоканал"</v>
          </cell>
        </row>
        <row r="26">
          <cell r="E26">
            <v>38240.416666666664</v>
          </cell>
        </row>
        <row r="27">
          <cell r="E27">
            <v>19570</v>
          </cell>
        </row>
      </sheetData>
      <sheetData sheetId="18">
        <row r="12">
          <cell r="F12" t="str">
            <v>Постановление Правительства Новосибирской области от 29.11.2011 №535-п (ред. 14.04.2014) "Об утверждении результатов государственной кадастровой оценки земель населенных пунктов в новосибирской области и среднего уровня кадастровой стоимости земель населенных пунктов по муниципальным районам и городским округам Новыосибирской области"</v>
          </cell>
        </row>
      </sheetData>
      <sheetData sheetId="19">
        <row r="11">
          <cell r="E11">
            <v>-2.9000000000000026E-2</v>
          </cell>
          <cell r="F11">
            <v>0.245</v>
          </cell>
          <cell r="G11">
            <v>0.114</v>
          </cell>
          <cell r="H11">
            <v>0.04</v>
          </cell>
          <cell r="I11">
            <v>0.121</v>
          </cell>
          <cell r="J11">
            <v>0.03</v>
          </cell>
          <cell r="K11">
            <v>6.0999999999999999E-2</v>
          </cell>
          <cell r="L11">
            <v>0</v>
          </cell>
          <cell r="M11">
            <v>0</v>
          </cell>
          <cell r="N11">
            <v>0</v>
          </cell>
          <cell r="O11">
            <v>0</v>
          </cell>
          <cell r="P11">
            <v>0</v>
          </cell>
          <cell r="Q11">
            <v>0</v>
          </cell>
          <cell r="R11">
            <v>0</v>
          </cell>
          <cell r="S11">
            <v>0</v>
          </cell>
          <cell r="T11">
            <v>0</v>
          </cell>
          <cell r="U11">
            <v>0</v>
          </cell>
          <cell r="V11">
            <v>0</v>
          </cell>
          <cell r="W11">
            <v>0</v>
          </cell>
          <cell r="X11">
            <v>0</v>
          </cell>
          <cell r="Y11">
            <v>0</v>
          </cell>
          <cell r="Z11">
            <v>0</v>
          </cell>
          <cell r="AA11">
            <v>0</v>
          </cell>
          <cell r="AB11">
            <v>0</v>
          </cell>
          <cell r="AC11">
            <v>0</v>
          </cell>
          <cell r="AD11">
            <v>0</v>
          </cell>
          <cell r="AE11">
            <v>0</v>
          </cell>
          <cell r="AF11">
            <v>0</v>
          </cell>
          <cell r="AG11">
            <v>0</v>
          </cell>
          <cell r="AH11">
            <v>0</v>
          </cell>
          <cell r="AI11">
            <v>0</v>
          </cell>
          <cell r="AJ11">
            <v>0</v>
          </cell>
          <cell r="AK11">
            <v>0</v>
          </cell>
          <cell r="AL11">
            <v>0</v>
          </cell>
          <cell r="AM11">
            <v>0</v>
          </cell>
          <cell r="AN11">
            <v>0</v>
          </cell>
          <cell r="AO11">
            <v>0</v>
          </cell>
          <cell r="AP11">
            <v>0</v>
          </cell>
          <cell r="AQ11">
            <v>0</v>
          </cell>
          <cell r="AR11">
            <v>0</v>
          </cell>
          <cell r="AS11">
            <v>0</v>
          </cell>
          <cell r="AT11">
            <v>0</v>
          </cell>
          <cell r="AU11">
            <v>0</v>
          </cell>
          <cell r="AV11">
            <v>0</v>
          </cell>
          <cell r="AW11">
            <v>0</v>
          </cell>
          <cell r="AX11">
            <v>0</v>
          </cell>
          <cell r="AY11">
            <v>0</v>
          </cell>
          <cell r="AZ11">
            <v>0</v>
          </cell>
          <cell r="BA11">
            <v>0</v>
          </cell>
          <cell r="BB11">
            <v>0</v>
          </cell>
          <cell r="BC11">
            <v>0</v>
          </cell>
          <cell r="BD11">
            <v>0</v>
          </cell>
          <cell r="BE11">
            <v>0</v>
          </cell>
          <cell r="BF11">
            <v>0</v>
          </cell>
          <cell r="BG11">
            <v>0</v>
          </cell>
          <cell r="BH11">
            <v>0</v>
          </cell>
          <cell r="BI11">
            <v>0</v>
          </cell>
          <cell r="BJ11">
            <v>0</v>
          </cell>
          <cell r="BK11">
            <v>0</v>
          </cell>
          <cell r="BL11">
            <v>0</v>
          </cell>
          <cell r="BM11">
            <v>0</v>
          </cell>
          <cell r="BN11">
            <v>0</v>
          </cell>
          <cell r="BO11">
            <v>0</v>
          </cell>
          <cell r="BP11">
            <v>0</v>
          </cell>
          <cell r="BQ11">
            <v>0</v>
          </cell>
          <cell r="BR11">
            <v>0</v>
          </cell>
          <cell r="BS11">
            <v>0</v>
          </cell>
          <cell r="BT11">
            <v>0</v>
          </cell>
          <cell r="BU11">
            <v>0</v>
          </cell>
          <cell r="BV11">
            <v>0</v>
          </cell>
          <cell r="BW11">
            <v>0</v>
          </cell>
          <cell r="BX11">
            <v>0</v>
          </cell>
          <cell r="BY11">
            <v>0</v>
          </cell>
          <cell r="BZ11">
            <v>0</v>
          </cell>
          <cell r="CA11">
            <v>0</v>
          </cell>
          <cell r="CB11">
            <v>0</v>
          </cell>
          <cell r="CC11">
            <v>0</v>
          </cell>
          <cell r="CD11">
            <v>0</v>
          </cell>
          <cell r="CE11">
            <v>0</v>
          </cell>
          <cell r="CF11">
            <v>0</v>
          </cell>
        </row>
      </sheetData>
      <sheetData sheetId="20">
        <row r="11">
          <cell r="G11" t="str">
            <v>Информация с официального сайта Банка России</v>
          </cell>
        </row>
      </sheetData>
      <sheetData sheetId="21"/>
      <sheetData sheetId="22">
        <row r="12">
          <cell r="F12">
            <v>648.30389958699197</v>
          </cell>
        </row>
        <row r="14">
          <cell r="F14">
            <v>11258.985598028818</v>
          </cell>
        </row>
        <row r="15">
          <cell r="F15">
            <v>0.25</v>
          </cell>
        </row>
        <row r="18">
          <cell r="F18">
            <v>15</v>
          </cell>
        </row>
        <row r="19">
          <cell r="F19">
            <v>2699.0944349242141</v>
          </cell>
        </row>
        <row r="20">
          <cell r="F20">
            <v>2.1999999999999999E-2</v>
          </cell>
        </row>
        <row r="21">
          <cell r="F21">
            <v>10</v>
          </cell>
        </row>
        <row r="22">
          <cell r="F22">
            <v>1.1378144228357887</v>
          </cell>
        </row>
        <row r="23">
          <cell r="F23">
            <v>3.0000000000000001E-3</v>
          </cell>
        </row>
        <row r="24">
          <cell r="F24">
            <v>379.2714742785962</v>
          </cell>
        </row>
      </sheetData>
      <sheetData sheetId="23">
        <row r="12">
          <cell r="F12" t="str">
            <v xml:space="preserve">Налоговый кодекс Российской Федерации </v>
          </cell>
        </row>
      </sheetData>
      <sheetData sheetId="24">
        <row r="12">
          <cell r="F12">
            <v>204.2743757429636</v>
          </cell>
        </row>
        <row r="16">
          <cell r="F16">
            <v>832.33500000000004</v>
          </cell>
        </row>
        <row r="17">
          <cell r="F17">
            <v>43385</v>
          </cell>
        </row>
        <row r="18">
          <cell r="F18">
            <v>1.4999999999999999E-2</v>
          </cell>
        </row>
        <row r="19">
          <cell r="F19">
            <v>12104</v>
          </cell>
        </row>
        <row r="20">
          <cell r="F20">
            <v>1.4999999999999999E-2</v>
          </cell>
        </row>
        <row r="21">
          <cell r="F21">
            <v>1221.9019409821399</v>
          </cell>
        </row>
        <row r="22">
          <cell r="F22">
            <v>3.6112641666666665</v>
          </cell>
        </row>
        <row r="23">
          <cell r="F23">
            <v>110</v>
          </cell>
        </row>
        <row r="24">
          <cell r="F24">
            <v>8497.1999999999989</v>
          </cell>
        </row>
        <row r="25">
          <cell r="F25">
            <v>0.36199999999999999</v>
          </cell>
        </row>
        <row r="26">
          <cell r="F26">
            <v>57.949419999999996</v>
          </cell>
        </row>
        <row r="27">
          <cell r="F27">
            <v>0</v>
          </cell>
        </row>
        <row r="28">
          <cell r="F28">
            <v>0</v>
          </cell>
        </row>
        <row r="29">
          <cell r="F29">
            <v>0</v>
          </cell>
        </row>
        <row r="30">
          <cell r="F30">
            <v>774.33815871668401</v>
          </cell>
        </row>
      </sheetData>
      <sheetData sheetId="25"/>
      <sheetData sheetId="26">
        <row r="8">
          <cell r="F8" t="str">
            <v>нет</v>
          </cell>
        </row>
        <row r="15">
          <cell r="D15" t="str">
            <v>АО "Новосибирскэнергосбыт"</v>
          </cell>
        </row>
        <row r="21">
          <cell r="D21">
            <v>0</v>
          </cell>
        </row>
      </sheetData>
      <sheetData sheetId="27">
        <row r="11">
          <cell r="E11">
            <v>1871</v>
          </cell>
        </row>
        <row r="12">
          <cell r="E12">
            <v>61</v>
          </cell>
        </row>
        <row r="13">
          <cell r="E13">
            <v>73</v>
          </cell>
        </row>
        <row r="16">
          <cell r="E16">
            <v>0</v>
          </cell>
        </row>
        <row r="17">
          <cell r="E17">
            <v>28.83</v>
          </cell>
        </row>
        <row r="18">
          <cell r="E18">
            <v>0</v>
          </cell>
        </row>
        <row r="19">
          <cell r="E19">
            <v>30.82</v>
          </cell>
        </row>
      </sheetData>
      <sheetData sheetId="28"/>
      <sheetData sheetId="29">
        <row r="12">
          <cell r="F12">
            <v>85.387328990397037</v>
          </cell>
        </row>
        <row r="17">
          <cell r="F17">
            <v>0.02</v>
          </cell>
        </row>
      </sheetData>
      <sheetData sheetId="30">
        <row r="12">
          <cell r="F12">
            <v>0</v>
          </cell>
        </row>
        <row r="13">
          <cell r="F13">
            <v>0</v>
          </cell>
        </row>
        <row r="19">
          <cell r="F19">
            <v>0</v>
          </cell>
        </row>
      </sheetData>
      <sheetData sheetId="31">
        <row r="11">
          <cell r="E11" t="str">
            <v>да</v>
          </cell>
        </row>
        <row r="12">
          <cell r="E12">
            <v>0</v>
          </cell>
        </row>
        <row r="17">
          <cell r="E17">
            <v>0</v>
          </cell>
        </row>
        <row r="18">
          <cell r="E18" t="str">
            <v>да</v>
          </cell>
        </row>
        <row r="19">
          <cell r="E19">
            <v>0</v>
          </cell>
        </row>
        <row r="22">
          <cell r="E22">
            <v>0</v>
          </cell>
        </row>
        <row r="23">
          <cell r="E23">
            <v>0</v>
          </cell>
        </row>
      </sheetData>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нструкция"/>
      <sheetName val="Структура"/>
      <sheetName val="Содержание"/>
      <sheetName val="И1"/>
      <sheetName val="Инвест.об."/>
      <sheetName val="И2"/>
      <sheetName val="И2.1"/>
      <sheetName val="С1"/>
      <sheetName val="С1.1"/>
      <sheetName val="С1.2"/>
      <sheetName val="Data1.2"/>
      <sheetName val="С1.3"/>
      <sheetName val="Data1.3"/>
      <sheetName val="С2"/>
      <sheetName val="С2.1"/>
      <sheetName val="Data2.1"/>
      <sheetName val="С2.2"/>
      <sheetName val="С2.3"/>
      <sheetName val="С2.4"/>
      <sheetName val="С2.5"/>
      <sheetName val="С2.6"/>
      <sheetName val="Data2.6"/>
      <sheetName val="С3"/>
      <sheetName val="С3.1"/>
      <sheetName val="С4"/>
      <sheetName val="С4.1"/>
      <sheetName val="С4.2"/>
      <sheetName val="С4.3"/>
      <sheetName val="С4.4"/>
      <sheetName val="С5"/>
      <sheetName val="С6"/>
      <sheetName val="С6.1"/>
      <sheetName val="И3"/>
      <sheetName val="Проверка"/>
      <sheetName val="Системный"/>
      <sheetName val="АК_прогноз"/>
      <sheetName val="Гр&amp;ПУЦ_v1"/>
      <sheetName val="Заморозка"/>
      <sheetName val="ИПГ_мо"/>
      <sheetName val="ИПГ_рег"/>
      <sheetName val="Темп VS ИПГ"/>
      <sheetName val="МУ770_Т1"/>
      <sheetName val="ИПЦ_ИПГ"/>
      <sheetName val="ПУЦ (п.67)"/>
      <sheetName val="Гр&amp;ПУЦ_v2"/>
      <sheetName val="Лист1"/>
    </sheetNames>
    <sheetDataSet>
      <sheetData sheetId="0"/>
      <sheetData sheetId="1"/>
      <sheetData sheetId="2"/>
      <sheetData sheetId="3">
        <row r="8">
          <cell r="D8" t="str">
            <v>Период регулирования (i)-й</v>
          </cell>
        </row>
        <row r="14">
          <cell r="E14" t="str">
            <v>поселок Керамкомбинат, Искитимский муниципальный район</v>
          </cell>
        </row>
        <row r="16">
          <cell r="E16" t="str">
            <v xml:space="preserve"> (50615420101)</v>
          </cell>
        </row>
      </sheetData>
      <sheetData sheetId="4"/>
      <sheetData sheetId="5"/>
      <sheetData sheetId="6"/>
      <sheetData sheetId="7">
        <row r="12">
          <cell r="F12">
            <v>1201.0642791911237</v>
          </cell>
        </row>
      </sheetData>
      <sheetData sheetId="8">
        <row r="16">
          <cell r="E16">
            <v>7900</v>
          </cell>
        </row>
      </sheetData>
      <sheetData sheetId="9"/>
      <sheetData sheetId="10"/>
      <sheetData sheetId="11"/>
      <sheetData sheetId="12"/>
      <sheetData sheetId="13">
        <row r="12">
          <cell r="F12">
            <v>2049.7946392543367</v>
          </cell>
        </row>
      </sheetData>
      <sheetData sheetId="14">
        <row r="12">
          <cell r="E12" t="str">
            <v>V</v>
          </cell>
        </row>
      </sheetData>
      <sheetData sheetId="15"/>
      <sheetData sheetId="16">
        <row r="10">
          <cell r="E10">
            <v>1287</v>
          </cell>
        </row>
      </sheetData>
      <sheetData sheetId="17">
        <row r="11">
          <cell r="E11">
            <v>5.45</v>
          </cell>
        </row>
      </sheetData>
      <sheetData sheetId="18"/>
      <sheetData sheetId="19">
        <row r="11">
          <cell r="E11">
            <v>-2.9000000000000026E-2</v>
          </cell>
        </row>
      </sheetData>
      <sheetData sheetId="20"/>
      <sheetData sheetId="21"/>
      <sheetData sheetId="22">
        <row r="12">
          <cell r="F12">
            <v>613.3572799725365</v>
          </cell>
        </row>
      </sheetData>
      <sheetData sheetId="23"/>
      <sheetData sheetId="24">
        <row r="12">
          <cell r="F12">
            <v>270.14962265181038</v>
          </cell>
        </row>
      </sheetData>
      <sheetData sheetId="25"/>
      <sheetData sheetId="26">
        <row r="8">
          <cell r="F8" t="str">
            <v>нет</v>
          </cell>
        </row>
      </sheetData>
      <sheetData sheetId="27">
        <row r="11">
          <cell r="E11">
            <v>1871</v>
          </cell>
        </row>
      </sheetData>
      <sheetData sheetId="28"/>
      <sheetData sheetId="29">
        <row r="12">
          <cell r="F12">
            <v>82.687316421396162</v>
          </cell>
        </row>
      </sheetData>
      <sheetData sheetId="30">
        <row r="12">
          <cell r="F12">
            <v>0</v>
          </cell>
        </row>
      </sheetData>
      <sheetData sheetId="31">
        <row r="11">
          <cell r="E11" t="str">
            <v>да</v>
          </cell>
        </row>
      </sheetData>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нструкция"/>
      <sheetName val="Структура"/>
      <sheetName val="Содержание"/>
      <sheetName val="И1"/>
      <sheetName val="Инвест.об."/>
      <sheetName val="И2"/>
      <sheetName val="И2.1"/>
      <sheetName val="С1"/>
      <sheetName val="С1.1"/>
      <sheetName val="С1.2"/>
      <sheetName val="Data1.2"/>
      <sheetName val="С1.3"/>
      <sheetName val="Data1.3"/>
      <sheetName val="С2"/>
      <sheetName val="С2.1"/>
      <sheetName val="Data2.1"/>
      <sheetName val="С2.2"/>
      <sheetName val="С2.3"/>
      <sheetName val="С2.4"/>
      <sheetName val="С2.5"/>
      <sheetName val="С2.6"/>
      <sheetName val="Data2.6"/>
      <sheetName val="С3"/>
      <sheetName val="С3.1"/>
      <sheetName val="С4"/>
      <sheetName val="С4.1"/>
      <sheetName val="С4.2"/>
      <sheetName val="С4.3"/>
      <sheetName val="С4.4"/>
      <sheetName val="С5"/>
      <sheetName val="С6"/>
      <sheetName val="С6.1"/>
      <sheetName val="И3"/>
      <sheetName val="Проверка"/>
      <sheetName val="Системный"/>
      <sheetName val="АК_прогноз"/>
      <sheetName val="Гр&amp;ПУЦ_v1"/>
      <sheetName val="Заморозка"/>
      <sheetName val="ИПГ_мо"/>
      <sheetName val="ИПГ_рег"/>
      <sheetName val="Темп VS ИПГ"/>
      <sheetName val="МУ770_Т1"/>
      <sheetName val="ИПЦ_ИПГ"/>
      <sheetName val="ПУЦ (п.67)"/>
      <sheetName val="Гр&amp;ПУЦ_v2"/>
      <sheetName val="Лист1"/>
      <sheetName val="Шаблон ЦАК_газ_2026_5 эт Совхоз"/>
    </sheetNames>
    <sheetDataSet>
      <sheetData sheetId="0"/>
      <sheetData sheetId="1"/>
      <sheetData sheetId="2"/>
      <sheetData sheetId="3">
        <row r="8">
          <cell r="D8" t="str">
            <v>Период регулирования (i)-й</v>
          </cell>
          <cell r="E8">
            <v>2026</v>
          </cell>
        </row>
        <row r="9">
          <cell r="D9" t="str">
            <v>Период регулирования (i-1)-й</v>
          </cell>
          <cell r="E9">
            <v>2025</v>
          </cell>
        </row>
        <row r="10">
          <cell r="D10" t="str">
            <v>Период регулирования (i-2)-й</v>
          </cell>
          <cell r="E10">
            <v>2024</v>
          </cell>
        </row>
        <row r="11">
          <cell r="D11" t="str">
            <v>Базовый год (б)</v>
          </cell>
          <cell r="E11">
            <v>2019</v>
          </cell>
        </row>
        <row r="13">
          <cell r="D13" t="str">
            <v>Субъект Российской Федерации</v>
          </cell>
          <cell r="E13" t="str">
            <v>Новосибирская область</v>
          </cell>
        </row>
        <row r="14">
          <cell r="D14" t="str">
            <v>Тип муниципального образования (выберите из списка)</v>
          </cell>
        </row>
        <row r="15">
          <cell r="D15" t="str">
            <v/>
          </cell>
          <cell r="E15">
            <v>0</v>
          </cell>
        </row>
        <row r="16">
          <cell r="D16" t="str">
            <v>Код ОКТМО</v>
          </cell>
        </row>
        <row r="17">
          <cell r="D17" t="str">
            <v>Система теплоснабжения</v>
          </cell>
          <cell r="E17">
            <v>0</v>
          </cell>
        </row>
        <row r="18">
          <cell r="D18" t="str">
            <v>Вид топлива, использование которого преобладает в системе теплоснабжения</v>
          </cell>
          <cell r="E18" t="str">
            <v>Газ</v>
          </cell>
        </row>
      </sheetData>
      <sheetData sheetId="4"/>
      <sheetData sheetId="5"/>
      <sheetData sheetId="6"/>
      <sheetData sheetId="7">
        <row r="12">
          <cell r="F12">
            <v>1278.3072413778675</v>
          </cell>
        </row>
        <row r="13">
          <cell r="F13">
            <v>156.1</v>
          </cell>
        </row>
        <row r="16">
          <cell r="F16">
            <v>7000</v>
          </cell>
        </row>
        <row r="17">
          <cell r="F17">
            <v>1.1285714285714286</v>
          </cell>
        </row>
        <row r="20">
          <cell r="F20">
            <v>22.307053372799995</v>
          </cell>
        </row>
        <row r="21">
          <cell r="F21">
            <v>21.531904799999996</v>
          </cell>
        </row>
        <row r="22">
          <cell r="F22">
            <v>1.036</v>
          </cell>
        </row>
        <row r="23">
          <cell r="F23" t="str">
            <v>-</v>
          </cell>
        </row>
      </sheetData>
      <sheetData sheetId="8">
        <row r="9">
          <cell r="I9" t="str">
            <v>цены (тарифы), подлежащие государственному регулированию, действовавшие на день окончания (i-2)-го расчетного периода в системе теплоснабжения</v>
          </cell>
        </row>
        <row r="16">
          <cell r="E16">
            <v>7900</v>
          </cell>
        </row>
        <row r="20">
          <cell r="E20">
            <v>0.21299999999999999</v>
          </cell>
        </row>
        <row r="21">
          <cell r="E21">
            <v>9.6000000000000002E-2</v>
          </cell>
        </row>
        <row r="25">
          <cell r="E25" t="str">
            <v>ООО "Газпром межрегионгаз Новосибирск", ООО "Газпром газораспределение Томск" (с 17.02.2025 ООО "Газпром газораспределение Сибирь")</v>
          </cell>
        </row>
        <row r="26">
          <cell r="D26" t="str">
            <v>Среднеарифметическое значение между установленными предельными максимальным и минимальным уровнями оптовых цен, действовавшими на день окончания (i-2)-го расчетного периода регулирования в системе теплоснабжения, без НДС, руб./тыс. куб. м</v>
          </cell>
          <cell r="E26">
            <v>5670</v>
          </cell>
        </row>
        <row r="27">
          <cell r="D27" t="str">
            <v>Тариф на услуги по транспортировке газа по газораспределительным сетям, действовавший на день окончания (i-2)-го расчетного периода регулирования в системе теплоснабжения, без НДС, руб./тыс. куб. м</v>
          </cell>
          <cell r="E27">
            <v>689.14</v>
          </cell>
        </row>
        <row r="28">
          <cell r="D28" t="str">
            <v>Размер платы за снабженческо-сбытовые услуги, действовавший на день окончания (i-2)-го расчетного периода регулирования в системе теплоснабжения, без НДС, руб./тыс. куб. м</v>
          </cell>
          <cell r="E28">
            <v>144.72999999999999</v>
          </cell>
        </row>
        <row r="29">
          <cell r="D29" t="str">
            <v>Специальная надбавка к тарифам на услуги по транспортировке газа по газораспределительным сетям, действовавшая на день окончания (i-2)-го расчетного периода регулирования в системе теплоснабжения, без НДС, руб./тыс. куб. м</v>
          </cell>
          <cell r="E29">
            <v>206.25</v>
          </cell>
        </row>
        <row r="32">
          <cell r="E32">
            <v>6710.12</v>
          </cell>
        </row>
      </sheetData>
      <sheetData sheetId="9"/>
      <sheetData sheetId="10"/>
      <sheetData sheetId="11">
        <row r="9">
          <cell r="G9">
            <v>0</v>
          </cell>
        </row>
      </sheetData>
      <sheetData sheetId="12"/>
      <sheetData sheetId="13">
        <row r="12">
          <cell r="F12">
            <v>2138.4809328120286</v>
          </cell>
        </row>
        <row r="13">
          <cell r="F13">
            <v>119259.45174981897</v>
          </cell>
        </row>
        <row r="14">
          <cell r="F14">
            <v>64899</v>
          </cell>
        </row>
        <row r="15">
          <cell r="F15">
            <v>1.071</v>
          </cell>
        </row>
        <row r="16">
          <cell r="F16">
            <v>1</v>
          </cell>
        </row>
        <row r="17">
          <cell r="F17">
            <v>1</v>
          </cell>
        </row>
        <row r="18">
          <cell r="F18">
            <v>40220.845230503684</v>
          </cell>
        </row>
        <row r="19">
          <cell r="F19">
            <v>0</v>
          </cell>
        </row>
        <row r="20">
          <cell r="F20">
            <v>23441.524932855718</v>
          </cell>
        </row>
        <row r="21">
          <cell r="F21">
            <v>1</v>
          </cell>
        </row>
        <row r="22">
          <cell r="F22">
            <v>24548.869037237404</v>
          </cell>
        </row>
        <row r="23">
          <cell r="F23">
            <v>21</v>
          </cell>
        </row>
        <row r="26">
          <cell r="F26">
            <v>2892</v>
          </cell>
        </row>
        <row r="28">
          <cell r="F28">
            <v>379.2714742785962</v>
          </cell>
        </row>
        <row r="29">
          <cell r="F29">
            <v>0.44209422600000003</v>
          </cell>
        </row>
        <row r="30">
          <cell r="F30">
            <v>500</v>
          </cell>
        </row>
        <row r="31">
          <cell r="F31">
            <v>0.21369165990259753</v>
          </cell>
        </row>
        <row r="32">
          <cell r="F32">
            <v>0.20047619047619047</v>
          </cell>
        </row>
        <row r="33">
          <cell r="F33">
            <v>0.13880000000000001</v>
          </cell>
        </row>
        <row r="34">
          <cell r="F34">
            <v>0.12640000000000001</v>
          </cell>
        </row>
        <row r="35">
          <cell r="F35">
            <v>10</v>
          </cell>
        </row>
        <row r="37">
          <cell r="F37">
            <v>1.7157947422665329</v>
          </cell>
        </row>
        <row r="39">
          <cell r="F39">
            <v>21.531904799999996</v>
          </cell>
        </row>
        <row r="40">
          <cell r="F40">
            <v>7</v>
          </cell>
        </row>
        <row r="42">
          <cell r="F42">
            <v>0.97</v>
          </cell>
        </row>
        <row r="44">
          <cell r="F44">
            <v>0.36199999999999999</v>
          </cell>
        </row>
      </sheetData>
      <sheetData sheetId="14">
        <row r="12">
          <cell r="E12" t="str">
            <v>V</v>
          </cell>
        </row>
        <row r="13">
          <cell r="E13" t="str">
            <v>6 и менее баллов</v>
          </cell>
        </row>
        <row r="14">
          <cell r="E14" t="str">
            <v>до 200</v>
          </cell>
        </row>
        <row r="15">
          <cell r="E15" t="str">
            <v>нет</v>
          </cell>
        </row>
        <row r="19">
          <cell r="E19">
            <v>0</v>
          </cell>
        </row>
        <row r="20">
          <cell r="E20">
            <v>-37</v>
          </cell>
        </row>
        <row r="23">
          <cell r="E23" t="str">
            <v>нет</v>
          </cell>
        </row>
        <row r="28">
          <cell r="E28">
            <v>5515.9310416666667</v>
          </cell>
        </row>
        <row r="29">
          <cell r="E29">
            <v>5878.6480833333326</v>
          </cell>
        </row>
      </sheetData>
      <sheetData sheetId="15"/>
      <sheetData sheetId="16">
        <row r="10">
          <cell r="E10">
            <v>1287</v>
          </cell>
        </row>
        <row r="12">
          <cell r="E12">
            <v>5.97</v>
          </cell>
        </row>
        <row r="13">
          <cell r="E13">
            <v>1</v>
          </cell>
        </row>
        <row r="14">
          <cell r="E14">
            <v>12104</v>
          </cell>
        </row>
        <row r="15">
          <cell r="E15">
            <v>4.8000000000000001E-2</v>
          </cell>
        </row>
        <row r="16">
          <cell r="E16">
            <v>1</v>
          </cell>
        </row>
      </sheetData>
      <sheetData sheetId="17">
        <row r="11">
          <cell r="E11">
            <v>5.45</v>
          </cell>
        </row>
        <row r="12">
          <cell r="E12">
            <v>0.2</v>
          </cell>
        </row>
        <row r="13">
          <cell r="E13">
            <v>300</v>
          </cell>
        </row>
        <row r="14">
          <cell r="E14">
            <v>61211</v>
          </cell>
        </row>
        <row r="15">
          <cell r="E15">
            <v>45675</v>
          </cell>
        </row>
        <row r="16">
          <cell r="E16">
            <v>65637</v>
          </cell>
        </row>
        <row r="17">
          <cell r="E17">
            <v>31684</v>
          </cell>
        </row>
        <row r="21">
          <cell r="E21" t="str">
            <v>МУП г. Новосибирска "Горводоканал"</v>
          </cell>
        </row>
        <row r="22">
          <cell r="E22">
            <v>20170.833333333332</v>
          </cell>
        </row>
        <row r="23">
          <cell r="E23">
            <v>18020</v>
          </cell>
        </row>
        <row r="25">
          <cell r="E25" t="str">
            <v>МУП г. Новосибирска "Горводоканал"</v>
          </cell>
        </row>
        <row r="26">
          <cell r="E26">
            <v>38240.416666666664</v>
          </cell>
        </row>
        <row r="27">
          <cell r="E27">
            <v>19570</v>
          </cell>
        </row>
      </sheetData>
      <sheetData sheetId="18">
        <row r="12">
          <cell r="F12" t="str">
            <v>Постановление Правительства Новосибирской области от 29.11.2011 №535-п (ред. 14.04.2014) "Об утверждении результатов государственной кадастровой оценки земель населенных пунктов в новосибирской области и среднего уровня кадастровой стоимости земель населенных пунктов по муниципальным районам и городским округам Новыосибирской области"</v>
          </cell>
        </row>
      </sheetData>
      <sheetData sheetId="19">
        <row r="11">
          <cell r="E11">
            <v>-2.9000000000000026E-2</v>
          </cell>
          <cell r="F11">
            <v>0.245</v>
          </cell>
          <cell r="G11">
            <v>0.114</v>
          </cell>
          <cell r="H11">
            <v>0.04</v>
          </cell>
          <cell r="I11">
            <v>0.121</v>
          </cell>
          <cell r="J11">
            <v>0.03</v>
          </cell>
          <cell r="K11">
            <v>6.0999999999999999E-2</v>
          </cell>
          <cell r="L11">
            <v>0</v>
          </cell>
          <cell r="M11">
            <v>0</v>
          </cell>
          <cell r="N11">
            <v>0</v>
          </cell>
          <cell r="O11">
            <v>0</v>
          </cell>
          <cell r="P11">
            <v>0</v>
          </cell>
          <cell r="Q11">
            <v>0</v>
          </cell>
          <cell r="R11">
            <v>0</v>
          </cell>
          <cell r="S11">
            <v>0</v>
          </cell>
          <cell r="T11">
            <v>0</v>
          </cell>
          <cell r="U11">
            <v>0</v>
          </cell>
          <cell r="V11">
            <v>0</v>
          </cell>
          <cell r="W11">
            <v>0</v>
          </cell>
          <cell r="X11">
            <v>0</v>
          </cell>
          <cell r="Y11">
            <v>0</v>
          </cell>
          <cell r="Z11">
            <v>0</v>
          </cell>
          <cell r="AA11">
            <v>0</v>
          </cell>
          <cell r="AB11">
            <v>0</v>
          </cell>
          <cell r="AC11">
            <v>0</v>
          </cell>
          <cell r="AD11">
            <v>0</v>
          </cell>
          <cell r="AE11">
            <v>0</v>
          </cell>
          <cell r="AF11">
            <v>0</v>
          </cell>
          <cell r="AG11">
            <v>0</v>
          </cell>
          <cell r="AH11">
            <v>0</v>
          </cell>
          <cell r="AI11">
            <v>0</v>
          </cell>
          <cell r="AJ11">
            <v>0</v>
          </cell>
          <cell r="AK11">
            <v>0</v>
          </cell>
          <cell r="AL11">
            <v>0</v>
          </cell>
          <cell r="AM11">
            <v>0</v>
          </cell>
          <cell r="AN11">
            <v>0</v>
          </cell>
          <cell r="AO11">
            <v>0</v>
          </cell>
          <cell r="AP11">
            <v>0</v>
          </cell>
          <cell r="AQ11">
            <v>0</v>
          </cell>
          <cell r="AR11">
            <v>0</v>
          </cell>
          <cell r="AS11">
            <v>0</v>
          </cell>
          <cell r="AT11">
            <v>0</v>
          </cell>
          <cell r="AU11">
            <v>0</v>
          </cell>
          <cell r="AV11">
            <v>0</v>
          </cell>
          <cell r="AW11">
            <v>0</v>
          </cell>
          <cell r="AX11">
            <v>0</v>
          </cell>
          <cell r="AY11">
            <v>0</v>
          </cell>
          <cell r="AZ11">
            <v>0</v>
          </cell>
          <cell r="BA11">
            <v>0</v>
          </cell>
          <cell r="BB11">
            <v>0</v>
          </cell>
          <cell r="BC11">
            <v>0</v>
          </cell>
          <cell r="BD11">
            <v>0</v>
          </cell>
          <cell r="BE11">
            <v>0</v>
          </cell>
          <cell r="BF11">
            <v>0</v>
          </cell>
          <cell r="BG11">
            <v>0</v>
          </cell>
          <cell r="BH11">
            <v>0</v>
          </cell>
          <cell r="BI11">
            <v>0</v>
          </cell>
          <cell r="BJ11">
            <v>0</v>
          </cell>
          <cell r="BK11">
            <v>0</v>
          </cell>
          <cell r="BL11">
            <v>0</v>
          </cell>
          <cell r="BM11">
            <v>0</v>
          </cell>
          <cell r="BN11">
            <v>0</v>
          </cell>
          <cell r="BO11">
            <v>0</v>
          </cell>
          <cell r="BP11">
            <v>0</v>
          </cell>
          <cell r="BQ11">
            <v>0</v>
          </cell>
          <cell r="BR11">
            <v>0</v>
          </cell>
          <cell r="BS11">
            <v>0</v>
          </cell>
          <cell r="BT11">
            <v>0</v>
          </cell>
          <cell r="BU11">
            <v>0</v>
          </cell>
          <cell r="BV11">
            <v>0</v>
          </cell>
          <cell r="BW11">
            <v>0</v>
          </cell>
          <cell r="BX11">
            <v>0</v>
          </cell>
          <cell r="BY11">
            <v>0</v>
          </cell>
          <cell r="BZ11">
            <v>0</v>
          </cell>
          <cell r="CA11">
            <v>0</v>
          </cell>
          <cell r="CB11">
            <v>0</v>
          </cell>
          <cell r="CC11">
            <v>0</v>
          </cell>
          <cell r="CD11">
            <v>0</v>
          </cell>
          <cell r="CE11">
            <v>0</v>
          </cell>
          <cell r="CF11">
            <v>0</v>
          </cell>
        </row>
      </sheetData>
      <sheetData sheetId="20">
        <row r="11">
          <cell r="G11" t="str">
            <v>Информация с официального сайта Банка России</v>
          </cell>
        </row>
      </sheetData>
      <sheetData sheetId="21"/>
      <sheetData sheetId="22">
        <row r="12">
          <cell r="F12">
            <v>648.30389958699197</v>
          </cell>
        </row>
        <row r="14">
          <cell r="F14">
            <v>11258.985598028818</v>
          </cell>
        </row>
        <row r="15">
          <cell r="F15">
            <v>0.25</v>
          </cell>
        </row>
        <row r="18">
          <cell r="F18">
            <v>15</v>
          </cell>
        </row>
        <row r="19">
          <cell r="F19">
            <v>2699.0944349242141</v>
          </cell>
        </row>
        <row r="20">
          <cell r="F20">
            <v>2.1999999999999999E-2</v>
          </cell>
        </row>
        <row r="21">
          <cell r="F21">
            <v>10</v>
          </cell>
        </row>
        <row r="22">
          <cell r="F22">
            <v>1.1378144228357887</v>
          </cell>
        </row>
        <row r="23">
          <cell r="F23">
            <v>3.0000000000000001E-3</v>
          </cell>
        </row>
        <row r="24">
          <cell r="F24">
            <v>379.2714742785962</v>
          </cell>
        </row>
      </sheetData>
      <sheetData sheetId="23">
        <row r="12">
          <cell r="F12" t="str">
            <v xml:space="preserve">Налоговый кодекс Российской Федерации </v>
          </cell>
        </row>
      </sheetData>
      <sheetData sheetId="24">
        <row r="12">
          <cell r="F12">
            <v>278.76929647128975</v>
          </cell>
        </row>
        <row r="16">
          <cell r="F16">
            <v>832.33500000000004</v>
          </cell>
        </row>
        <row r="17">
          <cell r="F17">
            <v>43385</v>
          </cell>
        </row>
        <row r="18">
          <cell r="F18">
            <v>1.4999999999999999E-2</v>
          </cell>
        </row>
        <row r="19">
          <cell r="F19">
            <v>12104</v>
          </cell>
        </row>
        <row r="20">
          <cell r="F20">
            <v>1.4999999999999999E-2</v>
          </cell>
        </row>
        <row r="21">
          <cell r="F21">
            <v>1221.9019409821399</v>
          </cell>
        </row>
        <row r="22">
          <cell r="F22">
            <v>3.6112641666666665</v>
          </cell>
        </row>
        <row r="23">
          <cell r="F23">
            <v>110</v>
          </cell>
        </row>
        <row r="24">
          <cell r="F24">
            <v>8497.1999999999989</v>
          </cell>
        </row>
        <row r="25">
          <cell r="F25">
            <v>0.36199999999999999</v>
          </cell>
        </row>
        <row r="26">
          <cell r="F26">
            <v>43.662099999999995</v>
          </cell>
        </row>
        <row r="27">
          <cell r="F27">
            <v>904.62444244124072</v>
          </cell>
        </row>
        <row r="28">
          <cell r="F28">
            <v>694.79603874135228</v>
          </cell>
        </row>
        <row r="29">
          <cell r="F29">
            <v>209.82840369988838</v>
          </cell>
        </row>
        <row r="30">
          <cell r="F30">
            <v>850.71994639315369</v>
          </cell>
        </row>
      </sheetData>
      <sheetData sheetId="25"/>
      <sheetData sheetId="26">
        <row r="8">
          <cell r="F8" t="str">
            <v>нет</v>
          </cell>
        </row>
        <row r="15">
          <cell r="D15" t="str">
            <v>АО "Новосибирскэнергосбыт"</v>
          </cell>
        </row>
        <row r="21">
          <cell r="D21">
            <v>0</v>
          </cell>
        </row>
      </sheetData>
      <sheetData sheetId="27">
        <row r="11">
          <cell r="E11">
            <v>1871</v>
          </cell>
        </row>
        <row r="12">
          <cell r="E12">
            <v>61</v>
          </cell>
        </row>
        <row r="13">
          <cell r="E13">
            <v>73</v>
          </cell>
        </row>
        <row r="16">
          <cell r="E16">
            <v>0</v>
          </cell>
        </row>
        <row r="17">
          <cell r="E17">
            <v>21.58</v>
          </cell>
        </row>
        <row r="18">
          <cell r="E18">
            <v>0</v>
          </cell>
        </row>
        <row r="19">
          <cell r="E19">
            <v>26.98</v>
          </cell>
        </row>
      </sheetData>
      <sheetData sheetId="28"/>
      <sheetData sheetId="29">
        <row r="12">
          <cell r="F12">
            <v>86.877227404963563</v>
          </cell>
        </row>
        <row r="17">
          <cell r="F17">
            <v>0.02</v>
          </cell>
        </row>
      </sheetData>
      <sheetData sheetId="30">
        <row r="12">
          <cell r="F12">
            <v>0</v>
          </cell>
        </row>
        <row r="13">
          <cell r="F13">
            <v>0</v>
          </cell>
        </row>
        <row r="19">
          <cell r="F19">
            <v>0</v>
          </cell>
        </row>
      </sheetData>
      <sheetData sheetId="31">
        <row r="11">
          <cell r="E11" t="str">
            <v>да</v>
          </cell>
        </row>
        <row r="12">
          <cell r="E12">
            <v>0</v>
          </cell>
        </row>
        <row r="17">
          <cell r="E17">
            <v>0</v>
          </cell>
        </row>
        <row r="18">
          <cell r="E18" t="str">
            <v>да</v>
          </cell>
        </row>
        <row r="19">
          <cell r="E19">
            <v>0</v>
          </cell>
        </row>
        <row r="22">
          <cell r="E22">
            <v>0</v>
          </cell>
        </row>
        <row r="23">
          <cell r="E23">
            <v>0</v>
          </cell>
        </row>
      </sheetData>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нструкция"/>
      <sheetName val="Структура"/>
      <sheetName val="Содержание"/>
      <sheetName val="И1"/>
      <sheetName val="Инвест.об."/>
      <sheetName val="И2"/>
      <sheetName val="И2.1"/>
      <sheetName val="С1"/>
      <sheetName val="С1.1"/>
      <sheetName val="С1.2"/>
      <sheetName val="Data1.2"/>
      <sheetName val="С1.3"/>
      <sheetName val="Data1.3"/>
      <sheetName val="С2"/>
      <sheetName val="С2.1"/>
      <sheetName val="Data2.1"/>
      <sheetName val="С2.2"/>
      <sheetName val="С2.3"/>
      <sheetName val="С2.4"/>
      <sheetName val="С2.5"/>
      <sheetName val="С2.6"/>
      <sheetName val="Data2.6"/>
      <sheetName val="С3"/>
      <sheetName val="С3.1"/>
      <sheetName val="С4"/>
      <sheetName val="С4.1"/>
      <sheetName val="С4.2"/>
      <sheetName val="С4.3"/>
      <sheetName val="С4.4"/>
      <sheetName val="С5"/>
      <sheetName val="С6"/>
      <sheetName val="С6.1"/>
      <sheetName val="И3"/>
      <sheetName val="Проверка"/>
      <sheetName val="Системный"/>
      <sheetName val="АК_прогноз"/>
      <sheetName val="Гр&amp;ПУЦ_v1"/>
      <sheetName val="Заморозка"/>
      <sheetName val="ИПГ_мо"/>
      <sheetName val="ИПГ_рег"/>
      <sheetName val="Темп VS ИПГ"/>
      <sheetName val="МУ770_Т1"/>
      <sheetName val="ИПЦ_ИПГ"/>
      <sheetName val="ПУЦ (п.67)"/>
      <sheetName val="Гр&amp;ПУЦ_v2"/>
      <sheetName val="Лист1"/>
    </sheetNames>
    <sheetDataSet>
      <sheetData sheetId="0"/>
      <sheetData sheetId="1"/>
      <sheetData sheetId="2"/>
      <sheetData sheetId="3">
        <row r="8">
          <cell r="D8" t="str">
            <v>Период регулирования (i)-й</v>
          </cell>
        </row>
        <row r="14">
          <cell r="E14" t="str">
            <v>село Лебедевка, Искитимский муниципальный район</v>
          </cell>
        </row>
        <row r="16">
          <cell r="E16" t="str">
            <v xml:space="preserve"> (50615422101)</v>
          </cell>
        </row>
      </sheetData>
      <sheetData sheetId="4"/>
      <sheetData sheetId="5"/>
      <sheetData sheetId="6"/>
      <sheetData sheetId="7">
        <row r="12">
          <cell r="F12">
            <v>1201.0642791911237</v>
          </cell>
        </row>
      </sheetData>
      <sheetData sheetId="8">
        <row r="16">
          <cell r="E16">
            <v>7900</v>
          </cell>
        </row>
      </sheetData>
      <sheetData sheetId="9"/>
      <sheetData sheetId="10"/>
      <sheetData sheetId="11"/>
      <sheetData sheetId="12"/>
      <sheetData sheetId="13">
        <row r="12">
          <cell r="F12">
            <v>2049.7946392543367</v>
          </cell>
        </row>
      </sheetData>
      <sheetData sheetId="14">
        <row r="12">
          <cell r="E12" t="str">
            <v>V</v>
          </cell>
        </row>
      </sheetData>
      <sheetData sheetId="15"/>
      <sheetData sheetId="16">
        <row r="10">
          <cell r="E10">
            <v>1287</v>
          </cell>
        </row>
      </sheetData>
      <sheetData sheetId="17">
        <row r="11">
          <cell r="E11">
            <v>5.45</v>
          </cell>
        </row>
      </sheetData>
      <sheetData sheetId="18"/>
      <sheetData sheetId="19">
        <row r="11">
          <cell r="E11">
            <v>-2.9000000000000026E-2</v>
          </cell>
        </row>
      </sheetData>
      <sheetData sheetId="20"/>
      <sheetData sheetId="21"/>
      <sheetData sheetId="22">
        <row r="12">
          <cell r="F12">
            <v>613.3572799725365</v>
          </cell>
        </row>
      </sheetData>
      <sheetData sheetId="23"/>
      <sheetData sheetId="24">
        <row r="12">
          <cell r="F12">
            <v>268.99315553487406</v>
          </cell>
        </row>
      </sheetData>
      <sheetData sheetId="25"/>
      <sheetData sheetId="26">
        <row r="8">
          <cell r="F8" t="str">
            <v>нет</v>
          </cell>
        </row>
      </sheetData>
      <sheetData sheetId="27">
        <row r="11">
          <cell r="E11">
            <v>1871</v>
          </cell>
        </row>
      </sheetData>
      <sheetData sheetId="28"/>
      <sheetData sheetId="29">
        <row r="12">
          <cell r="F12">
            <v>82.664187079057427</v>
          </cell>
        </row>
      </sheetData>
      <sheetData sheetId="30">
        <row r="12">
          <cell r="F12">
            <v>0</v>
          </cell>
        </row>
      </sheetData>
      <sheetData sheetId="31">
        <row r="11">
          <cell r="E11" t="str">
            <v>да</v>
          </cell>
        </row>
      </sheetData>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нструкция"/>
      <sheetName val="Структура"/>
      <sheetName val="Содержание"/>
      <sheetName val="И1"/>
      <sheetName val="Инвест.об."/>
      <sheetName val="И2"/>
      <sheetName val="И2.1"/>
      <sheetName val="С1"/>
      <sheetName val="С1.1"/>
      <sheetName val="С1.2"/>
      <sheetName val="Data1.2"/>
      <sheetName val="С1.3"/>
      <sheetName val="Data1.3"/>
      <sheetName val="С2"/>
      <sheetName val="С2.1"/>
      <sheetName val="Data2.1"/>
      <sheetName val="С2.2"/>
      <sheetName val="С2.3"/>
      <sheetName val="С2.4"/>
      <sheetName val="Data2.4"/>
      <sheetName val="С2.5"/>
      <sheetName val="С2.6"/>
      <sheetName val="Data2.6"/>
      <sheetName val="С3"/>
      <sheetName val="С3.1"/>
      <sheetName val="С4"/>
      <sheetName val="С4.1"/>
      <sheetName val="С4.2"/>
      <sheetName val="С4.3"/>
      <sheetName val="С4.4"/>
      <sheetName val="С5"/>
      <sheetName val="С6"/>
      <sheetName val="И3"/>
      <sheetName val="Проверка"/>
      <sheetName val="ИПЦ_ИПГ"/>
      <sheetName val="АК_прогноз"/>
      <sheetName val="ПУЦ (п.67)"/>
      <sheetName val="АК_прогноз_j"/>
      <sheetName val="Гр&amp;ПУЦ_v1"/>
      <sheetName val="Заморозка"/>
      <sheetName val="ИПГ_мо"/>
      <sheetName val="ИПГ_рег"/>
      <sheetName val="Темп VS ИПГ"/>
      <sheetName val="МУ770_Т1"/>
      <sheetName val="Гр&amp;ПУЦ_v2"/>
      <sheetName val="Системный"/>
      <sheetName val="Шаблон ЦАК_уголь_2026_5эт Совхо"/>
    </sheetNames>
    <sheetDataSet>
      <sheetData sheetId="0"/>
      <sheetData sheetId="1"/>
      <sheetData sheetId="2"/>
      <sheetData sheetId="3">
        <row r="8">
          <cell r="D8" t="str">
            <v>Период регулирования (i)-й</v>
          </cell>
          <cell r="E8">
            <v>2026</v>
          </cell>
        </row>
        <row r="9">
          <cell r="D9" t="str">
            <v>Период регулирования (i-1)-й</v>
          </cell>
          <cell r="E9">
            <v>2025</v>
          </cell>
        </row>
        <row r="10">
          <cell r="D10" t="str">
            <v>Период регулирования (i-2)-й</v>
          </cell>
          <cell r="E10">
            <v>2024</v>
          </cell>
        </row>
        <row r="11">
          <cell r="D11" t="str">
            <v>Базовый год (б)</v>
          </cell>
          <cell r="E11">
            <v>2019</v>
          </cell>
        </row>
        <row r="13">
          <cell r="D13" t="str">
            <v>Субъект Российской Федерации</v>
          </cell>
          <cell r="E13" t="str">
            <v>Новосибирская область</v>
          </cell>
        </row>
        <row r="14">
          <cell r="D14" t="str">
            <v>Тип муниципального образования (выберите из списка)</v>
          </cell>
        </row>
        <row r="15">
          <cell r="D15" t="str">
            <v/>
          </cell>
          <cell r="E15">
            <v>0</v>
          </cell>
        </row>
        <row r="16">
          <cell r="D16" t="str">
            <v>Код ОКТМО</v>
          </cell>
        </row>
        <row r="17">
          <cell r="D17" t="str">
            <v>Система теплоснабжения</v>
          </cell>
          <cell r="E17">
            <v>0</v>
          </cell>
        </row>
        <row r="18">
          <cell r="D18" t="str">
            <v>Вид топлива, использование которого преобладает в системе теплоснабжения</v>
          </cell>
        </row>
      </sheetData>
      <sheetData sheetId="4"/>
      <sheetData sheetId="5"/>
      <sheetData sheetId="6"/>
      <sheetData sheetId="7">
        <row r="12">
          <cell r="F12">
            <v>1237.4469274870999</v>
          </cell>
        </row>
        <row r="13">
          <cell r="F13">
            <v>176.4</v>
          </cell>
        </row>
        <row r="16">
          <cell r="F16">
            <v>7000</v>
          </cell>
        </row>
        <row r="17">
          <cell r="F17">
            <v>0.72857142857142854</v>
          </cell>
        </row>
        <row r="20">
          <cell r="F20">
            <v>21.588411179999994</v>
          </cell>
        </row>
        <row r="21">
          <cell r="F21">
            <v>20.818139999999996</v>
          </cell>
        </row>
        <row r="22">
          <cell r="F22">
            <v>1.0369999999999999</v>
          </cell>
        </row>
        <row r="23">
          <cell r="F23">
            <v>1.0469999999999999</v>
          </cell>
        </row>
      </sheetData>
      <sheetData sheetId="8">
        <row r="9">
          <cell r="I9" t="str">
            <v>цены (тарифы), подлежащие государственному регулированию, действовавшие на день окончания (i-2)-го расчетного периода в системе теплоснабжения</v>
          </cell>
        </row>
        <row r="13">
          <cell r="E13" t="str">
            <v>каменный уголь</v>
          </cell>
        </row>
        <row r="16">
          <cell r="E16">
            <v>5100</v>
          </cell>
        </row>
        <row r="19">
          <cell r="E19">
            <v>-0.11899999999999999</v>
          </cell>
        </row>
        <row r="20">
          <cell r="E20">
            <v>4.0000000000000001E-3</v>
          </cell>
        </row>
        <row r="27">
          <cell r="E27">
            <v>5321.88</v>
          </cell>
        </row>
      </sheetData>
      <sheetData sheetId="9"/>
      <sheetData sheetId="10"/>
      <sheetData sheetId="11">
        <row r="9">
          <cell r="G9">
            <v>0</v>
          </cell>
        </row>
      </sheetData>
      <sheetData sheetId="12"/>
      <sheetData sheetId="13">
        <row r="12">
          <cell r="F12">
            <v>3097.7824122172187</v>
          </cell>
        </row>
        <row r="13">
          <cell r="F13">
            <v>210571.60987470482</v>
          </cell>
        </row>
        <row r="14">
          <cell r="F14">
            <v>113455</v>
          </cell>
        </row>
        <row r="15">
          <cell r="F15">
            <v>1.071</v>
          </cell>
        </row>
        <row r="16">
          <cell r="F16">
            <v>1</v>
          </cell>
        </row>
        <row r="17">
          <cell r="F17">
            <v>1.01</v>
          </cell>
        </row>
        <row r="18">
          <cell r="F18">
            <v>40220.845230503684</v>
          </cell>
        </row>
        <row r="19">
          <cell r="F19">
            <v>0</v>
          </cell>
        </row>
        <row r="20">
          <cell r="F20">
            <v>23441.524932855718</v>
          </cell>
        </row>
        <row r="21">
          <cell r="F21">
            <v>1</v>
          </cell>
        </row>
        <row r="22">
          <cell r="F22">
            <v>4298.6978080550834</v>
          </cell>
        </row>
        <row r="23">
          <cell r="F23">
            <v>1990</v>
          </cell>
        </row>
        <row r="26">
          <cell r="F26">
            <v>3185.880383940208</v>
          </cell>
        </row>
        <row r="27">
          <cell r="F27">
            <v>0.44209422600000003</v>
          </cell>
        </row>
        <row r="28">
          <cell r="F28">
            <v>4200</v>
          </cell>
        </row>
        <row r="29">
          <cell r="F29">
            <v>0.21369165990259753</v>
          </cell>
        </row>
        <row r="30">
          <cell r="F30">
            <v>0.20047619047619047</v>
          </cell>
        </row>
        <row r="31">
          <cell r="F31">
            <v>0.13880000000000001</v>
          </cell>
        </row>
        <row r="32">
          <cell r="F32">
            <v>0.12640000000000001</v>
          </cell>
        </row>
        <row r="33">
          <cell r="F33">
            <v>10</v>
          </cell>
        </row>
        <row r="35">
          <cell r="F35">
            <v>1.7157947422665329</v>
          </cell>
        </row>
        <row r="37">
          <cell r="F37">
            <v>20.818139999999996</v>
          </cell>
        </row>
        <row r="38">
          <cell r="F38">
            <v>7</v>
          </cell>
        </row>
        <row r="40">
          <cell r="F40">
            <v>0.97</v>
          </cell>
        </row>
        <row r="42">
          <cell r="F42">
            <v>0.35</v>
          </cell>
        </row>
      </sheetData>
      <sheetData sheetId="14">
        <row r="12">
          <cell r="E12" t="str">
            <v>V</v>
          </cell>
        </row>
        <row r="13">
          <cell r="E13" t="str">
            <v>6 и менее баллов</v>
          </cell>
        </row>
        <row r="14">
          <cell r="E14" t="str">
            <v>от 200 до 500</v>
          </cell>
        </row>
        <row r="15">
          <cell r="E15" t="str">
            <v>нет</v>
          </cell>
        </row>
        <row r="19">
          <cell r="E19">
            <v>-38</v>
          </cell>
        </row>
        <row r="22">
          <cell r="E22" t="str">
            <v>нет</v>
          </cell>
        </row>
        <row r="27">
          <cell r="E27">
            <v>246.24401</v>
          </cell>
        </row>
        <row r="28">
          <cell r="E28">
            <v>269.12432000000001</v>
          </cell>
        </row>
      </sheetData>
      <sheetData sheetId="15"/>
      <sheetData sheetId="16">
        <row r="10">
          <cell r="E10">
            <v>1287</v>
          </cell>
        </row>
        <row r="12">
          <cell r="E12">
            <v>5.97</v>
          </cell>
        </row>
        <row r="13">
          <cell r="E13">
            <v>1</v>
          </cell>
        </row>
        <row r="14">
          <cell r="E14">
            <v>12104</v>
          </cell>
        </row>
        <row r="15">
          <cell r="E15">
            <v>4.8000000000000001E-2</v>
          </cell>
        </row>
        <row r="16">
          <cell r="E16">
            <v>1</v>
          </cell>
        </row>
      </sheetData>
      <sheetData sheetId="17">
        <row r="11">
          <cell r="E11">
            <v>9.89</v>
          </cell>
        </row>
        <row r="12">
          <cell r="E12">
            <v>0.56000000000000005</v>
          </cell>
        </row>
        <row r="13">
          <cell r="E13">
            <v>300</v>
          </cell>
        </row>
        <row r="14">
          <cell r="E14">
            <v>61211</v>
          </cell>
        </row>
        <row r="15">
          <cell r="E15">
            <v>45675</v>
          </cell>
        </row>
        <row r="16">
          <cell r="E16">
            <v>65637</v>
          </cell>
        </row>
        <row r="17">
          <cell r="E17">
            <v>31684</v>
          </cell>
        </row>
        <row r="21">
          <cell r="E21" t="str">
            <v>Муниципальное унитарное предприятие города Куйбышева Куйбышевского района Новосибирской области "Горводоканал"</v>
          </cell>
        </row>
        <row r="22">
          <cell r="E22">
            <v>8809</v>
          </cell>
        </row>
        <row r="23">
          <cell r="E23">
            <v>530.41</v>
          </cell>
        </row>
        <row r="25">
          <cell r="E25" t="str">
            <v>Муниципальное унитарное предприятие города Куйбышева Куйбышевского района Новосибирской области "Геострой"</v>
          </cell>
        </row>
        <row r="26">
          <cell r="E26">
            <v>21397</v>
          </cell>
        </row>
        <row r="27">
          <cell r="E27">
            <v>857.14</v>
          </cell>
        </row>
      </sheetData>
      <sheetData sheetId="18">
        <row r="12">
          <cell r="F12" t="str">
            <v>Постановление Правительства Новосибирской области от 29.11.2011 №535-п (ред. 14.04.2014) "Об утверждении результатов государственной кадастровой оценки земель населенных пунктов в новосибирской области и среднего уровня кадастровой стоимости земель населенных пунктов по муниципальным районам и городским округам Новосибирской области"</v>
          </cell>
        </row>
      </sheetData>
      <sheetData sheetId="19"/>
      <sheetData sheetId="20">
        <row r="11">
          <cell r="E11">
            <v>-2.9000000000000026E-2</v>
          </cell>
          <cell r="F11">
            <v>0.245</v>
          </cell>
          <cell r="G11">
            <v>0.114</v>
          </cell>
          <cell r="H11">
            <v>0.04</v>
          </cell>
          <cell r="I11">
            <v>0.121</v>
          </cell>
          <cell r="J11">
            <v>0.03</v>
          </cell>
          <cell r="K11">
            <v>6.0999999999999999E-2</v>
          </cell>
          <cell r="L11">
            <v>3.2682303599220003E-2</v>
          </cell>
          <cell r="M11">
            <v>0</v>
          </cell>
          <cell r="N11">
            <v>0</v>
          </cell>
          <cell r="O11">
            <v>0</v>
          </cell>
          <cell r="P11">
            <v>0</v>
          </cell>
          <cell r="Q11">
            <v>0</v>
          </cell>
          <cell r="R11">
            <v>0</v>
          </cell>
          <cell r="S11">
            <v>0</v>
          </cell>
          <cell r="T11">
            <v>0</v>
          </cell>
          <cell r="U11">
            <v>0</v>
          </cell>
          <cell r="V11">
            <v>0</v>
          </cell>
          <cell r="W11">
            <v>0</v>
          </cell>
          <cell r="X11">
            <v>0</v>
          </cell>
          <cell r="Y11">
            <v>0</v>
          </cell>
          <cell r="Z11">
            <v>0</v>
          </cell>
          <cell r="AA11">
            <v>0</v>
          </cell>
          <cell r="AB11">
            <v>0</v>
          </cell>
          <cell r="AC11">
            <v>0</v>
          </cell>
          <cell r="AD11">
            <v>0</v>
          </cell>
          <cell r="AE11">
            <v>0</v>
          </cell>
          <cell r="AF11">
            <v>0</v>
          </cell>
          <cell r="AG11">
            <v>0</v>
          </cell>
          <cell r="AH11">
            <v>0</v>
          </cell>
          <cell r="AI11">
            <v>0</v>
          </cell>
          <cell r="AJ11">
            <v>0</v>
          </cell>
          <cell r="AK11">
            <v>0</v>
          </cell>
          <cell r="AL11">
            <v>0</v>
          </cell>
          <cell r="AM11">
            <v>0</v>
          </cell>
          <cell r="AN11">
            <v>0</v>
          </cell>
          <cell r="AO11">
            <v>0</v>
          </cell>
          <cell r="AP11">
            <v>0</v>
          </cell>
          <cell r="AQ11">
            <v>0</v>
          </cell>
          <cell r="AR11">
            <v>0</v>
          </cell>
          <cell r="AS11">
            <v>0</v>
          </cell>
          <cell r="AT11">
            <v>0</v>
          </cell>
          <cell r="AU11">
            <v>0</v>
          </cell>
          <cell r="AV11">
            <v>0</v>
          </cell>
          <cell r="AW11">
            <v>0</v>
          </cell>
          <cell r="AX11">
            <v>0</v>
          </cell>
          <cell r="AY11">
            <v>0</v>
          </cell>
          <cell r="AZ11">
            <v>0</v>
          </cell>
          <cell r="BA11">
            <v>0</v>
          </cell>
          <cell r="BB11">
            <v>0</v>
          </cell>
          <cell r="BC11">
            <v>0</v>
          </cell>
          <cell r="BD11">
            <v>0</v>
          </cell>
          <cell r="BE11">
            <v>0</v>
          </cell>
          <cell r="BF11">
            <v>0</v>
          </cell>
          <cell r="BG11">
            <v>0</v>
          </cell>
          <cell r="BH11">
            <v>0</v>
          </cell>
          <cell r="BI11">
            <v>0</v>
          </cell>
          <cell r="BJ11">
            <v>0</v>
          </cell>
          <cell r="BK11">
            <v>0</v>
          </cell>
          <cell r="BL11">
            <v>0</v>
          </cell>
          <cell r="BM11">
            <v>0</v>
          </cell>
          <cell r="BN11">
            <v>0</v>
          </cell>
          <cell r="BO11">
            <v>0</v>
          </cell>
          <cell r="BP11">
            <v>0</v>
          </cell>
          <cell r="BQ11">
            <v>0</v>
          </cell>
          <cell r="BR11">
            <v>0</v>
          </cell>
          <cell r="BS11">
            <v>0</v>
          </cell>
          <cell r="BT11">
            <v>0</v>
          </cell>
          <cell r="BU11">
            <v>0</v>
          </cell>
          <cell r="BV11">
            <v>0</v>
          </cell>
          <cell r="BW11">
            <v>0</v>
          </cell>
          <cell r="BX11">
            <v>0</v>
          </cell>
          <cell r="BY11">
            <v>0</v>
          </cell>
          <cell r="BZ11">
            <v>0</v>
          </cell>
          <cell r="CA11">
            <v>0</v>
          </cell>
          <cell r="CB11">
            <v>0</v>
          </cell>
          <cell r="CC11">
            <v>0</v>
          </cell>
          <cell r="CD11">
            <v>0</v>
          </cell>
          <cell r="CE11">
            <v>0</v>
          </cell>
          <cell r="CF11">
            <v>0</v>
          </cell>
          <cell r="CG11">
            <v>0</v>
          </cell>
        </row>
      </sheetData>
      <sheetData sheetId="21">
        <row r="11">
          <cell r="G11" t="str">
            <v>Информация с официального сайта Банка России</v>
          </cell>
        </row>
      </sheetData>
      <sheetData sheetId="22"/>
      <sheetData sheetId="23">
        <row r="12">
          <cell r="F12">
            <v>940.47266370947932</v>
          </cell>
        </row>
        <row r="14">
          <cell r="F14">
            <v>15827.997028730506</v>
          </cell>
        </row>
        <row r="15">
          <cell r="F15">
            <v>0.25</v>
          </cell>
        </row>
        <row r="18">
          <cell r="F18">
            <v>15</v>
          </cell>
        </row>
        <row r="19">
          <cell r="F19">
            <v>3741.3369093945325</v>
          </cell>
        </row>
        <row r="20">
          <cell r="F20">
            <v>2.1999999999999999E-2</v>
          </cell>
        </row>
        <row r="21">
          <cell r="F21">
            <v>10</v>
          </cell>
        </row>
        <row r="22">
          <cell r="F22">
            <v>9.5576411518206239</v>
          </cell>
        </row>
        <row r="23">
          <cell r="F23">
            <v>3.0000000000000001E-3</v>
          </cell>
        </row>
        <row r="24">
          <cell r="F24">
            <v>3185.880383940208</v>
          </cell>
        </row>
      </sheetData>
      <sheetData sheetId="24">
        <row r="12">
          <cell r="F12" t="str">
            <v>Налоговый кодекс РФ</v>
          </cell>
        </row>
      </sheetData>
      <sheetData sheetId="25">
        <row r="12">
          <cell r="F12">
            <v>555.66194075344004</v>
          </cell>
        </row>
        <row r="16">
          <cell r="F16">
            <v>1652.5</v>
          </cell>
        </row>
        <row r="17">
          <cell r="F17">
            <v>73547</v>
          </cell>
        </row>
        <row r="18">
          <cell r="F18">
            <v>0.02</v>
          </cell>
        </row>
        <row r="19">
          <cell r="F19">
            <v>12104</v>
          </cell>
        </row>
        <row r="20">
          <cell r="F20">
            <v>1.4999999999999999E-2</v>
          </cell>
        </row>
        <row r="21">
          <cell r="F21">
            <v>1933.1949342509995</v>
          </cell>
        </row>
        <row r="22">
          <cell r="F22">
            <v>3.6112641666666665</v>
          </cell>
        </row>
        <row r="23">
          <cell r="F23">
            <v>180</v>
          </cell>
        </row>
        <row r="24">
          <cell r="F24">
            <v>8497.1999999999989</v>
          </cell>
        </row>
        <row r="25">
          <cell r="F25">
            <v>0.35</v>
          </cell>
        </row>
        <row r="26">
          <cell r="F26">
            <v>81.184979999999996</v>
          </cell>
        </row>
        <row r="27">
          <cell r="F27">
            <v>1291.2863994686898</v>
          </cell>
        </row>
        <row r="28">
          <cell r="F28">
            <v>991.77142816335618</v>
          </cell>
        </row>
        <row r="29">
          <cell r="F29">
            <v>299.51497130533357</v>
          </cell>
        </row>
        <row r="30">
          <cell r="F30">
            <v>3060.6523829135394</v>
          </cell>
        </row>
        <row r="33">
          <cell r="F33">
            <v>1822.1963045297405</v>
          </cell>
        </row>
        <row r="35">
          <cell r="F35">
            <v>18.902267999999999</v>
          </cell>
        </row>
        <row r="36">
          <cell r="F36">
            <v>14319.9</v>
          </cell>
        </row>
        <row r="37">
          <cell r="F37">
            <v>1.32</v>
          </cell>
        </row>
      </sheetData>
      <sheetData sheetId="26">
        <row r="12">
          <cell r="F12" t="str">
            <v>Постановление Правительства Российской Федерации от 17.04.2024 № 492</v>
          </cell>
        </row>
      </sheetData>
      <sheetData sheetId="27">
        <row r="8">
          <cell r="F8" t="str">
            <v>нет</v>
          </cell>
        </row>
        <row r="15">
          <cell r="D15" t="str">
            <v>АО "Новосибирскэнергосбыт"</v>
          </cell>
        </row>
        <row r="21">
          <cell r="D21">
            <v>0</v>
          </cell>
        </row>
      </sheetData>
      <sheetData sheetId="28">
        <row r="11">
          <cell r="E11">
            <v>1871</v>
          </cell>
        </row>
        <row r="12">
          <cell r="E12">
            <v>1636</v>
          </cell>
        </row>
        <row r="13">
          <cell r="E13">
            <v>204</v>
          </cell>
        </row>
        <row r="16">
          <cell r="E16">
            <v>0</v>
          </cell>
        </row>
        <row r="17">
          <cell r="E17">
            <v>21.58</v>
          </cell>
        </row>
        <row r="18">
          <cell r="E18">
            <v>0</v>
          </cell>
        </row>
        <row r="19">
          <cell r="E19">
            <v>26.98</v>
          </cell>
        </row>
      </sheetData>
      <sheetData sheetId="29"/>
      <sheetData sheetId="30">
        <row r="12">
          <cell r="F12">
            <v>116.62727888334476</v>
          </cell>
        </row>
        <row r="17">
          <cell r="F17">
            <v>0.02</v>
          </cell>
        </row>
      </sheetData>
      <sheetData sheetId="31">
        <row r="12">
          <cell r="F12" t="str">
            <v>-</v>
          </cell>
        </row>
      </sheetData>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нструкция"/>
      <sheetName val="Структура"/>
      <sheetName val="Содержание"/>
      <sheetName val="И1"/>
      <sheetName val="Инвест.об."/>
      <sheetName val="И2"/>
      <sheetName val="И2.1"/>
      <sheetName val="С1"/>
      <sheetName val="С1.1"/>
      <sheetName val="С1.2"/>
      <sheetName val="Data1.2"/>
      <sheetName val="С1.3"/>
      <sheetName val="Data1.3"/>
      <sheetName val="С2"/>
      <sheetName val="С2.1"/>
      <sheetName val="Data2.1"/>
      <sheetName val="С2.2"/>
      <sheetName val="С2.3"/>
      <sheetName val="С2.4"/>
      <sheetName val="Data2.4"/>
      <sheetName val="С2.5"/>
      <sheetName val="С2.6"/>
      <sheetName val="Data2.6"/>
      <sheetName val="С3"/>
      <sheetName val="С3.1"/>
      <sheetName val="С4"/>
      <sheetName val="С4.1"/>
      <sheetName val="С4.2"/>
      <sheetName val="С4.3"/>
      <sheetName val="С4.4"/>
      <sheetName val="С5"/>
      <sheetName val="С6"/>
      <sheetName val="И3"/>
      <sheetName val="Проверка"/>
      <sheetName val="ИПЦ_ИПГ"/>
      <sheetName val="АК_прогноз"/>
      <sheetName val="ПУЦ (п.67)"/>
      <sheetName val="АК_прогноз_j"/>
      <sheetName val="Гр&amp;ПУЦ_v1"/>
      <sheetName val="Заморозка"/>
      <sheetName val="ИПГ_мо"/>
      <sheetName val="ИПГ_рег"/>
      <sheetName val="Темп VS ИПГ"/>
      <sheetName val="МУ770_Т1"/>
      <sheetName val="Гр&amp;ПУЦ_v2"/>
      <sheetName val="Системный"/>
    </sheetNames>
    <sheetDataSet>
      <sheetData sheetId="0"/>
      <sheetData sheetId="1"/>
      <sheetData sheetId="2"/>
      <sheetData sheetId="3">
        <row r="8">
          <cell r="D8" t="str">
            <v>Период регулирования (i)-й</v>
          </cell>
        </row>
        <row r="14">
          <cell r="E14" t="str">
            <v>село Лебедевка, Искитимский муниципальный район</v>
          </cell>
        </row>
        <row r="16">
          <cell r="E16" t="str">
            <v xml:space="preserve"> (50615422101)</v>
          </cell>
        </row>
      </sheetData>
      <sheetData sheetId="4"/>
      <sheetData sheetId="5"/>
      <sheetData sheetId="6"/>
      <sheetData sheetId="7">
        <row r="12">
          <cell r="F12">
            <v>1164.1345578180392</v>
          </cell>
        </row>
      </sheetData>
      <sheetData sheetId="8">
        <row r="13">
          <cell r="E13" t="str">
            <v>уголь (вид угля не указан в топливном балансе)</v>
          </cell>
        </row>
      </sheetData>
      <sheetData sheetId="9"/>
      <sheetData sheetId="10"/>
      <sheetData sheetId="11"/>
      <sheetData sheetId="12"/>
      <sheetData sheetId="13">
        <row r="12">
          <cell r="F12">
            <v>3063.2235383547568</v>
          </cell>
        </row>
      </sheetData>
      <sheetData sheetId="14">
        <row r="12">
          <cell r="E12" t="str">
            <v>V</v>
          </cell>
        </row>
      </sheetData>
      <sheetData sheetId="15"/>
      <sheetData sheetId="16">
        <row r="10">
          <cell r="E10">
            <v>1287</v>
          </cell>
        </row>
      </sheetData>
      <sheetData sheetId="17">
        <row r="11">
          <cell r="E11">
            <v>9.89</v>
          </cell>
        </row>
      </sheetData>
      <sheetData sheetId="18"/>
      <sheetData sheetId="19"/>
      <sheetData sheetId="20">
        <row r="11">
          <cell r="E11">
            <v>-2.9000000000000026E-2</v>
          </cell>
        </row>
      </sheetData>
      <sheetData sheetId="21"/>
      <sheetData sheetId="22"/>
      <sheetData sheetId="23">
        <row r="12">
          <cell r="F12">
            <v>917.89815316767874</v>
          </cell>
        </row>
      </sheetData>
      <sheetData sheetId="24"/>
      <sheetData sheetId="25">
        <row r="12">
          <cell r="F12">
            <v>535.58776211298925</v>
          </cell>
        </row>
      </sheetData>
      <sheetData sheetId="26"/>
      <sheetData sheetId="27">
        <row r="8">
          <cell r="F8" t="str">
            <v>нет</v>
          </cell>
        </row>
      </sheetData>
      <sheetData sheetId="28">
        <row r="11">
          <cell r="E11">
            <v>1871</v>
          </cell>
        </row>
      </sheetData>
      <sheetData sheetId="29"/>
      <sheetData sheetId="30">
        <row r="12">
          <cell r="F12">
            <v>113.61688022906928</v>
          </cell>
        </row>
      </sheetData>
      <sheetData sheetId="31">
        <row r="12">
          <cell r="F12" t="str">
            <v>-</v>
          </cell>
        </row>
      </sheetData>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нструкция"/>
      <sheetName val="Структура"/>
      <sheetName val="Содержание"/>
      <sheetName val="И1"/>
      <sheetName val="Инвест.об."/>
      <sheetName val="И2"/>
      <sheetName val="И2.1"/>
      <sheetName val="С1"/>
      <sheetName val="С1.1"/>
      <sheetName val="С1.2"/>
      <sheetName val="Data1.2"/>
      <sheetName val="С1.3"/>
      <sheetName val="Data1.3"/>
      <sheetName val="С2"/>
      <sheetName val="С2.1"/>
      <sheetName val="Data2.1"/>
      <sheetName val="С2.2"/>
      <sheetName val="С2.3"/>
      <sheetName val="С2.4"/>
      <sheetName val="Data2.4"/>
      <sheetName val="С2.5"/>
      <sheetName val="С2.6"/>
      <sheetName val="Data2.6"/>
      <sheetName val="С3"/>
      <sheetName val="С3.1"/>
      <sheetName val="С4"/>
      <sheetName val="С4.1"/>
      <sheetName val="С4.2"/>
      <sheetName val="С4.3"/>
      <sheetName val="С4.4"/>
      <sheetName val="С5"/>
      <sheetName val="С6"/>
      <sheetName val="И3"/>
      <sheetName val="Проверка"/>
      <sheetName val="ИПЦ_ИПГ"/>
      <sheetName val="АК_прогноз"/>
      <sheetName val="ПУЦ (п.67)"/>
      <sheetName val="АК_прогноз_j"/>
      <sheetName val="Гр&amp;ПУЦ_v1"/>
      <sheetName val="Заморозка"/>
      <sheetName val="ИПГ_мо"/>
      <sheetName val="ИПГ_рег"/>
      <sheetName val="Темп VS ИПГ"/>
      <sheetName val="МУ770_Т1"/>
      <sheetName val="Гр&amp;ПУЦ_v2"/>
      <sheetName val="Системный"/>
      <sheetName val="Шаблон ЦАК_уголь_2026_5эт Степн"/>
    </sheetNames>
    <sheetDataSet>
      <sheetData sheetId="0"/>
      <sheetData sheetId="1"/>
      <sheetData sheetId="2"/>
      <sheetData sheetId="3">
        <row r="8">
          <cell r="D8" t="str">
            <v>Период регулирования (i)-й</v>
          </cell>
          <cell r="E8">
            <v>2026</v>
          </cell>
        </row>
        <row r="9">
          <cell r="D9" t="str">
            <v>Период регулирования (i-1)-й</v>
          </cell>
          <cell r="E9">
            <v>2025</v>
          </cell>
        </row>
        <row r="10">
          <cell r="D10" t="str">
            <v>Период регулирования (i-2)-й</v>
          </cell>
          <cell r="E10">
            <v>2024</v>
          </cell>
        </row>
        <row r="11">
          <cell r="D11" t="str">
            <v>Базовый год (б)</v>
          </cell>
          <cell r="E11">
            <v>2019</v>
          </cell>
        </row>
        <row r="13">
          <cell r="D13" t="str">
            <v>Субъект Российской Федерации</v>
          </cell>
          <cell r="E13" t="str">
            <v>Новосибирская область</v>
          </cell>
        </row>
        <row r="14">
          <cell r="D14" t="str">
            <v>Тип муниципального образования (выберите из списка)</v>
          </cell>
        </row>
        <row r="15">
          <cell r="D15" t="str">
            <v/>
          </cell>
          <cell r="E15">
            <v>0</v>
          </cell>
        </row>
        <row r="16">
          <cell r="D16" t="str">
            <v>Код ОКТМО</v>
          </cell>
        </row>
        <row r="17">
          <cell r="D17" t="str">
            <v>Система теплоснабжения</v>
          </cell>
          <cell r="E17">
            <v>0</v>
          </cell>
        </row>
        <row r="18">
          <cell r="D18" t="str">
            <v>Вид топлива, использование которого преобладает в системе теплоснабжения</v>
          </cell>
        </row>
      </sheetData>
      <sheetData sheetId="4"/>
      <sheetData sheetId="5"/>
      <sheetData sheetId="6"/>
      <sheetData sheetId="7">
        <row r="12">
          <cell r="F12">
            <v>1050.8002869835241</v>
          </cell>
        </row>
        <row r="13">
          <cell r="F13">
            <v>176.4</v>
          </cell>
        </row>
        <row r="16">
          <cell r="F16">
            <v>7000</v>
          </cell>
        </row>
        <row r="17">
          <cell r="F17">
            <v>0.72857142857142854</v>
          </cell>
        </row>
        <row r="20">
          <cell r="F20">
            <v>21.588411179999994</v>
          </cell>
        </row>
        <row r="21">
          <cell r="F21">
            <v>20.818139999999996</v>
          </cell>
        </row>
        <row r="22">
          <cell r="F22">
            <v>1.0369999999999999</v>
          </cell>
        </row>
        <row r="23">
          <cell r="F23">
            <v>1.0469999999999999</v>
          </cell>
        </row>
      </sheetData>
      <sheetData sheetId="8">
        <row r="9">
          <cell r="I9" t="str">
            <v>цены (тарифы), подлежащие государственному регулированию, действовавшие на день окончания (i-2)-го расчетного периода в системе теплоснабжения</v>
          </cell>
        </row>
        <row r="13">
          <cell r="E13" t="str">
            <v>каменный уголь</v>
          </cell>
        </row>
        <row r="16">
          <cell r="E16">
            <v>5100</v>
          </cell>
        </row>
        <row r="19">
          <cell r="E19">
            <v>-0.11899999999999999</v>
          </cell>
        </row>
        <row r="20">
          <cell r="E20">
            <v>4.0000000000000001E-3</v>
          </cell>
        </row>
        <row r="27">
          <cell r="E27">
            <v>4519.17</v>
          </cell>
        </row>
      </sheetData>
      <sheetData sheetId="9"/>
      <sheetData sheetId="10"/>
      <sheetData sheetId="11">
        <row r="9">
          <cell r="G9">
            <v>0</v>
          </cell>
        </row>
      </sheetData>
      <sheetData sheetId="12"/>
      <sheetData sheetId="13">
        <row r="12">
          <cell r="F12">
            <v>3097.7824122172187</v>
          </cell>
        </row>
        <row r="13">
          <cell r="F13">
            <v>210571.60987470482</v>
          </cell>
        </row>
        <row r="14">
          <cell r="F14">
            <v>113455</v>
          </cell>
        </row>
        <row r="15">
          <cell r="F15">
            <v>1.071</v>
          </cell>
        </row>
        <row r="16">
          <cell r="F16">
            <v>1</v>
          </cell>
        </row>
        <row r="17">
          <cell r="F17">
            <v>1.01</v>
          </cell>
        </row>
        <row r="18">
          <cell r="F18">
            <v>40220.845230503684</v>
          </cell>
        </row>
        <row r="19">
          <cell r="F19">
            <v>0</v>
          </cell>
        </row>
        <row r="20">
          <cell r="F20">
            <v>23441.524932855718</v>
          </cell>
        </row>
        <row r="21">
          <cell r="F21">
            <v>1</v>
          </cell>
        </row>
        <row r="22">
          <cell r="F22">
            <v>4298.6978080550834</v>
          </cell>
        </row>
        <row r="23">
          <cell r="F23">
            <v>1990</v>
          </cell>
        </row>
        <row r="26">
          <cell r="F26">
            <v>3185.880383940208</v>
          </cell>
        </row>
        <row r="27">
          <cell r="F27">
            <v>0.44209422600000003</v>
          </cell>
        </row>
        <row r="28">
          <cell r="F28">
            <v>4200</v>
          </cell>
        </row>
        <row r="29">
          <cell r="F29">
            <v>0.21369165990259753</v>
          </cell>
        </row>
        <row r="30">
          <cell r="F30">
            <v>0.20047619047619047</v>
          </cell>
        </row>
        <row r="31">
          <cell r="F31">
            <v>0.13880000000000001</v>
          </cell>
        </row>
        <row r="32">
          <cell r="F32">
            <v>0.12640000000000001</v>
          </cell>
        </row>
        <row r="33">
          <cell r="F33">
            <v>10</v>
          </cell>
        </row>
        <row r="35">
          <cell r="F35">
            <v>1.7157947422665329</v>
          </cell>
        </row>
        <row r="37">
          <cell r="F37">
            <v>20.818139999999996</v>
          </cell>
        </row>
        <row r="38">
          <cell r="F38">
            <v>7</v>
          </cell>
        </row>
        <row r="40">
          <cell r="F40">
            <v>0.97</v>
          </cell>
        </row>
        <row r="42">
          <cell r="F42">
            <v>0.35</v>
          </cell>
        </row>
      </sheetData>
      <sheetData sheetId="14">
        <row r="12">
          <cell r="E12" t="str">
            <v>V</v>
          </cell>
        </row>
        <row r="13">
          <cell r="E13" t="str">
            <v>6 и менее баллов</v>
          </cell>
        </row>
        <row r="14">
          <cell r="E14" t="str">
            <v>от 200 до 500</v>
          </cell>
        </row>
        <row r="15">
          <cell r="E15" t="str">
            <v>нет</v>
          </cell>
        </row>
        <row r="19">
          <cell r="E19">
            <v>-38</v>
          </cell>
        </row>
        <row r="22">
          <cell r="E22" t="str">
            <v>нет</v>
          </cell>
        </row>
        <row r="27">
          <cell r="E27">
            <v>246.24401</v>
          </cell>
        </row>
        <row r="28">
          <cell r="E28">
            <v>269.12432000000001</v>
          </cell>
        </row>
      </sheetData>
      <sheetData sheetId="15"/>
      <sheetData sheetId="16">
        <row r="10">
          <cell r="E10">
            <v>1287</v>
          </cell>
        </row>
        <row r="12">
          <cell r="E12">
            <v>5.97</v>
          </cell>
        </row>
        <row r="13">
          <cell r="E13">
            <v>1</v>
          </cell>
        </row>
        <row r="14">
          <cell r="E14">
            <v>12104</v>
          </cell>
        </row>
        <row r="15">
          <cell r="E15">
            <v>4.8000000000000001E-2</v>
          </cell>
        </row>
        <row r="16">
          <cell r="E16">
            <v>1</v>
          </cell>
        </row>
      </sheetData>
      <sheetData sheetId="17">
        <row r="11">
          <cell r="E11">
            <v>9.89</v>
          </cell>
        </row>
        <row r="12">
          <cell r="E12">
            <v>0.56000000000000005</v>
          </cell>
        </row>
        <row r="13">
          <cell r="E13">
            <v>300</v>
          </cell>
        </row>
        <row r="14">
          <cell r="E14">
            <v>61211</v>
          </cell>
        </row>
        <row r="15">
          <cell r="E15">
            <v>45675</v>
          </cell>
        </row>
        <row r="16">
          <cell r="E16">
            <v>65637</v>
          </cell>
        </row>
        <row r="17">
          <cell r="E17">
            <v>31684</v>
          </cell>
        </row>
        <row r="21">
          <cell r="E21" t="str">
            <v>Муниципальное унитарное предприятие города Куйбышева Куйбышевского района Новосибирской области "Горводоканал"</v>
          </cell>
        </row>
        <row r="22">
          <cell r="E22">
            <v>8809</v>
          </cell>
        </row>
        <row r="23">
          <cell r="E23">
            <v>530.41</v>
          </cell>
        </row>
        <row r="25">
          <cell r="E25" t="str">
            <v>Муниципальное унитарное предприятие города Куйбышева Куйбышевского района Новосибирской области "Геострой"</v>
          </cell>
        </row>
        <row r="26">
          <cell r="E26">
            <v>21397</v>
          </cell>
        </row>
        <row r="27">
          <cell r="E27">
            <v>857.14</v>
          </cell>
        </row>
      </sheetData>
      <sheetData sheetId="18">
        <row r="12">
          <cell r="F12" t="str">
            <v>Постановление Правительства Новосибирской области от 29.11.2011 №535-п (ред. 14.04.2014) "Об утверждении результатов государственной кадастровой оценки земель населенных пунктов в новосибирской области и среднего уровня кадастровой стоимости земель населенных пунктов по муниципальным районам и городским округам Новосибирской области"</v>
          </cell>
        </row>
      </sheetData>
      <sheetData sheetId="19"/>
      <sheetData sheetId="20">
        <row r="11">
          <cell r="E11">
            <v>-2.9000000000000026E-2</v>
          </cell>
          <cell r="F11">
            <v>0.245</v>
          </cell>
          <cell r="G11">
            <v>0.114</v>
          </cell>
          <cell r="H11">
            <v>0.04</v>
          </cell>
          <cell r="I11">
            <v>0.121</v>
          </cell>
          <cell r="J11">
            <v>0.03</v>
          </cell>
          <cell r="K11">
            <v>6.0999999999999999E-2</v>
          </cell>
          <cell r="L11">
            <v>3.2682303599220003E-2</v>
          </cell>
          <cell r="M11">
            <v>0</v>
          </cell>
          <cell r="N11">
            <v>0</v>
          </cell>
          <cell r="O11">
            <v>0</v>
          </cell>
          <cell r="P11">
            <v>0</v>
          </cell>
          <cell r="Q11">
            <v>0</v>
          </cell>
          <cell r="R11">
            <v>0</v>
          </cell>
          <cell r="S11">
            <v>0</v>
          </cell>
          <cell r="T11">
            <v>0</v>
          </cell>
          <cell r="U11">
            <v>0</v>
          </cell>
          <cell r="V11">
            <v>0</v>
          </cell>
          <cell r="W11">
            <v>0</v>
          </cell>
          <cell r="X11">
            <v>0</v>
          </cell>
          <cell r="Y11">
            <v>0</v>
          </cell>
          <cell r="Z11">
            <v>0</v>
          </cell>
          <cell r="AA11">
            <v>0</v>
          </cell>
          <cell r="AB11">
            <v>0</v>
          </cell>
          <cell r="AC11">
            <v>0</v>
          </cell>
          <cell r="AD11">
            <v>0</v>
          </cell>
          <cell r="AE11">
            <v>0</v>
          </cell>
          <cell r="AF11">
            <v>0</v>
          </cell>
          <cell r="AG11">
            <v>0</v>
          </cell>
          <cell r="AH11">
            <v>0</v>
          </cell>
          <cell r="AI11">
            <v>0</v>
          </cell>
          <cell r="AJ11">
            <v>0</v>
          </cell>
          <cell r="AK11">
            <v>0</v>
          </cell>
          <cell r="AL11">
            <v>0</v>
          </cell>
          <cell r="AM11">
            <v>0</v>
          </cell>
          <cell r="AN11">
            <v>0</v>
          </cell>
          <cell r="AO11">
            <v>0</v>
          </cell>
          <cell r="AP11">
            <v>0</v>
          </cell>
          <cell r="AQ11">
            <v>0</v>
          </cell>
          <cell r="AR11">
            <v>0</v>
          </cell>
          <cell r="AS11">
            <v>0</v>
          </cell>
          <cell r="AT11">
            <v>0</v>
          </cell>
          <cell r="AU11">
            <v>0</v>
          </cell>
          <cell r="AV11">
            <v>0</v>
          </cell>
          <cell r="AW11">
            <v>0</v>
          </cell>
          <cell r="AX11">
            <v>0</v>
          </cell>
          <cell r="AY11">
            <v>0</v>
          </cell>
          <cell r="AZ11">
            <v>0</v>
          </cell>
          <cell r="BA11">
            <v>0</v>
          </cell>
          <cell r="BB11">
            <v>0</v>
          </cell>
          <cell r="BC11">
            <v>0</v>
          </cell>
          <cell r="BD11">
            <v>0</v>
          </cell>
          <cell r="BE11">
            <v>0</v>
          </cell>
          <cell r="BF11">
            <v>0</v>
          </cell>
          <cell r="BG11">
            <v>0</v>
          </cell>
          <cell r="BH11">
            <v>0</v>
          </cell>
          <cell r="BI11">
            <v>0</v>
          </cell>
          <cell r="BJ11">
            <v>0</v>
          </cell>
          <cell r="BK11">
            <v>0</v>
          </cell>
          <cell r="BL11">
            <v>0</v>
          </cell>
          <cell r="BM11">
            <v>0</v>
          </cell>
          <cell r="BN11">
            <v>0</v>
          </cell>
          <cell r="BO11">
            <v>0</v>
          </cell>
          <cell r="BP11">
            <v>0</v>
          </cell>
          <cell r="BQ11">
            <v>0</v>
          </cell>
          <cell r="BR11">
            <v>0</v>
          </cell>
          <cell r="BS11">
            <v>0</v>
          </cell>
          <cell r="BT11">
            <v>0</v>
          </cell>
          <cell r="BU11">
            <v>0</v>
          </cell>
          <cell r="BV11">
            <v>0</v>
          </cell>
          <cell r="BW11">
            <v>0</v>
          </cell>
          <cell r="BX11">
            <v>0</v>
          </cell>
          <cell r="BY11">
            <v>0</v>
          </cell>
          <cell r="BZ11">
            <v>0</v>
          </cell>
          <cell r="CA11">
            <v>0</v>
          </cell>
          <cell r="CB11">
            <v>0</v>
          </cell>
          <cell r="CC11">
            <v>0</v>
          </cell>
          <cell r="CD11">
            <v>0</v>
          </cell>
          <cell r="CE11">
            <v>0</v>
          </cell>
          <cell r="CF11">
            <v>0</v>
          </cell>
          <cell r="CG11">
            <v>0</v>
          </cell>
        </row>
      </sheetData>
      <sheetData sheetId="21">
        <row r="11">
          <cell r="G11" t="str">
            <v>Информация с официального сайта Банка России</v>
          </cell>
        </row>
      </sheetData>
      <sheetData sheetId="22"/>
      <sheetData sheetId="23">
        <row r="12">
          <cell r="F12">
            <v>940.47266370947932</v>
          </cell>
        </row>
        <row r="14">
          <cell r="F14">
            <v>15827.997028730506</v>
          </cell>
        </row>
        <row r="15">
          <cell r="F15">
            <v>0.25</v>
          </cell>
        </row>
        <row r="18">
          <cell r="F18">
            <v>15</v>
          </cell>
        </row>
        <row r="19">
          <cell r="F19">
            <v>3741.3369093945325</v>
          </cell>
        </row>
        <row r="20">
          <cell r="F20">
            <v>2.1999999999999999E-2</v>
          </cell>
        </row>
        <row r="21">
          <cell r="F21">
            <v>10</v>
          </cell>
        </row>
        <row r="22">
          <cell r="F22">
            <v>9.5576411518206239</v>
          </cell>
        </row>
        <row r="23">
          <cell r="F23">
            <v>3.0000000000000001E-3</v>
          </cell>
        </row>
        <row r="24">
          <cell r="F24">
            <v>3185.880383940208</v>
          </cell>
        </row>
      </sheetData>
      <sheetData sheetId="24">
        <row r="12">
          <cell r="F12" t="str">
            <v>Налоговый кодекс РФ</v>
          </cell>
        </row>
      </sheetData>
      <sheetData sheetId="25">
        <row r="12">
          <cell r="F12">
            <v>540.33364210395007</v>
          </cell>
        </row>
        <row r="16">
          <cell r="F16">
            <v>1652.5</v>
          </cell>
        </row>
        <row r="17">
          <cell r="F17">
            <v>73547</v>
          </cell>
        </row>
        <row r="18">
          <cell r="F18">
            <v>0.02</v>
          </cell>
        </row>
        <row r="19">
          <cell r="F19">
            <v>12104</v>
          </cell>
        </row>
        <row r="20">
          <cell r="F20">
            <v>1.4999999999999999E-2</v>
          </cell>
        </row>
        <row r="21">
          <cell r="F21">
            <v>1933.1949342509995</v>
          </cell>
        </row>
        <row r="22">
          <cell r="F22">
            <v>3.6112641666666665</v>
          </cell>
        </row>
        <row r="23">
          <cell r="F23">
            <v>180</v>
          </cell>
        </row>
        <row r="24">
          <cell r="F24">
            <v>8497.1999999999989</v>
          </cell>
        </row>
        <row r="25">
          <cell r="F25">
            <v>0.35</v>
          </cell>
        </row>
        <row r="26">
          <cell r="F26">
            <v>55.034579999999998</v>
          </cell>
        </row>
        <row r="27">
          <cell r="F27">
            <v>1291.2863994686898</v>
          </cell>
        </row>
        <row r="28">
          <cell r="F28">
            <v>991.77142816335618</v>
          </cell>
        </row>
        <row r="29">
          <cell r="F29">
            <v>299.51497130533357</v>
          </cell>
        </row>
        <row r="30">
          <cell r="F30">
            <v>2786.4144344948131</v>
          </cell>
        </row>
        <row r="33">
          <cell r="F33">
            <v>1550.2017920524227</v>
          </cell>
        </row>
        <row r="35">
          <cell r="F35">
            <v>18.902267999999999</v>
          </cell>
        </row>
        <row r="36">
          <cell r="F36">
            <v>14319.9</v>
          </cell>
        </row>
        <row r="37">
          <cell r="F37">
            <v>1.32</v>
          </cell>
        </row>
      </sheetData>
      <sheetData sheetId="26">
        <row r="12">
          <cell r="F12" t="str">
            <v>Постановление Правительства Российской Федерации от 17.04.2024 № 492</v>
          </cell>
        </row>
      </sheetData>
      <sheetData sheetId="27">
        <row r="8">
          <cell r="F8" t="str">
            <v>нет</v>
          </cell>
        </row>
        <row r="15">
          <cell r="D15" t="str">
            <v>АО "Новосибирскэнергосбыт"</v>
          </cell>
        </row>
        <row r="21">
          <cell r="D21">
            <v>0</v>
          </cell>
        </row>
      </sheetData>
      <sheetData sheetId="28">
        <row r="11">
          <cell r="E11">
            <v>1871</v>
          </cell>
        </row>
        <row r="12">
          <cell r="E12">
            <v>1636</v>
          </cell>
        </row>
        <row r="13">
          <cell r="E13">
            <v>204</v>
          </cell>
        </row>
        <row r="16">
          <cell r="E16">
            <v>0</v>
          </cell>
        </row>
        <row r="17">
          <cell r="E17">
            <v>13.9</v>
          </cell>
        </row>
        <row r="18">
          <cell r="E18">
            <v>0</v>
          </cell>
        </row>
        <row r="19">
          <cell r="E19">
            <v>30.82</v>
          </cell>
        </row>
      </sheetData>
      <sheetData sheetId="29"/>
      <sheetData sheetId="30">
        <row r="12">
          <cell r="F12">
            <v>112.58778010028344</v>
          </cell>
        </row>
        <row r="17">
          <cell r="F17">
            <v>0.02</v>
          </cell>
        </row>
      </sheetData>
      <sheetData sheetId="31">
        <row r="12">
          <cell r="F12" t="str">
            <v>-</v>
          </cell>
        </row>
      </sheetData>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нструкция"/>
      <sheetName val="Структура"/>
      <sheetName val="Содержание"/>
      <sheetName val="И1"/>
      <sheetName val="Инвест.об."/>
      <sheetName val="И2"/>
      <sheetName val="И2.1"/>
      <sheetName val="С1"/>
      <sheetName val="С1.1"/>
      <sheetName val="С1.2"/>
      <sheetName val="Data1.2"/>
      <sheetName val="С1.3"/>
      <sheetName val="Data1.3"/>
      <sheetName val="С2"/>
      <sheetName val="С2.1"/>
      <sheetName val="Data2.1"/>
      <sheetName val="С2.2"/>
      <sheetName val="С2.3"/>
      <sheetName val="С2.4"/>
      <sheetName val="Data2.4"/>
      <sheetName val="С2.5"/>
      <sheetName val="С2.6"/>
      <sheetName val="Data2.6"/>
      <sheetName val="С3"/>
      <sheetName val="С3.1"/>
      <sheetName val="С4"/>
      <sheetName val="С4.1"/>
      <sheetName val="С4.2"/>
      <sheetName val="С4.3"/>
      <sheetName val="С4.4"/>
      <sheetName val="С5"/>
      <sheetName val="С6"/>
      <sheetName val="И3"/>
      <sheetName val="Проверка"/>
      <sheetName val="ИПЦ_ИПГ"/>
      <sheetName val="АК_прогноз"/>
      <sheetName val="ПУЦ (п.67)"/>
      <sheetName val="АК_прогноз_j"/>
      <sheetName val="Гр&amp;ПУЦ_v1"/>
      <sheetName val="Заморозка"/>
      <sheetName val="ИПГ_мо"/>
      <sheetName val="ИПГ_рег"/>
      <sheetName val="Темп VS ИПГ"/>
      <sheetName val="МУ770_Т1"/>
      <sheetName val="Гр&amp;ПУЦ_v2"/>
      <sheetName val="Системный"/>
    </sheetNames>
    <sheetDataSet>
      <sheetData sheetId="0"/>
      <sheetData sheetId="1"/>
      <sheetData sheetId="2"/>
      <sheetData sheetId="3">
        <row r="8">
          <cell r="D8" t="str">
            <v>Период регулирования (i)-й</v>
          </cell>
        </row>
        <row r="14">
          <cell r="E14" t="str">
            <v>поселок Степной, Искитимский муниципальный район</v>
          </cell>
        </row>
        <row r="16">
          <cell r="E16" t="str">
            <v xml:space="preserve"> (50615425101)</v>
          </cell>
        </row>
      </sheetData>
      <sheetData sheetId="4"/>
      <sheetData sheetId="5"/>
      <sheetData sheetId="6"/>
      <sheetData sheetId="7">
        <row r="12">
          <cell r="F12">
            <v>960.0458433170021</v>
          </cell>
        </row>
      </sheetData>
      <sheetData sheetId="8">
        <row r="13">
          <cell r="E13" t="str">
            <v>уголь (вид угля не указан в топливном балансе)</v>
          </cell>
        </row>
      </sheetData>
      <sheetData sheetId="9"/>
      <sheetData sheetId="10"/>
      <sheetData sheetId="11"/>
      <sheetData sheetId="12"/>
      <sheetData sheetId="13">
        <row r="12">
          <cell r="F12">
            <v>3063.2235383547568</v>
          </cell>
        </row>
      </sheetData>
      <sheetData sheetId="14">
        <row r="12">
          <cell r="E12" t="str">
            <v>V</v>
          </cell>
        </row>
      </sheetData>
      <sheetData sheetId="15"/>
      <sheetData sheetId="16">
        <row r="10">
          <cell r="E10">
            <v>1287</v>
          </cell>
        </row>
      </sheetData>
      <sheetData sheetId="17">
        <row r="11">
          <cell r="E11">
            <v>9.89</v>
          </cell>
        </row>
      </sheetData>
      <sheetData sheetId="18"/>
      <sheetData sheetId="19"/>
      <sheetData sheetId="20">
        <row r="11">
          <cell r="E11">
            <v>-2.9000000000000026E-2</v>
          </cell>
        </row>
      </sheetData>
      <sheetData sheetId="21"/>
      <sheetData sheetId="22"/>
      <sheetData sheetId="23">
        <row r="12">
          <cell r="F12">
            <v>917.89815316767874</v>
          </cell>
        </row>
      </sheetData>
      <sheetData sheetId="24"/>
      <sheetData sheetId="25">
        <row r="12">
          <cell r="F12">
            <v>519.11227174792941</v>
          </cell>
        </row>
      </sheetData>
      <sheetData sheetId="26"/>
      <sheetData sheetId="27">
        <row r="8">
          <cell r="F8" t="str">
            <v>нет</v>
          </cell>
        </row>
      </sheetData>
      <sheetData sheetId="28">
        <row r="11">
          <cell r="E11">
            <v>1871</v>
          </cell>
        </row>
      </sheetData>
      <sheetData sheetId="29"/>
      <sheetData sheetId="30">
        <row r="12">
          <cell r="F12">
            <v>109.20559613174734</v>
          </cell>
        </row>
      </sheetData>
      <sheetData sheetId="31">
        <row r="12">
          <cell r="F12" t="str">
            <v>-</v>
          </cell>
        </row>
      </sheetData>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нструкция"/>
      <sheetName val="Структура"/>
      <sheetName val="Содержание"/>
      <sheetName val="И1"/>
      <sheetName val="Инвест.об."/>
      <sheetName val="И2"/>
      <sheetName val="И2.1"/>
      <sheetName val="С1"/>
      <sheetName val="С1.1"/>
      <sheetName val="С1.2"/>
      <sheetName val="Data1.2"/>
      <sheetName val="С1.3"/>
      <sheetName val="Data1.3"/>
      <sheetName val="С2"/>
      <sheetName val="С2.1"/>
      <sheetName val="Data2.1"/>
      <sheetName val="С2.2"/>
      <sheetName val="С2.3"/>
      <sheetName val="С2.4"/>
      <sheetName val="Data2.4"/>
      <sheetName val="С2.5"/>
      <sheetName val="С2.6"/>
      <sheetName val="Data2.6"/>
      <sheetName val="С3"/>
      <sheetName val="С3.1"/>
      <sheetName val="С4"/>
      <sheetName val="С4.1"/>
      <sheetName val="С4.2"/>
      <sheetName val="С4.3"/>
      <sheetName val="С4.4"/>
      <sheetName val="С5"/>
      <sheetName val="С6"/>
      <sheetName val="И3"/>
      <sheetName val="Проверка"/>
      <sheetName val="ИПЦ_ИПГ"/>
      <sheetName val="АК_прогноз"/>
      <sheetName val="ПУЦ (п.67)"/>
      <sheetName val="АК_прогноз_j"/>
      <sheetName val="Гр&amp;ПУЦ_v1"/>
      <sheetName val="Заморозка"/>
      <sheetName val="ИПГ_мо"/>
      <sheetName val="ИПГ_рег"/>
      <sheetName val="Темп VS ИПГ"/>
      <sheetName val="МУ770_Т1"/>
      <sheetName val="Гр&amp;ПУЦ_v2"/>
      <sheetName val="Системный"/>
      <sheetName val="Шаблон ЦАК_уголь_2026_5эт Быстр"/>
    </sheetNames>
    <sheetDataSet>
      <sheetData sheetId="0"/>
      <sheetData sheetId="1"/>
      <sheetData sheetId="2"/>
      <sheetData sheetId="3">
        <row r="8">
          <cell r="D8" t="str">
            <v>Период регулирования (i)-й</v>
          </cell>
          <cell r="E8">
            <v>2026</v>
          </cell>
        </row>
        <row r="9">
          <cell r="D9" t="str">
            <v>Период регулирования (i-1)-й</v>
          </cell>
          <cell r="E9">
            <v>2025</v>
          </cell>
        </row>
        <row r="10">
          <cell r="D10" t="str">
            <v>Период регулирования (i-2)-й</v>
          </cell>
          <cell r="E10">
            <v>2024</v>
          </cell>
        </row>
        <row r="11">
          <cell r="D11" t="str">
            <v>Базовый год (б)</v>
          </cell>
          <cell r="E11">
            <v>2019</v>
          </cell>
        </row>
        <row r="13">
          <cell r="D13" t="str">
            <v>Субъект Российской Федерации</v>
          </cell>
          <cell r="E13" t="str">
            <v>Новосибирская область</v>
          </cell>
        </row>
        <row r="14">
          <cell r="D14" t="str">
            <v>Тип муниципального образования (выберите из списка)</v>
          </cell>
        </row>
        <row r="15">
          <cell r="D15" t="str">
            <v/>
          </cell>
          <cell r="E15">
            <v>0</v>
          </cell>
        </row>
        <row r="16">
          <cell r="D16" t="str">
            <v>Код ОКТМО</v>
          </cell>
        </row>
        <row r="17">
          <cell r="D17" t="str">
            <v>Система теплоснабжения</v>
          </cell>
          <cell r="E17">
            <v>0</v>
          </cell>
        </row>
        <row r="18">
          <cell r="D18" t="str">
            <v>Вид топлива, использование которого преобладает в системе теплоснабжения</v>
          </cell>
        </row>
      </sheetData>
      <sheetData sheetId="4"/>
      <sheetData sheetId="5"/>
      <sheetData sheetId="6"/>
      <sheetData sheetId="7">
        <row r="12">
          <cell r="F12">
            <v>1046.5335332950929</v>
          </cell>
        </row>
        <row r="13">
          <cell r="F13">
            <v>176.4</v>
          </cell>
        </row>
        <row r="16">
          <cell r="F16">
            <v>7000</v>
          </cell>
        </row>
        <row r="17">
          <cell r="F17">
            <v>0.72857142857142854</v>
          </cell>
        </row>
        <row r="20">
          <cell r="F20">
            <v>21.588411179999994</v>
          </cell>
        </row>
        <row r="21">
          <cell r="F21">
            <v>20.818139999999996</v>
          </cell>
        </row>
        <row r="22">
          <cell r="F22">
            <v>1.0369999999999999</v>
          </cell>
        </row>
        <row r="23">
          <cell r="F23">
            <v>1.0469999999999999</v>
          </cell>
        </row>
      </sheetData>
      <sheetData sheetId="8">
        <row r="9">
          <cell r="I9" t="str">
            <v>цены (тарифы), подлежащие государственному регулированию, действовавшие на день окончания (i-2)-го расчетного периода в системе теплоснабжения</v>
          </cell>
        </row>
        <row r="13">
          <cell r="E13" t="str">
            <v>каменный уголь</v>
          </cell>
        </row>
        <row r="16">
          <cell r="E16">
            <v>5100</v>
          </cell>
        </row>
        <row r="19">
          <cell r="E19">
            <v>-0.11899999999999999</v>
          </cell>
        </row>
        <row r="20">
          <cell r="E20">
            <v>4.0000000000000001E-3</v>
          </cell>
        </row>
        <row r="27">
          <cell r="E27">
            <v>4500.82</v>
          </cell>
        </row>
      </sheetData>
      <sheetData sheetId="9"/>
      <sheetData sheetId="10"/>
      <sheetData sheetId="11">
        <row r="9">
          <cell r="G9">
            <v>0</v>
          </cell>
        </row>
      </sheetData>
      <sheetData sheetId="12"/>
      <sheetData sheetId="13">
        <row r="12">
          <cell r="F12">
            <v>3097.7824122172187</v>
          </cell>
        </row>
        <row r="13">
          <cell r="F13">
            <v>210571.60987470482</v>
          </cell>
        </row>
        <row r="14">
          <cell r="F14">
            <v>113455</v>
          </cell>
        </row>
        <row r="15">
          <cell r="F15">
            <v>1.071</v>
          </cell>
        </row>
        <row r="16">
          <cell r="F16">
            <v>1</v>
          </cell>
        </row>
        <row r="17">
          <cell r="F17">
            <v>1.01</v>
          </cell>
        </row>
        <row r="18">
          <cell r="F18">
            <v>40220.845230503684</v>
          </cell>
        </row>
        <row r="19">
          <cell r="F19">
            <v>0</v>
          </cell>
        </row>
        <row r="20">
          <cell r="F20">
            <v>23441.524932855718</v>
          </cell>
        </row>
        <row r="21">
          <cell r="F21">
            <v>1</v>
          </cell>
        </row>
        <row r="22">
          <cell r="F22">
            <v>4298.6978080550834</v>
          </cell>
        </row>
        <row r="23">
          <cell r="F23">
            <v>1990</v>
          </cell>
        </row>
        <row r="26">
          <cell r="F26">
            <v>3185.880383940208</v>
          </cell>
        </row>
        <row r="27">
          <cell r="F27">
            <v>0.44209422600000003</v>
          </cell>
        </row>
        <row r="28">
          <cell r="F28">
            <v>4200</v>
          </cell>
        </row>
        <row r="29">
          <cell r="F29">
            <v>0.21369165990259753</v>
          </cell>
        </row>
        <row r="30">
          <cell r="F30">
            <v>0.20047619047619047</v>
          </cell>
        </row>
        <row r="31">
          <cell r="F31">
            <v>0.13880000000000001</v>
          </cell>
        </row>
        <row r="32">
          <cell r="F32">
            <v>0.12640000000000001</v>
          </cell>
        </row>
        <row r="33">
          <cell r="F33">
            <v>10</v>
          </cell>
        </row>
        <row r="35">
          <cell r="F35">
            <v>1.7157947422665329</v>
          </cell>
        </row>
        <row r="37">
          <cell r="F37">
            <v>20.818139999999996</v>
          </cell>
        </row>
        <row r="38">
          <cell r="F38">
            <v>7</v>
          </cell>
        </row>
        <row r="40">
          <cell r="F40">
            <v>0.97</v>
          </cell>
        </row>
        <row r="42">
          <cell r="F42">
            <v>0.35</v>
          </cell>
        </row>
      </sheetData>
      <sheetData sheetId="14">
        <row r="12">
          <cell r="E12" t="str">
            <v>V</v>
          </cell>
        </row>
        <row r="13">
          <cell r="E13" t="str">
            <v>6 и менее баллов</v>
          </cell>
        </row>
        <row r="14">
          <cell r="E14" t="str">
            <v>от 200 до 500</v>
          </cell>
        </row>
        <row r="15">
          <cell r="E15" t="str">
            <v>нет</v>
          </cell>
        </row>
        <row r="19">
          <cell r="E19">
            <v>-38</v>
          </cell>
        </row>
        <row r="22">
          <cell r="E22" t="str">
            <v>нет</v>
          </cell>
        </row>
        <row r="27">
          <cell r="E27">
            <v>246.24401</v>
          </cell>
        </row>
        <row r="28">
          <cell r="E28">
            <v>269.12432000000001</v>
          </cell>
        </row>
      </sheetData>
      <sheetData sheetId="15"/>
      <sheetData sheetId="16">
        <row r="10">
          <cell r="E10">
            <v>1287</v>
          </cell>
        </row>
        <row r="12">
          <cell r="E12">
            <v>5.97</v>
          </cell>
        </row>
        <row r="13">
          <cell r="E13">
            <v>1</v>
          </cell>
        </row>
        <row r="14">
          <cell r="E14">
            <v>12104</v>
          </cell>
        </row>
        <row r="15">
          <cell r="E15">
            <v>4.8000000000000001E-2</v>
          </cell>
        </row>
        <row r="16">
          <cell r="E16">
            <v>1</v>
          </cell>
        </row>
      </sheetData>
      <sheetData sheetId="17">
        <row r="11">
          <cell r="E11">
            <v>9.89</v>
          </cell>
        </row>
        <row r="12">
          <cell r="E12">
            <v>0.56000000000000005</v>
          </cell>
        </row>
        <row r="13">
          <cell r="E13">
            <v>300</v>
          </cell>
        </row>
        <row r="14">
          <cell r="E14">
            <v>61211</v>
          </cell>
        </row>
        <row r="15">
          <cell r="E15">
            <v>45675</v>
          </cell>
        </row>
        <row r="16">
          <cell r="E16">
            <v>65637</v>
          </cell>
        </row>
        <row r="17">
          <cell r="E17">
            <v>31684</v>
          </cell>
        </row>
        <row r="21">
          <cell r="E21" t="str">
            <v>Муниципальное унитарное предприятие города Куйбышева Куйбышевского района Новосибирской области "Горводоканал"</v>
          </cell>
        </row>
        <row r="22">
          <cell r="E22">
            <v>8809</v>
          </cell>
        </row>
        <row r="23">
          <cell r="E23">
            <v>530.41</v>
          </cell>
        </row>
        <row r="25">
          <cell r="E25" t="str">
            <v>Муниципальное унитарное предприятие города Куйбышева Куйбышевского района Новосибирской области "Геострой"</v>
          </cell>
        </row>
        <row r="26">
          <cell r="E26">
            <v>21397</v>
          </cell>
        </row>
        <row r="27">
          <cell r="E27">
            <v>857.14</v>
          </cell>
        </row>
      </sheetData>
      <sheetData sheetId="18">
        <row r="12">
          <cell r="F12" t="str">
            <v>Постановление Правительства Новосибирской области от 29.11.2011 №535-п (ред. 14.04.2014) "Об утверждении результатов государственной кадастровой оценки земель населенных пунктов в новосибирской области и среднего уровня кадастровой стоимости земель населенных пунктов по муниципальным районам и городским округам Новосибирской области"</v>
          </cell>
        </row>
      </sheetData>
      <sheetData sheetId="19"/>
      <sheetData sheetId="20">
        <row r="11">
          <cell r="E11">
            <v>-2.9000000000000026E-2</v>
          </cell>
          <cell r="F11">
            <v>0.245</v>
          </cell>
          <cell r="G11">
            <v>0.114</v>
          </cell>
          <cell r="H11">
            <v>0.04</v>
          </cell>
          <cell r="I11">
            <v>0.121</v>
          </cell>
          <cell r="J11">
            <v>0.03</v>
          </cell>
          <cell r="K11">
            <v>6.0999999999999999E-2</v>
          </cell>
          <cell r="L11">
            <v>3.2682303599220003E-2</v>
          </cell>
          <cell r="M11">
            <v>0</v>
          </cell>
          <cell r="N11">
            <v>0</v>
          </cell>
          <cell r="O11">
            <v>0</v>
          </cell>
          <cell r="P11">
            <v>0</v>
          </cell>
          <cell r="Q11">
            <v>0</v>
          </cell>
          <cell r="R11">
            <v>0</v>
          </cell>
          <cell r="S11">
            <v>0</v>
          </cell>
          <cell r="T11">
            <v>0</v>
          </cell>
          <cell r="U11">
            <v>0</v>
          </cell>
          <cell r="V11">
            <v>0</v>
          </cell>
          <cell r="W11">
            <v>0</v>
          </cell>
          <cell r="X11">
            <v>0</v>
          </cell>
          <cell r="Y11">
            <v>0</v>
          </cell>
          <cell r="Z11">
            <v>0</v>
          </cell>
          <cell r="AA11">
            <v>0</v>
          </cell>
          <cell r="AB11">
            <v>0</v>
          </cell>
          <cell r="AC11">
            <v>0</v>
          </cell>
          <cell r="AD11">
            <v>0</v>
          </cell>
          <cell r="AE11">
            <v>0</v>
          </cell>
          <cell r="AF11">
            <v>0</v>
          </cell>
          <cell r="AG11">
            <v>0</v>
          </cell>
          <cell r="AH11">
            <v>0</v>
          </cell>
          <cell r="AI11">
            <v>0</v>
          </cell>
          <cell r="AJ11">
            <v>0</v>
          </cell>
          <cell r="AK11">
            <v>0</v>
          </cell>
          <cell r="AL11">
            <v>0</v>
          </cell>
          <cell r="AM11">
            <v>0</v>
          </cell>
          <cell r="AN11">
            <v>0</v>
          </cell>
          <cell r="AO11">
            <v>0</v>
          </cell>
          <cell r="AP11">
            <v>0</v>
          </cell>
          <cell r="AQ11">
            <v>0</v>
          </cell>
          <cell r="AR11">
            <v>0</v>
          </cell>
          <cell r="AS11">
            <v>0</v>
          </cell>
          <cell r="AT11">
            <v>0</v>
          </cell>
          <cell r="AU11">
            <v>0</v>
          </cell>
          <cell r="AV11">
            <v>0</v>
          </cell>
          <cell r="AW11">
            <v>0</v>
          </cell>
          <cell r="AX11">
            <v>0</v>
          </cell>
          <cell r="AY11">
            <v>0</v>
          </cell>
          <cell r="AZ11">
            <v>0</v>
          </cell>
          <cell r="BA11">
            <v>0</v>
          </cell>
          <cell r="BB11">
            <v>0</v>
          </cell>
          <cell r="BC11">
            <v>0</v>
          </cell>
          <cell r="BD11">
            <v>0</v>
          </cell>
          <cell r="BE11">
            <v>0</v>
          </cell>
          <cell r="BF11">
            <v>0</v>
          </cell>
          <cell r="BG11">
            <v>0</v>
          </cell>
          <cell r="BH11">
            <v>0</v>
          </cell>
          <cell r="BI11">
            <v>0</v>
          </cell>
          <cell r="BJ11">
            <v>0</v>
          </cell>
          <cell r="BK11">
            <v>0</v>
          </cell>
          <cell r="BL11">
            <v>0</v>
          </cell>
          <cell r="BM11">
            <v>0</v>
          </cell>
          <cell r="BN11">
            <v>0</v>
          </cell>
          <cell r="BO11">
            <v>0</v>
          </cell>
          <cell r="BP11">
            <v>0</v>
          </cell>
          <cell r="BQ11">
            <v>0</v>
          </cell>
          <cell r="BR11">
            <v>0</v>
          </cell>
          <cell r="BS11">
            <v>0</v>
          </cell>
          <cell r="BT11">
            <v>0</v>
          </cell>
          <cell r="BU11">
            <v>0</v>
          </cell>
          <cell r="BV11">
            <v>0</v>
          </cell>
          <cell r="BW11">
            <v>0</v>
          </cell>
          <cell r="BX11">
            <v>0</v>
          </cell>
          <cell r="BY11">
            <v>0</v>
          </cell>
          <cell r="BZ11">
            <v>0</v>
          </cell>
          <cell r="CA11">
            <v>0</v>
          </cell>
          <cell r="CB11">
            <v>0</v>
          </cell>
          <cell r="CC11">
            <v>0</v>
          </cell>
          <cell r="CD11">
            <v>0</v>
          </cell>
          <cell r="CE11">
            <v>0</v>
          </cell>
          <cell r="CF11">
            <v>0</v>
          </cell>
          <cell r="CG11">
            <v>0</v>
          </cell>
        </row>
      </sheetData>
      <sheetData sheetId="21">
        <row r="11">
          <cell r="G11" t="str">
            <v>Информация с официального сайта Банка России</v>
          </cell>
        </row>
      </sheetData>
      <sheetData sheetId="22"/>
      <sheetData sheetId="23">
        <row r="12">
          <cell r="F12">
            <v>940.47266370947932</v>
          </cell>
        </row>
        <row r="14">
          <cell r="F14">
            <v>15827.997028730506</v>
          </cell>
        </row>
        <row r="15">
          <cell r="F15">
            <v>0.25</v>
          </cell>
        </row>
        <row r="18">
          <cell r="F18">
            <v>15</v>
          </cell>
        </row>
        <row r="19">
          <cell r="F19">
            <v>3741.3369093945325</v>
          </cell>
        </row>
        <row r="20">
          <cell r="F20">
            <v>2.1999999999999999E-2</v>
          </cell>
        </row>
        <row r="21">
          <cell r="F21">
            <v>10</v>
          </cell>
        </row>
        <row r="22">
          <cell r="F22">
            <v>9.5576411518206239</v>
          </cell>
        </row>
        <row r="23">
          <cell r="F23">
            <v>3.0000000000000001E-3</v>
          </cell>
        </row>
        <row r="24">
          <cell r="F24">
            <v>3185.880383940208</v>
          </cell>
        </row>
      </sheetData>
      <sheetData sheetId="24">
        <row r="12">
          <cell r="F12" t="str">
            <v>Налоговый кодекс РФ</v>
          </cell>
        </row>
      </sheetData>
      <sheetData sheetId="25">
        <row r="12">
          <cell r="F12">
            <v>543.16344588104198</v>
          </cell>
        </row>
        <row r="16">
          <cell r="F16">
            <v>1652.5</v>
          </cell>
        </row>
        <row r="17">
          <cell r="F17">
            <v>73547</v>
          </cell>
        </row>
        <row r="18">
          <cell r="F18">
            <v>0.02</v>
          </cell>
        </row>
        <row r="19">
          <cell r="F19">
            <v>12104</v>
          </cell>
        </row>
        <row r="20">
          <cell r="F20">
            <v>1.4999999999999999E-2</v>
          </cell>
        </row>
        <row r="21">
          <cell r="F21">
            <v>1933.1949342509995</v>
          </cell>
        </row>
        <row r="22">
          <cell r="F22">
            <v>3.6112641666666665</v>
          </cell>
        </row>
        <row r="23">
          <cell r="F23">
            <v>180</v>
          </cell>
        </row>
        <row r="24">
          <cell r="F24">
            <v>8497.1999999999989</v>
          </cell>
        </row>
        <row r="25">
          <cell r="F25">
            <v>0.35</v>
          </cell>
        </row>
        <row r="26">
          <cell r="F26">
            <v>91.185569999999998</v>
          </cell>
        </row>
        <row r="27">
          <cell r="F27">
            <v>1291.2863994686898</v>
          </cell>
        </row>
        <row r="28">
          <cell r="F28">
            <v>991.77142816335618</v>
          </cell>
        </row>
        <row r="29">
          <cell r="F29">
            <v>299.51497130533357</v>
          </cell>
        </row>
        <row r="30">
          <cell r="F30">
            <v>2783.2980071291104</v>
          </cell>
        </row>
        <row r="33">
          <cell r="F33">
            <v>1543.983980758233</v>
          </cell>
        </row>
        <row r="35">
          <cell r="F35">
            <v>18.902267999999999</v>
          </cell>
        </row>
        <row r="36">
          <cell r="F36">
            <v>14319.9</v>
          </cell>
        </row>
        <row r="37">
          <cell r="F37">
            <v>1.32</v>
          </cell>
        </row>
      </sheetData>
      <sheetData sheetId="26">
        <row r="12">
          <cell r="F12" t="str">
            <v>Постановление Правительства Российской Федерации от 17.04.2024 № 492</v>
          </cell>
        </row>
      </sheetData>
      <sheetData sheetId="27">
        <row r="8">
          <cell r="F8" t="str">
            <v>нет</v>
          </cell>
        </row>
        <row r="15">
          <cell r="D15" t="str">
            <v>АО "Новосибирскэнергосбыт"</v>
          </cell>
        </row>
        <row r="21">
          <cell r="D21">
            <v>0</v>
          </cell>
        </row>
      </sheetData>
      <sheetData sheetId="28">
        <row r="11">
          <cell r="E11">
            <v>1871</v>
          </cell>
        </row>
        <row r="12">
          <cell r="E12">
            <v>1636</v>
          </cell>
        </row>
        <row r="13">
          <cell r="E13">
            <v>204</v>
          </cell>
        </row>
        <row r="16">
          <cell r="E16">
            <v>0</v>
          </cell>
        </row>
        <row r="17">
          <cell r="E17">
            <v>25.15</v>
          </cell>
        </row>
        <row r="18">
          <cell r="E18">
            <v>0</v>
          </cell>
        </row>
        <row r="19">
          <cell r="E19">
            <v>14.63</v>
          </cell>
        </row>
      </sheetData>
      <sheetData sheetId="29"/>
      <sheetData sheetId="30">
        <row r="12">
          <cell r="F12">
            <v>112.55904110205665</v>
          </cell>
        </row>
        <row r="17">
          <cell r="F17">
            <v>0.02</v>
          </cell>
        </row>
      </sheetData>
      <sheetData sheetId="31">
        <row r="12">
          <cell r="F12" t="str">
            <v>-</v>
          </cell>
        </row>
      </sheetData>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нструкция"/>
      <sheetName val="Структура"/>
      <sheetName val="Содержание"/>
      <sheetName val="И1"/>
      <sheetName val="Инвест.об."/>
      <sheetName val="И2"/>
      <sheetName val="И2.1"/>
      <sheetName val="С1"/>
      <sheetName val="С1.1"/>
      <sheetName val="С1.2"/>
      <sheetName val="Data1.2"/>
      <sheetName val="С1.3"/>
      <sheetName val="Data1.3"/>
      <sheetName val="С2"/>
      <sheetName val="С2.1"/>
      <sheetName val="Data2.1"/>
      <sheetName val="С2.2"/>
      <sheetName val="С2.3"/>
      <sheetName val="С2.4"/>
      <sheetName val="С2.5"/>
      <sheetName val="С2.6"/>
      <sheetName val="Data2.6"/>
      <sheetName val="С3"/>
      <sheetName val="С3.1"/>
      <sheetName val="С4"/>
      <sheetName val="С4.1"/>
      <sheetName val="С4.2"/>
      <sheetName val="С4.3"/>
      <sheetName val="С4.4"/>
      <sheetName val="С5"/>
      <sheetName val="С6"/>
      <sheetName val="С6.1"/>
      <sheetName val="И3"/>
      <sheetName val="Проверка"/>
      <sheetName val="Системный"/>
      <sheetName val="АК_прогноз"/>
      <sheetName val="Гр&amp;ПУЦ_v1"/>
      <sheetName val="Заморозка"/>
      <sheetName val="ИПГ_мо"/>
      <sheetName val="ИПГ_рег"/>
      <sheetName val="Темп VS ИПГ"/>
      <sheetName val="МУ770_Т1"/>
      <sheetName val="ИПЦ_ИПГ"/>
      <sheetName val="ПУЦ (п.67)"/>
      <sheetName val="Гр&amp;ПУЦ_v2"/>
      <sheetName val="Лист1"/>
      <sheetName val="Шаблон ЦАК_газ_2026_5 эт Тальме"/>
    </sheetNames>
    <sheetDataSet>
      <sheetData sheetId="0"/>
      <sheetData sheetId="1"/>
      <sheetData sheetId="2"/>
      <sheetData sheetId="3">
        <row r="8">
          <cell r="D8" t="str">
            <v>Период регулирования (i)-й</v>
          </cell>
          <cell r="E8">
            <v>2026</v>
          </cell>
        </row>
        <row r="9">
          <cell r="D9" t="str">
            <v>Период регулирования (i-1)-й</v>
          </cell>
          <cell r="E9">
            <v>2025</v>
          </cell>
        </row>
        <row r="10">
          <cell r="D10" t="str">
            <v>Период регулирования (i-2)-й</v>
          </cell>
          <cell r="E10">
            <v>2024</v>
          </cell>
        </row>
        <row r="11">
          <cell r="D11" t="str">
            <v>Базовый год (б)</v>
          </cell>
          <cell r="E11">
            <v>2019</v>
          </cell>
        </row>
        <row r="13">
          <cell r="D13" t="str">
            <v>Субъект Российской Федерации</v>
          </cell>
          <cell r="E13" t="str">
            <v>Новосибирская область</v>
          </cell>
        </row>
        <row r="14">
          <cell r="D14" t="str">
            <v>Тип муниципального образования (выберите из списка)</v>
          </cell>
        </row>
        <row r="15">
          <cell r="D15" t="str">
            <v/>
          </cell>
          <cell r="E15">
            <v>0</v>
          </cell>
        </row>
        <row r="16">
          <cell r="D16" t="str">
            <v>Код ОКТМО</v>
          </cell>
        </row>
        <row r="17">
          <cell r="D17" t="str">
            <v>Система теплоснабжения</v>
          </cell>
          <cell r="E17">
            <v>0</v>
          </cell>
        </row>
        <row r="18">
          <cell r="D18" t="str">
            <v>Вид топлива, использование которого преобладает в системе теплоснабжения</v>
          </cell>
          <cell r="E18" t="str">
            <v>Газ</v>
          </cell>
        </row>
      </sheetData>
      <sheetData sheetId="4"/>
      <sheetData sheetId="5"/>
      <sheetData sheetId="6"/>
      <sheetData sheetId="7">
        <row r="12">
          <cell r="F12">
            <v>1278.3072413778675</v>
          </cell>
        </row>
        <row r="13">
          <cell r="F13">
            <v>156.1</v>
          </cell>
        </row>
        <row r="16">
          <cell r="F16">
            <v>7000</v>
          </cell>
        </row>
        <row r="17">
          <cell r="F17">
            <v>1.1285714285714286</v>
          </cell>
        </row>
        <row r="20">
          <cell r="F20">
            <v>22.307053372799995</v>
          </cell>
        </row>
        <row r="21">
          <cell r="F21">
            <v>21.531904799999996</v>
          </cell>
        </row>
        <row r="22">
          <cell r="F22">
            <v>1.036</v>
          </cell>
        </row>
        <row r="23">
          <cell r="F23" t="str">
            <v>-</v>
          </cell>
        </row>
      </sheetData>
      <sheetData sheetId="8">
        <row r="9">
          <cell r="I9" t="str">
            <v>цены (тарифы), подлежащие государственному регулированию, действовавшие на день окончания (i-2)-го расчетного периода в системе теплоснабжения</v>
          </cell>
        </row>
        <row r="16">
          <cell r="E16">
            <v>7900</v>
          </cell>
        </row>
        <row r="20">
          <cell r="E20">
            <v>0.21299999999999999</v>
          </cell>
        </row>
        <row r="21">
          <cell r="E21">
            <v>9.6000000000000002E-2</v>
          </cell>
        </row>
        <row r="25">
          <cell r="E25" t="str">
            <v>ООО "Газпром межрегионгаз Новосибирск", ООО "Газпром газораспределение Томск" (с 17.02.2025 ООО "Газпром газораспределение Сибирь")</v>
          </cell>
        </row>
        <row r="26">
          <cell r="D26" t="str">
            <v>Среднеарифметическое значение между установленными предельными максимальным и минимальным уровнями оптовых цен, действовавшими на день окончания (i-2)-го расчетного периода регулирования в системе теплоснабжения, без НДС, руб./тыс. куб. м</v>
          </cell>
          <cell r="E26">
            <v>5670</v>
          </cell>
        </row>
        <row r="27">
          <cell r="D27" t="str">
            <v>Тариф на услуги по транспортировке газа по газораспределительным сетям, действовавший на день окончания (i-2)-го расчетного периода регулирования в системе теплоснабжения, без НДС, руб./тыс. куб. м</v>
          </cell>
          <cell r="E27">
            <v>689.14</v>
          </cell>
        </row>
        <row r="28">
          <cell r="D28" t="str">
            <v>Размер платы за снабженческо-сбытовые услуги, действовавший на день окончания (i-2)-го расчетного периода регулирования в системе теплоснабжения, без НДС, руб./тыс. куб. м</v>
          </cell>
          <cell r="E28">
            <v>144.72999999999999</v>
          </cell>
        </row>
        <row r="29">
          <cell r="D29" t="str">
            <v>Специальная надбавка к тарифам на услуги по транспортировке газа по газораспределительным сетям, действовавшая на день окончания (i-2)-го расчетного периода регулирования в системе теплоснабжения, без НДС, руб./тыс. куб. м</v>
          </cell>
          <cell r="E29">
            <v>206.25</v>
          </cell>
        </row>
        <row r="32">
          <cell r="E32">
            <v>6710.12</v>
          </cell>
        </row>
      </sheetData>
      <sheetData sheetId="9"/>
      <sheetData sheetId="10"/>
      <sheetData sheetId="11">
        <row r="9">
          <cell r="G9">
            <v>0</v>
          </cell>
        </row>
      </sheetData>
      <sheetData sheetId="12"/>
      <sheetData sheetId="13">
        <row r="12">
          <cell r="F12">
            <v>2138.4809328120286</v>
          </cell>
        </row>
        <row r="13">
          <cell r="F13">
            <v>119259.45174981897</v>
          </cell>
        </row>
        <row r="14">
          <cell r="F14">
            <v>64899</v>
          </cell>
        </row>
        <row r="15">
          <cell r="F15">
            <v>1.071</v>
          </cell>
        </row>
        <row r="16">
          <cell r="F16">
            <v>1</v>
          </cell>
        </row>
        <row r="17">
          <cell r="F17">
            <v>1</v>
          </cell>
        </row>
        <row r="18">
          <cell r="F18">
            <v>40220.845230503684</v>
          </cell>
        </row>
        <row r="19">
          <cell r="F19">
            <v>0</v>
          </cell>
        </row>
        <row r="20">
          <cell r="F20">
            <v>23441.524932855718</v>
          </cell>
        </row>
        <row r="21">
          <cell r="F21">
            <v>1</v>
          </cell>
        </row>
        <row r="22">
          <cell r="F22">
            <v>24548.869037237404</v>
          </cell>
        </row>
        <row r="23">
          <cell r="F23">
            <v>21</v>
          </cell>
        </row>
        <row r="26">
          <cell r="F26">
            <v>2892</v>
          </cell>
        </row>
        <row r="28">
          <cell r="F28">
            <v>379.2714742785962</v>
          </cell>
        </row>
        <row r="29">
          <cell r="F29">
            <v>0.44209422600000003</v>
          </cell>
        </row>
        <row r="30">
          <cell r="F30">
            <v>500</v>
          </cell>
        </row>
        <row r="31">
          <cell r="F31">
            <v>0.21369165990259753</v>
          </cell>
        </row>
        <row r="32">
          <cell r="F32">
            <v>0.20047619047619047</v>
          </cell>
        </row>
        <row r="33">
          <cell r="F33">
            <v>0.13880000000000001</v>
          </cell>
        </row>
        <row r="34">
          <cell r="F34">
            <v>0.12640000000000001</v>
          </cell>
        </row>
        <row r="35">
          <cell r="F35">
            <v>10</v>
          </cell>
        </row>
        <row r="37">
          <cell r="F37">
            <v>1.7157947422665329</v>
          </cell>
        </row>
        <row r="39">
          <cell r="F39">
            <v>21.531904799999996</v>
          </cell>
        </row>
        <row r="40">
          <cell r="F40">
            <v>7</v>
          </cell>
        </row>
        <row r="42">
          <cell r="F42">
            <v>0.97</v>
          </cell>
        </row>
        <row r="44">
          <cell r="F44">
            <v>0.36199999999999999</v>
          </cell>
        </row>
      </sheetData>
      <sheetData sheetId="14">
        <row r="12">
          <cell r="E12" t="str">
            <v>V</v>
          </cell>
        </row>
        <row r="13">
          <cell r="E13" t="str">
            <v>6 и менее баллов</v>
          </cell>
        </row>
        <row r="14">
          <cell r="E14" t="str">
            <v>до 200</v>
          </cell>
        </row>
        <row r="15">
          <cell r="E15" t="str">
            <v>нет</v>
          </cell>
        </row>
        <row r="19">
          <cell r="E19">
            <v>0</v>
          </cell>
        </row>
        <row r="20">
          <cell r="E20">
            <v>-37</v>
          </cell>
        </row>
        <row r="23">
          <cell r="E23" t="str">
            <v>нет</v>
          </cell>
        </row>
        <row r="28">
          <cell r="E28">
            <v>5515.9310416666667</v>
          </cell>
        </row>
        <row r="29">
          <cell r="E29">
            <v>5878.6480833333326</v>
          </cell>
        </row>
      </sheetData>
      <sheetData sheetId="15"/>
      <sheetData sheetId="16">
        <row r="10">
          <cell r="E10">
            <v>1287</v>
          </cell>
        </row>
        <row r="12">
          <cell r="E12">
            <v>5.97</v>
          </cell>
        </row>
        <row r="13">
          <cell r="E13">
            <v>1</v>
          </cell>
        </row>
        <row r="14">
          <cell r="E14">
            <v>12104</v>
          </cell>
        </row>
        <row r="15">
          <cell r="E15">
            <v>4.8000000000000001E-2</v>
          </cell>
        </row>
        <row r="16">
          <cell r="E16">
            <v>1</v>
          </cell>
        </row>
      </sheetData>
      <sheetData sheetId="17">
        <row r="11">
          <cell r="E11">
            <v>5.45</v>
          </cell>
        </row>
        <row r="12">
          <cell r="E12">
            <v>0.2</v>
          </cell>
        </row>
        <row r="13">
          <cell r="E13">
            <v>300</v>
          </cell>
        </row>
        <row r="14">
          <cell r="E14">
            <v>61211</v>
          </cell>
        </row>
        <row r="15">
          <cell r="E15">
            <v>45675</v>
          </cell>
        </row>
        <row r="16">
          <cell r="E16">
            <v>65637</v>
          </cell>
        </row>
        <row r="17">
          <cell r="E17">
            <v>31684</v>
          </cell>
        </row>
        <row r="21">
          <cell r="E21" t="str">
            <v>МУП г. Новосибирска "Горводоканал"</v>
          </cell>
        </row>
        <row r="22">
          <cell r="E22">
            <v>20170.833333333332</v>
          </cell>
        </row>
        <row r="23">
          <cell r="E23">
            <v>18020</v>
          </cell>
        </row>
        <row r="25">
          <cell r="E25" t="str">
            <v>МУП г. Новосибирска "Горводоканал"</v>
          </cell>
        </row>
        <row r="26">
          <cell r="E26">
            <v>38240.416666666664</v>
          </cell>
        </row>
        <row r="27">
          <cell r="E27">
            <v>19570</v>
          </cell>
        </row>
      </sheetData>
      <sheetData sheetId="18">
        <row r="12">
          <cell r="F12" t="str">
            <v>Постановление Правительства Новосибирской области от 29.11.2011 №535-п (ред. 14.04.2014) "Об утверждении результатов государственной кадастровой оценки земель населенных пунктов в новосибирской области и среднего уровня кадастровой стоимости земель населенных пунктов по муниципальным районам и городским округам Новыосибирской области"</v>
          </cell>
        </row>
      </sheetData>
      <sheetData sheetId="19">
        <row r="11">
          <cell r="E11">
            <v>-2.9000000000000026E-2</v>
          </cell>
          <cell r="F11">
            <v>0.245</v>
          </cell>
          <cell r="G11">
            <v>0.114</v>
          </cell>
          <cell r="H11">
            <v>0.04</v>
          </cell>
          <cell r="I11">
            <v>0.121</v>
          </cell>
          <cell r="J11">
            <v>0.03</v>
          </cell>
          <cell r="K11">
            <v>6.0999999999999999E-2</v>
          </cell>
          <cell r="L11">
            <v>0</v>
          </cell>
          <cell r="M11">
            <v>0</v>
          </cell>
          <cell r="N11">
            <v>0</v>
          </cell>
          <cell r="O11">
            <v>0</v>
          </cell>
          <cell r="P11">
            <v>0</v>
          </cell>
          <cell r="Q11">
            <v>0</v>
          </cell>
          <cell r="R11">
            <v>0</v>
          </cell>
          <cell r="S11">
            <v>0</v>
          </cell>
          <cell r="T11">
            <v>0</v>
          </cell>
          <cell r="U11">
            <v>0</v>
          </cell>
          <cell r="V11">
            <v>0</v>
          </cell>
          <cell r="W11">
            <v>0</v>
          </cell>
          <cell r="X11">
            <v>0</v>
          </cell>
          <cell r="Y11">
            <v>0</v>
          </cell>
          <cell r="Z11">
            <v>0</v>
          </cell>
          <cell r="AA11">
            <v>0</v>
          </cell>
          <cell r="AB11">
            <v>0</v>
          </cell>
          <cell r="AC11">
            <v>0</v>
          </cell>
          <cell r="AD11">
            <v>0</v>
          </cell>
          <cell r="AE11">
            <v>0</v>
          </cell>
          <cell r="AF11">
            <v>0</v>
          </cell>
          <cell r="AG11">
            <v>0</v>
          </cell>
          <cell r="AH11">
            <v>0</v>
          </cell>
          <cell r="AI11">
            <v>0</v>
          </cell>
          <cell r="AJ11">
            <v>0</v>
          </cell>
          <cell r="AK11">
            <v>0</v>
          </cell>
          <cell r="AL11">
            <v>0</v>
          </cell>
          <cell r="AM11">
            <v>0</v>
          </cell>
          <cell r="AN11">
            <v>0</v>
          </cell>
          <cell r="AO11">
            <v>0</v>
          </cell>
          <cell r="AP11">
            <v>0</v>
          </cell>
          <cell r="AQ11">
            <v>0</v>
          </cell>
          <cell r="AR11">
            <v>0</v>
          </cell>
          <cell r="AS11">
            <v>0</v>
          </cell>
          <cell r="AT11">
            <v>0</v>
          </cell>
          <cell r="AU11">
            <v>0</v>
          </cell>
          <cell r="AV11">
            <v>0</v>
          </cell>
          <cell r="AW11">
            <v>0</v>
          </cell>
          <cell r="AX11">
            <v>0</v>
          </cell>
          <cell r="AY11">
            <v>0</v>
          </cell>
          <cell r="AZ11">
            <v>0</v>
          </cell>
          <cell r="BA11">
            <v>0</v>
          </cell>
          <cell r="BB11">
            <v>0</v>
          </cell>
          <cell r="BC11">
            <v>0</v>
          </cell>
          <cell r="BD11">
            <v>0</v>
          </cell>
          <cell r="BE11">
            <v>0</v>
          </cell>
          <cell r="BF11">
            <v>0</v>
          </cell>
          <cell r="BG11">
            <v>0</v>
          </cell>
          <cell r="BH11">
            <v>0</v>
          </cell>
          <cell r="BI11">
            <v>0</v>
          </cell>
          <cell r="BJ11">
            <v>0</v>
          </cell>
          <cell r="BK11">
            <v>0</v>
          </cell>
          <cell r="BL11">
            <v>0</v>
          </cell>
          <cell r="BM11">
            <v>0</v>
          </cell>
          <cell r="BN11">
            <v>0</v>
          </cell>
          <cell r="BO11">
            <v>0</v>
          </cell>
          <cell r="BP11">
            <v>0</v>
          </cell>
          <cell r="BQ11">
            <v>0</v>
          </cell>
          <cell r="BR11">
            <v>0</v>
          </cell>
          <cell r="BS11">
            <v>0</v>
          </cell>
          <cell r="BT11">
            <v>0</v>
          </cell>
          <cell r="BU11">
            <v>0</v>
          </cell>
          <cell r="BV11">
            <v>0</v>
          </cell>
          <cell r="BW11">
            <v>0</v>
          </cell>
          <cell r="BX11">
            <v>0</v>
          </cell>
          <cell r="BY11">
            <v>0</v>
          </cell>
          <cell r="BZ11">
            <v>0</v>
          </cell>
          <cell r="CA11">
            <v>0</v>
          </cell>
          <cell r="CB11">
            <v>0</v>
          </cell>
          <cell r="CC11">
            <v>0</v>
          </cell>
          <cell r="CD11">
            <v>0</v>
          </cell>
          <cell r="CE11">
            <v>0</v>
          </cell>
          <cell r="CF11">
            <v>0</v>
          </cell>
        </row>
      </sheetData>
      <sheetData sheetId="20">
        <row r="11">
          <cell r="G11" t="str">
            <v>Информация с официального сайта Банка России</v>
          </cell>
        </row>
      </sheetData>
      <sheetData sheetId="21"/>
      <sheetData sheetId="22">
        <row r="12">
          <cell r="F12">
            <v>648.30389958699197</v>
          </cell>
        </row>
        <row r="14">
          <cell r="F14">
            <v>11258.985598028818</v>
          </cell>
        </row>
        <row r="15">
          <cell r="F15">
            <v>0.25</v>
          </cell>
        </row>
        <row r="18">
          <cell r="F18">
            <v>15</v>
          </cell>
        </row>
        <row r="19">
          <cell r="F19">
            <v>2699.0944349242141</v>
          </cell>
        </row>
        <row r="20">
          <cell r="F20">
            <v>2.1999999999999999E-2</v>
          </cell>
        </row>
        <row r="21">
          <cell r="F21">
            <v>10</v>
          </cell>
        </row>
        <row r="22">
          <cell r="F22">
            <v>1.1378144228357887</v>
          </cell>
        </row>
        <row r="23">
          <cell r="F23">
            <v>3.0000000000000001E-3</v>
          </cell>
        </row>
        <row r="24">
          <cell r="F24">
            <v>379.2714742785962</v>
          </cell>
        </row>
      </sheetData>
      <sheetData sheetId="23">
        <row r="12">
          <cell r="F12" t="str">
            <v xml:space="preserve">Налоговый кодекс Российской Федерации </v>
          </cell>
        </row>
      </sheetData>
      <sheetData sheetId="24">
        <row r="12">
          <cell r="F12">
            <v>278.94442293732197</v>
          </cell>
        </row>
        <row r="16">
          <cell r="F16">
            <v>832.33500000000004</v>
          </cell>
        </row>
        <row r="17">
          <cell r="F17">
            <v>43385</v>
          </cell>
        </row>
        <row r="18">
          <cell r="F18">
            <v>1.4999999999999999E-2</v>
          </cell>
        </row>
        <row r="19">
          <cell r="F19">
            <v>12104</v>
          </cell>
        </row>
        <row r="20">
          <cell r="F20">
            <v>1.4999999999999999E-2</v>
          </cell>
        </row>
        <row r="21">
          <cell r="F21">
            <v>1221.9019409821399</v>
          </cell>
        </row>
        <row r="22">
          <cell r="F22">
            <v>3.6112641666666665</v>
          </cell>
        </row>
        <row r="23">
          <cell r="F23">
            <v>110</v>
          </cell>
        </row>
        <row r="24">
          <cell r="F24">
            <v>8497.1999999999989</v>
          </cell>
        </row>
        <row r="25">
          <cell r="F25">
            <v>0.36199999999999999</v>
          </cell>
        </row>
        <row r="26">
          <cell r="F26">
            <v>45.755149999999993</v>
          </cell>
        </row>
        <row r="27">
          <cell r="F27">
            <v>904.62444244124072</v>
          </cell>
        </row>
        <row r="28">
          <cell r="F28">
            <v>694.79603874135228</v>
          </cell>
        </row>
        <row r="29">
          <cell r="F29">
            <v>209.82840369988838</v>
          </cell>
        </row>
        <row r="30">
          <cell r="F30">
            <v>850.89950860241879</v>
          </cell>
        </row>
      </sheetData>
      <sheetData sheetId="25"/>
      <sheetData sheetId="26">
        <row r="8">
          <cell r="F8" t="str">
            <v>нет</v>
          </cell>
        </row>
        <row r="15">
          <cell r="D15" t="str">
            <v>АО "Новосибирскэнергосбыт"</v>
          </cell>
        </row>
        <row r="21">
          <cell r="D21">
            <v>0</v>
          </cell>
        </row>
      </sheetData>
      <sheetData sheetId="27">
        <row r="11">
          <cell r="E11">
            <v>1871</v>
          </cell>
        </row>
        <row r="12">
          <cell r="E12">
            <v>61</v>
          </cell>
        </row>
        <row r="13">
          <cell r="E13">
            <v>73</v>
          </cell>
        </row>
        <row r="16">
          <cell r="E16">
            <v>0</v>
          </cell>
        </row>
        <row r="17">
          <cell r="E17">
            <v>23.13</v>
          </cell>
        </row>
        <row r="18">
          <cell r="E18">
            <v>0</v>
          </cell>
        </row>
        <row r="19">
          <cell r="E19">
            <v>14.63</v>
          </cell>
        </row>
      </sheetData>
      <sheetData sheetId="28"/>
      <sheetData sheetId="29">
        <row r="12">
          <cell r="F12">
            <v>86.880729934284204</v>
          </cell>
        </row>
        <row r="17">
          <cell r="F17">
            <v>0.02</v>
          </cell>
        </row>
      </sheetData>
      <sheetData sheetId="30">
        <row r="12">
          <cell r="F12">
            <v>0</v>
          </cell>
        </row>
        <row r="13">
          <cell r="F13">
            <v>0</v>
          </cell>
        </row>
        <row r="19">
          <cell r="F19">
            <v>0</v>
          </cell>
        </row>
      </sheetData>
      <sheetData sheetId="31">
        <row r="11">
          <cell r="E11" t="str">
            <v>да</v>
          </cell>
        </row>
        <row r="12">
          <cell r="E12">
            <v>0</v>
          </cell>
        </row>
        <row r="17">
          <cell r="E17">
            <v>0</v>
          </cell>
        </row>
        <row r="18">
          <cell r="E18" t="str">
            <v>да</v>
          </cell>
        </row>
        <row r="19">
          <cell r="E19">
            <v>0</v>
          </cell>
        </row>
        <row r="22">
          <cell r="E22">
            <v>0</v>
          </cell>
        </row>
        <row r="23">
          <cell r="E23">
            <v>0</v>
          </cell>
        </row>
      </sheetData>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нструкция"/>
      <sheetName val="Структура"/>
      <sheetName val="Содержание"/>
      <sheetName val="И1"/>
      <sheetName val="Инвест.об."/>
      <sheetName val="И2"/>
      <sheetName val="И2.1"/>
      <sheetName val="С1"/>
      <sheetName val="С1.1"/>
      <sheetName val="С1.2"/>
      <sheetName val="Data1.2"/>
      <sheetName val="С1.3"/>
      <sheetName val="Data1.3"/>
      <sheetName val="С2"/>
      <sheetName val="С2.1"/>
      <sheetName val="Data2.1"/>
      <sheetName val="С2.2"/>
      <sheetName val="С2.3"/>
      <sheetName val="С2.4"/>
      <sheetName val="С2.5"/>
      <sheetName val="С2.6"/>
      <sheetName val="Data2.6"/>
      <sheetName val="С3"/>
      <sheetName val="С3.1"/>
      <sheetName val="С4"/>
      <sheetName val="С4.1"/>
      <sheetName val="С4.2"/>
      <sheetName val="С4.3"/>
      <sheetName val="С4.4"/>
      <sheetName val="С5"/>
      <sheetName val="С6"/>
      <sheetName val="С6.1"/>
      <sheetName val="И3"/>
      <sheetName val="Проверка"/>
      <sheetName val="Системный"/>
      <sheetName val="АК_прогноз"/>
      <sheetName val="Гр&amp;ПУЦ_v1"/>
      <sheetName val="Заморозка"/>
      <sheetName val="ИПГ_мо"/>
      <sheetName val="ИПГ_рег"/>
      <sheetName val="Темп VS ИПГ"/>
      <sheetName val="МУ770_Т1"/>
      <sheetName val="ИПЦ_ИПГ"/>
      <sheetName val="ПУЦ (п.67)"/>
      <sheetName val="Гр&amp;ПУЦ_v2"/>
      <sheetName val="Лист1"/>
    </sheetNames>
    <sheetDataSet>
      <sheetData sheetId="0"/>
      <sheetData sheetId="1"/>
      <sheetData sheetId="2"/>
      <sheetData sheetId="3">
        <row r="8">
          <cell r="D8" t="str">
            <v>Период регулирования (i)-й</v>
          </cell>
        </row>
        <row r="14">
          <cell r="E14" t="str">
            <v xml:space="preserve">село Тальменка, Искитимский муниципальный район </v>
          </cell>
        </row>
        <row r="16">
          <cell r="E16" t="str">
            <v>(50615428101)</v>
          </cell>
        </row>
      </sheetData>
      <sheetData sheetId="4"/>
      <sheetData sheetId="5"/>
      <sheetData sheetId="6"/>
      <sheetData sheetId="7">
        <row r="12">
          <cell r="F12">
            <v>1201.0642791911237</v>
          </cell>
        </row>
      </sheetData>
      <sheetData sheetId="8">
        <row r="16">
          <cell r="E16">
            <v>7900</v>
          </cell>
        </row>
      </sheetData>
      <sheetData sheetId="9"/>
      <sheetData sheetId="10"/>
      <sheetData sheetId="11"/>
      <sheetData sheetId="12"/>
      <sheetData sheetId="13">
        <row r="12">
          <cell r="F12">
            <v>2049.7946392543367</v>
          </cell>
        </row>
      </sheetData>
      <sheetData sheetId="14">
        <row r="12">
          <cell r="E12" t="str">
            <v>V</v>
          </cell>
        </row>
      </sheetData>
      <sheetData sheetId="15"/>
      <sheetData sheetId="16">
        <row r="10">
          <cell r="E10">
            <v>1287</v>
          </cell>
        </row>
      </sheetData>
      <sheetData sheetId="17">
        <row r="11">
          <cell r="E11">
            <v>5.45</v>
          </cell>
        </row>
      </sheetData>
      <sheetData sheetId="18"/>
      <sheetData sheetId="19">
        <row r="11">
          <cell r="E11">
            <v>-2.9000000000000026E-2</v>
          </cell>
        </row>
      </sheetData>
      <sheetData sheetId="20"/>
      <sheetData sheetId="21"/>
      <sheetData sheetId="22">
        <row r="12">
          <cell r="F12">
            <v>613.3572799725365</v>
          </cell>
        </row>
      </sheetData>
      <sheetData sheetId="23"/>
      <sheetData sheetId="24">
        <row r="12">
          <cell r="F12">
            <v>269.16257453711546</v>
          </cell>
        </row>
      </sheetData>
      <sheetData sheetId="25"/>
      <sheetData sheetId="26">
        <row r="8">
          <cell r="F8" t="str">
            <v>нет</v>
          </cell>
        </row>
      </sheetData>
      <sheetData sheetId="27">
        <row r="11">
          <cell r="E11">
            <v>1871</v>
          </cell>
        </row>
      </sheetData>
      <sheetData sheetId="28"/>
      <sheetData sheetId="29">
        <row r="12">
          <cell r="F12">
            <v>82.667575459102252</v>
          </cell>
        </row>
      </sheetData>
      <sheetData sheetId="30">
        <row r="12">
          <cell r="F12">
            <v>0</v>
          </cell>
        </row>
      </sheetData>
      <sheetData sheetId="31">
        <row r="11">
          <cell r="E11" t="str">
            <v>да</v>
          </cell>
        </row>
      </sheetData>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нструкция"/>
      <sheetName val="Структура"/>
      <sheetName val="Содержание"/>
      <sheetName val="И1"/>
      <sheetName val="Инвест.об."/>
      <sheetName val="И2"/>
      <sheetName val="И2.1"/>
      <sheetName val="С1"/>
      <sheetName val="С1.1"/>
      <sheetName val="С1.2"/>
      <sheetName val="Data1.2"/>
      <sheetName val="С1.3"/>
      <sheetName val="Data1.3"/>
      <sheetName val="С2"/>
      <sheetName val="С2.1"/>
      <sheetName val="Data2.1"/>
      <sheetName val="С2.2"/>
      <sheetName val="С2.3"/>
      <sheetName val="С2.4"/>
      <sheetName val="Data2.4"/>
      <sheetName val="С2.5"/>
      <sheetName val="С2.6"/>
      <sheetName val="Data2.6"/>
      <sheetName val="С3"/>
      <sheetName val="С3.1"/>
      <sheetName val="С4"/>
      <sheetName val="С4.1"/>
      <sheetName val="С4.2"/>
      <sheetName val="С4.3"/>
      <sheetName val="С4.4"/>
      <sheetName val="С5"/>
      <sheetName val="С6"/>
      <sheetName val="И3"/>
      <sheetName val="Проверка"/>
      <sheetName val="ИПЦ_ИПГ"/>
      <sheetName val="АК_прогноз"/>
      <sheetName val="ПУЦ (п.67)"/>
      <sheetName val="АК_прогноз_j"/>
      <sheetName val="Гр&amp;ПУЦ_v1"/>
      <sheetName val="Заморозка"/>
      <sheetName val="ИПГ_мо"/>
      <sheetName val="ИПГ_рег"/>
      <sheetName val="Темп VS ИПГ"/>
      <sheetName val="МУ770_Т1"/>
      <sheetName val="Гр&amp;ПУЦ_v2"/>
      <sheetName val="Системный"/>
      <sheetName val="Шаблон ЦАК_уголь_2026_5эт Улыби"/>
    </sheetNames>
    <sheetDataSet>
      <sheetData sheetId="0"/>
      <sheetData sheetId="1"/>
      <sheetData sheetId="2"/>
      <sheetData sheetId="3">
        <row r="8">
          <cell r="D8" t="str">
            <v>Период регулирования (i)-й</v>
          </cell>
          <cell r="E8">
            <v>2026</v>
          </cell>
        </row>
        <row r="9">
          <cell r="D9" t="str">
            <v>Период регулирования (i-1)-й</v>
          </cell>
          <cell r="E9">
            <v>2025</v>
          </cell>
        </row>
        <row r="10">
          <cell r="D10" t="str">
            <v>Период регулирования (i-2)-й</v>
          </cell>
          <cell r="E10">
            <v>2024</v>
          </cell>
        </row>
        <row r="11">
          <cell r="D11" t="str">
            <v>Базовый год (б)</v>
          </cell>
          <cell r="E11">
            <v>2019</v>
          </cell>
        </row>
        <row r="13">
          <cell r="D13" t="str">
            <v>Субъект Российской Федерации</v>
          </cell>
          <cell r="E13" t="str">
            <v>Новосибирская область</v>
          </cell>
        </row>
        <row r="14">
          <cell r="D14" t="str">
            <v>Тип муниципального образования (выберите из списка)</v>
          </cell>
        </row>
        <row r="15">
          <cell r="D15" t="str">
            <v/>
          </cell>
          <cell r="E15">
            <v>0</v>
          </cell>
        </row>
        <row r="16">
          <cell r="D16" t="str">
            <v>Код ОКТМО</v>
          </cell>
        </row>
        <row r="17">
          <cell r="D17" t="str">
            <v>Система теплоснабжения</v>
          </cell>
          <cell r="E17">
            <v>0</v>
          </cell>
        </row>
        <row r="18">
          <cell r="D18" t="str">
            <v>Вид топлива, использование которого преобладает в системе теплоснабжения</v>
          </cell>
        </row>
      </sheetData>
      <sheetData sheetId="4"/>
      <sheetData sheetId="5"/>
      <sheetData sheetId="6"/>
      <sheetData sheetId="7">
        <row r="12">
          <cell r="F12">
            <v>1072.1735839339653</v>
          </cell>
        </row>
        <row r="13">
          <cell r="F13">
            <v>176.4</v>
          </cell>
        </row>
        <row r="16">
          <cell r="F16">
            <v>7000</v>
          </cell>
        </row>
        <row r="17">
          <cell r="F17">
            <v>0.72857142857142854</v>
          </cell>
        </row>
        <row r="20">
          <cell r="F20">
            <v>21.588411179999994</v>
          </cell>
        </row>
        <row r="21">
          <cell r="F21">
            <v>20.818139999999996</v>
          </cell>
        </row>
        <row r="22">
          <cell r="F22">
            <v>1.0369999999999999</v>
          </cell>
        </row>
        <row r="23">
          <cell r="F23">
            <v>1.0469999999999999</v>
          </cell>
        </row>
      </sheetData>
      <sheetData sheetId="8">
        <row r="9">
          <cell r="I9" t="str">
            <v>цены (тарифы), подлежащие государственному регулированию, действовавшие на день окончания (i-2)-го расчетного периода в системе теплоснабжения</v>
          </cell>
        </row>
        <row r="13">
          <cell r="E13" t="str">
            <v>каменный уголь</v>
          </cell>
        </row>
        <row r="16">
          <cell r="E16">
            <v>5100</v>
          </cell>
        </row>
        <row r="19">
          <cell r="E19">
            <v>-0.11899999999999999</v>
          </cell>
        </row>
        <row r="20">
          <cell r="E20">
            <v>4.0000000000000001E-3</v>
          </cell>
        </row>
        <row r="27">
          <cell r="E27">
            <v>4611.09</v>
          </cell>
        </row>
      </sheetData>
      <sheetData sheetId="9"/>
      <sheetData sheetId="10"/>
      <sheetData sheetId="11">
        <row r="9">
          <cell r="G9">
            <v>0</v>
          </cell>
        </row>
      </sheetData>
      <sheetData sheetId="12"/>
      <sheetData sheetId="13">
        <row r="12">
          <cell r="F12">
            <v>3097.7824122172187</v>
          </cell>
        </row>
        <row r="13">
          <cell r="F13">
            <v>210571.60987470482</v>
          </cell>
        </row>
        <row r="14">
          <cell r="F14">
            <v>113455</v>
          </cell>
        </row>
        <row r="15">
          <cell r="F15">
            <v>1.071</v>
          </cell>
        </row>
        <row r="16">
          <cell r="F16">
            <v>1</v>
          </cell>
        </row>
        <row r="17">
          <cell r="F17">
            <v>1.01</v>
          </cell>
        </row>
        <row r="18">
          <cell r="F18">
            <v>40220.845230503684</v>
          </cell>
        </row>
        <row r="19">
          <cell r="F19">
            <v>0</v>
          </cell>
        </row>
        <row r="20">
          <cell r="F20">
            <v>23441.524932855718</v>
          </cell>
        </row>
        <row r="21">
          <cell r="F21">
            <v>1</v>
          </cell>
        </row>
        <row r="22">
          <cell r="F22">
            <v>4298.6978080550834</v>
          </cell>
        </row>
        <row r="23">
          <cell r="F23">
            <v>1990</v>
          </cell>
        </row>
        <row r="26">
          <cell r="F26">
            <v>3185.880383940208</v>
          </cell>
        </row>
        <row r="27">
          <cell r="F27">
            <v>0.44209422600000003</v>
          </cell>
        </row>
        <row r="28">
          <cell r="F28">
            <v>4200</v>
          </cell>
        </row>
        <row r="29">
          <cell r="F29">
            <v>0.21369165990259753</v>
          </cell>
        </row>
        <row r="30">
          <cell r="F30">
            <v>0.20047619047619047</v>
          </cell>
        </row>
        <row r="31">
          <cell r="F31">
            <v>0.13880000000000001</v>
          </cell>
        </row>
        <row r="32">
          <cell r="F32">
            <v>0.12640000000000001</v>
          </cell>
        </row>
        <row r="33">
          <cell r="F33">
            <v>10</v>
          </cell>
        </row>
        <row r="35">
          <cell r="F35">
            <v>1.7157947422665329</v>
          </cell>
        </row>
        <row r="37">
          <cell r="F37">
            <v>20.818139999999996</v>
          </cell>
        </row>
        <row r="38">
          <cell r="F38">
            <v>7</v>
          </cell>
        </row>
        <row r="40">
          <cell r="F40">
            <v>0.97</v>
          </cell>
        </row>
        <row r="42">
          <cell r="F42">
            <v>0.35</v>
          </cell>
        </row>
      </sheetData>
      <sheetData sheetId="14">
        <row r="12">
          <cell r="E12" t="str">
            <v>V</v>
          </cell>
        </row>
        <row r="13">
          <cell r="E13" t="str">
            <v>6 и менее баллов</v>
          </cell>
        </row>
        <row r="14">
          <cell r="E14" t="str">
            <v>от 200 до 500</v>
          </cell>
        </row>
        <row r="15">
          <cell r="E15" t="str">
            <v>нет</v>
          </cell>
        </row>
        <row r="19">
          <cell r="E19">
            <v>-38</v>
          </cell>
        </row>
        <row r="22">
          <cell r="E22" t="str">
            <v>нет</v>
          </cell>
        </row>
        <row r="27">
          <cell r="E27">
            <v>246.24401</v>
          </cell>
        </row>
        <row r="28">
          <cell r="E28">
            <v>269.12432000000001</v>
          </cell>
        </row>
      </sheetData>
      <sheetData sheetId="15"/>
      <sheetData sheetId="16">
        <row r="10">
          <cell r="E10">
            <v>1287</v>
          </cell>
        </row>
        <row r="12">
          <cell r="E12">
            <v>5.97</v>
          </cell>
        </row>
        <row r="13">
          <cell r="E13">
            <v>1</v>
          </cell>
        </row>
        <row r="14">
          <cell r="E14">
            <v>12104</v>
          </cell>
        </row>
        <row r="15">
          <cell r="E15">
            <v>4.8000000000000001E-2</v>
          </cell>
        </row>
        <row r="16">
          <cell r="E16">
            <v>1</v>
          </cell>
        </row>
      </sheetData>
      <sheetData sheetId="17">
        <row r="11">
          <cell r="E11">
            <v>9.89</v>
          </cell>
        </row>
        <row r="12">
          <cell r="E12">
            <v>0.56000000000000005</v>
          </cell>
        </row>
        <row r="13">
          <cell r="E13">
            <v>300</v>
          </cell>
        </row>
        <row r="14">
          <cell r="E14">
            <v>61211</v>
          </cell>
        </row>
        <row r="15">
          <cell r="E15">
            <v>45675</v>
          </cell>
        </row>
        <row r="16">
          <cell r="E16">
            <v>65637</v>
          </cell>
        </row>
        <row r="17">
          <cell r="E17">
            <v>31684</v>
          </cell>
        </row>
        <row r="21">
          <cell r="E21" t="str">
            <v>Муниципальное унитарное предприятие города Куйбышева Куйбышевского района Новосибирской области "Горводоканал"</v>
          </cell>
        </row>
        <row r="22">
          <cell r="E22">
            <v>8809</v>
          </cell>
        </row>
        <row r="23">
          <cell r="E23">
            <v>530.41</v>
          </cell>
        </row>
        <row r="25">
          <cell r="E25" t="str">
            <v>Муниципальное унитарное предприятие города Куйбышева Куйбышевского района Новосибирской области "Геострой"</v>
          </cell>
        </row>
        <row r="26">
          <cell r="E26">
            <v>21397</v>
          </cell>
        </row>
        <row r="27">
          <cell r="E27">
            <v>857.14</v>
          </cell>
        </row>
      </sheetData>
      <sheetData sheetId="18">
        <row r="12">
          <cell r="F12" t="str">
            <v>Постановление Правительства Новосибирской области от 29.11.2011 №535-п (ред. 14.04.2014) "Об утверждении результатов государственной кадастровой оценки земель населенных пунктов в новосибирской области и среднего уровня кадастровой стоимости земель населенных пунктов по муниципальным районам и городским округам Новосибирской области"</v>
          </cell>
        </row>
      </sheetData>
      <sheetData sheetId="19"/>
      <sheetData sheetId="20">
        <row r="11">
          <cell r="E11">
            <v>-2.9000000000000026E-2</v>
          </cell>
          <cell r="F11">
            <v>0.245</v>
          </cell>
          <cell r="G11">
            <v>0.114</v>
          </cell>
          <cell r="H11">
            <v>0.04</v>
          </cell>
          <cell r="I11">
            <v>0.121</v>
          </cell>
          <cell r="J11">
            <v>0.03</v>
          </cell>
          <cell r="K11">
            <v>6.0999999999999999E-2</v>
          </cell>
          <cell r="L11">
            <v>3.2682303599220003E-2</v>
          </cell>
          <cell r="M11">
            <v>0</v>
          </cell>
          <cell r="N11">
            <v>0</v>
          </cell>
          <cell r="O11">
            <v>0</v>
          </cell>
          <cell r="P11">
            <v>0</v>
          </cell>
          <cell r="Q11">
            <v>0</v>
          </cell>
          <cell r="R11">
            <v>0</v>
          </cell>
          <cell r="S11">
            <v>0</v>
          </cell>
          <cell r="T11">
            <v>0</v>
          </cell>
          <cell r="U11">
            <v>0</v>
          </cell>
          <cell r="V11">
            <v>0</v>
          </cell>
          <cell r="W11">
            <v>0</v>
          </cell>
          <cell r="X11">
            <v>0</v>
          </cell>
          <cell r="Y11">
            <v>0</v>
          </cell>
          <cell r="Z11">
            <v>0</v>
          </cell>
          <cell r="AA11">
            <v>0</v>
          </cell>
          <cell r="AB11">
            <v>0</v>
          </cell>
          <cell r="AC11">
            <v>0</v>
          </cell>
          <cell r="AD11">
            <v>0</v>
          </cell>
          <cell r="AE11">
            <v>0</v>
          </cell>
          <cell r="AF11">
            <v>0</v>
          </cell>
          <cell r="AG11">
            <v>0</v>
          </cell>
          <cell r="AH11">
            <v>0</v>
          </cell>
          <cell r="AI11">
            <v>0</v>
          </cell>
          <cell r="AJ11">
            <v>0</v>
          </cell>
          <cell r="AK11">
            <v>0</v>
          </cell>
          <cell r="AL11">
            <v>0</v>
          </cell>
          <cell r="AM11">
            <v>0</v>
          </cell>
          <cell r="AN11">
            <v>0</v>
          </cell>
          <cell r="AO11">
            <v>0</v>
          </cell>
          <cell r="AP11">
            <v>0</v>
          </cell>
          <cell r="AQ11">
            <v>0</v>
          </cell>
          <cell r="AR11">
            <v>0</v>
          </cell>
          <cell r="AS11">
            <v>0</v>
          </cell>
          <cell r="AT11">
            <v>0</v>
          </cell>
          <cell r="AU11">
            <v>0</v>
          </cell>
          <cell r="AV11">
            <v>0</v>
          </cell>
          <cell r="AW11">
            <v>0</v>
          </cell>
          <cell r="AX11">
            <v>0</v>
          </cell>
          <cell r="AY11">
            <v>0</v>
          </cell>
          <cell r="AZ11">
            <v>0</v>
          </cell>
          <cell r="BA11">
            <v>0</v>
          </cell>
          <cell r="BB11">
            <v>0</v>
          </cell>
          <cell r="BC11">
            <v>0</v>
          </cell>
          <cell r="BD11">
            <v>0</v>
          </cell>
          <cell r="BE11">
            <v>0</v>
          </cell>
          <cell r="BF11">
            <v>0</v>
          </cell>
          <cell r="BG11">
            <v>0</v>
          </cell>
          <cell r="BH11">
            <v>0</v>
          </cell>
          <cell r="BI11">
            <v>0</v>
          </cell>
          <cell r="BJ11">
            <v>0</v>
          </cell>
          <cell r="BK11">
            <v>0</v>
          </cell>
          <cell r="BL11">
            <v>0</v>
          </cell>
          <cell r="BM11">
            <v>0</v>
          </cell>
          <cell r="BN11">
            <v>0</v>
          </cell>
          <cell r="BO11">
            <v>0</v>
          </cell>
          <cell r="BP11">
            <v>0</v>
          </cell>
          <cell r="BQ11">
            <v>0</v>
          </cell>
          <cell r="BR11">
            <v>0</v>
          </cell>
          <cell r="BS11">
            <v>0</v>
          </cell>
          <cell r="BT11">
            <v>0</v>
          </cell>
          <cell r="BU11">
            <v>0</v>
          </cell>
          <cell r="BV11">
            <v>0</v>
          </cell>
          <cell r="BW11">
            <v>0</v>
          </cell>
          <cell r="BX11">
            <v>0</v>
          </cell>
          <cell r="BY11">
            <v>0</v>
          </cell>
          <cell r="BZ11">
            <v>0</v>
          </cell>
          <cell r="CA11">
            <v>0</v>
          </cell>
          <cell r="CB11">
            <v>0</v>
          </cell>
          <cell r="CC11">
            <v>0</v>
          </cell>
          <cell r="CD11">
            <v>0</v>
          </cell>
          <cell r="CE11">
            <v>0</v>
          </cell>
          <cell r="CF11">
            <v>0</v>
          </cell>
          <cell r="CG11">
            <v>0</v>
          </cell>
        </row>
      </sheetData>
      <sheetData sheetId="21">
        <row r="11">
          <cell r="G11" t="str">
            <v>Информация с официального сайта Банка России</v>
          </cell>
        </row>
      </sheetData>
      <sheetData sheetId="22"/>
      <sheetData sheetId="23">
        <row r="12">
          <cell r="F12">
            <v>940.47266370947932</v>
          </cell>
        </row>
        <row r="14">
          <cell r="F14">
            <v>15827.997028730506</v>
          </cell>
        </row>
        <row r="15">
          <cell r="F15">
            <v>0.25</v>
          </cell>
        </row>
        <row r="18">
          <cell r="F18">
            <v>15</v>
          </cell>
        </row>
        <row r="19">
          <cell r="F19">
            <v>3741.3369093945325</v>
          </cell>
        </row>
        <row r="20">
          <cell r="F20">
            <v>2.1999999999999999E-2</v>
          </cell>
        </row>
        <row r="21">
          <cell r="F21">
            <v>10</v>
          </cell>
        </row>
        <row r="22">
          <cell r="F22">
            <v>9.5576411518206239</v>
          </cell>
        </row>
        <row r="23">
          <cell r="F23">
            <v>3.0000000000000001E-3</v>
          </cell>
        </row>
        <row r="24">
          <cell r="F24">
            <v>3185.880383940208</v>
          </cell>
        </row>
      </sheetData>
      <sheetData sheetId="24">
        <row r="12">
          <cell r="F12" t="str">
            <v>Налоговый кодекс РФ</v>
          </cell>
        </row>
      </sheetData>
      <sheetData sheetId="25">
        <row r="12">
          <cell r="F12">
            <v>545.69323694979312</v>
          </cell>
        </row>
        <row r="16">
          <cell r="F16">
            <v>1652.5</v>
          </cell>
        </row>
        <row r="17">
          <cell r="F17">
            <v>73547</v>
          </cell>
        </row>
        <row r="18">
          <cell r="F18">
            <v>0.02</v>
          </cell>
        </row>
        <row r="19">
          <cell r="F19">
            <v>12104</v>
          </cell>
        </row>
        <row r="20">
          <cell r="F20">
            <v>1.4999999999999999E-2</v>
          </cell>
        </row>
        <row r="21">
          <cell r="F21">
            <v>1933.1949342509995</v>
          </cell>
        </row>
        <row r="22">
          <cell r="F22">
            <v>3.6112641666666665</v>
          </cell>
        </row>
        <row r="23">
          <cell r="F23">
            <v>180</v>
          </cell>
        </row>
        <row r="24">
          <cell r="F24">
            <v>8497.1999999999989</v>
          </cell>
        </row>
        <row r="25">
          <cell r="F25">
            <v>0.35</v>
          </cell>
        </row>
        <row r="26">
          <cell r="F26">
            <v>99.678690000000003</v>
          </cell>
        </row>
        <row r="27">
          <cell r="F27">
            <v>1291.2863994686898</v>
          </cell>
        </row>
        <row r="28">
          <cell r="F28">
            <v>991.77142816335618</v>
          </cell>
        </row>
        <row r="29">
          <cell r="F29">
            <v>299.51497130533357</v>
          </cell>
        </row>
        <row r="30">
          <cell r="F30">
            <v>2821.3911011276814</v>
          </cell>
        </row>
        <row r="33">
          <cell r="F33">
            <v>1581.3484522247327</v>
          </cell>
        </row>
        <row r="35">
          <cell r="F35">
            <v>18.902267999999999</v>
          </cell>
        </row>
        <row r="36">
          <cell r="F36">
            <v>14319.9</v>
          </cell>
        </row>
        <row r="37">
          <cell r="F37">
            <v>1.32</v>
          </cell>
        </row>
      </sheetData>
      <sheetData sheetId="26">
        <row r="12">
          <cell r="F12" t="str">
            <v>Постановление Правительства Российской Федерации от 17.04.2024 № 492</v>
          </cell>
        </row>
      </sheetData>
      <sheetData sheetId="27">
        <row r="8">
          <cell r="F8" t="str">
            <v>нет</v>
          </cell>
        </row>
        <row r="15">
          <cell r="D15" t="str">
            <v>АО "Новосибирскэнергосбыт"</v>
          </cell>
        </row>
        <row r="21">
          <cell r="D21">
            <v>0</v>
          </cell>
        </row>
      </sheetData>
      <sheetData sheetId="28">
        <row r="11">
          <cell r="E11">
            <v>1871</v>
          </cell>
        </row>
        <row r="12">
          <cell r="E12">
            <v>1636</v>
          </cell>
        </row>
        <row r="13">
          <cell r="E13">
            <v>204</v>
          </cell>
        </row>
        <row r="16">
          <cell r="E16">
            <v>0</v>
          </cell>
        </row>
        <row r="17">
          <cell r="E17">
            <v>26.63</v>
          </cell>
        </row>
        <row r="18">
          <cell r="E18">
            <v>0</v>
          </cell>
        </row>
        <row r="19">
          <cell r="E19">
            <v>30.82</v>
          </cell>
        </row>
      </sheetData>
      <sheetData sheetId="29"/>
      <sheetData sheetId="30">
        <row r="12">
          <cell r="F12">
            <v>113.12243793620914</v>
          </cell>
        </row>
        <row r="17">
          <cell r="F17">
            <v>0.02</v>
          </cell>
        </row>
      </sheetData>
      <sheetData sheetId="31">
        <row r="12">
          <cell r="F12" t="str">
            <v>-</v>
          </cell>
        </row>
      </sheetData>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нструкция"/>
      <sheetName val="Структура"/>
      <sheetName val="Содержание"/>
      <sheetName val="И1"/>
      <sheetName val="Инвест.об."/>
      <sheetName val="И2"/>
      <sheetName val="И2.1"/>
      <sheetName val="С1"/>
      <sheetName val="С1.1"/>
      <sheetName val="С1.2"/>
      <sheetName val="Data1.2"/>
      <sheetName val="С1.3"/>
      <sheetName val="Data1.3"/>
      <sheetName val="С2"/>
      <sheetName val="С2.1"/>
      <sheetName val="Data2.1"/>
      <sheetName val="С2.2"/>
      <sheetName val="С2.3"/>
      <sheetName val="С2.4"/>
      <sheetName val="Data2.4"/>
      <sheetName val="С2.5"/>
      <sheetName val="С2.6"/>
      <sheetName val="Data2.6"/>
      <sheetName val="С3"/>
      <sheetName val="С3.1"/>
      <sheetName val="С4"/>
      <sheetName val="С4.1"/>
      <sheetName val="С4.2"/>
      <sheetName val="С4.3"/>
      <sheetName val="С4.4"/>
      <sheetName val="С5"/>
      <sheetName val="С6"/>
      <sheetName val="И3"/>
      <sheetName val="Проверка"/>
      <sheetName val="ИПЦ_ИПГ"/>
      <sheetName val="АК_прогноз"/>
      <sheetName val="ПУЦ (п.67)"/>
      <sheetName val="АК_прогноз_j"/>
      <sheetName val="Гр&amp;ПУЦ_v1"/>
      <sheetName val="Заморозка"/>
      <sheetName val="ИПГ_мо"/>
      <sheetName val="ИПГ_рег"/>
      <sheetName val="Темп VS ИПГ"/>
      <sheetName val="МУ770_Т1"/>
      <sheetName val="Гр&amp;ПУЦ_v2"/>
      <sheetName val="Системный"/>
    </sheetNames>
    <sheetDataSet>
      <sheetData sheetId="0"/>
      <sheetData sheetId="1"/>
      <sheetData sheetId="2"/>
      <sheetData sheetId="3">
        <row r="8">
          <cell r="D8" t="str">
            <v>Период регулирования (i)-й</v>
          </cell>
        </row>
        <row r="14">
          <cell r="E14" t="str">
            <v>село Улыбино, Искитимский муниципальный район</v>
          </cell>
        </row>
        <row r="16">
          <cell r="E16" t="str">
            <v xml:space="preserve"> (50615431101)</v>
          </cell>
        </row>
      </sheetData>
      <sheetData sheetId="4"/>
      <sheetData sheetId="5"/>
      <sheetData sheetId="6"/>
      <sheetData sheetId="7">
        <row r="12">
          <cell r="F12">
            <v>1048.8529876940834</v>
          </cell>
        </row>
      </sheetData>
      <sheetData sheetId="8">
        <row r="13">
          <cell r="E13" t="str">
            <v>уголь (вид угля не указан в топливном балансе)</v>
          </cell>
        </row>
      </sheetData>
      <sheetData sheetId="9"/>
      <sheetData sheetId="10"/>
      <sheetData sheetId="11"/>
      <sheetData sheetId="12"/>
      <sheetData sheetId="13">
        <row r="12">
          <cell r="F12">
            <v>3063.2235383547568</v>
          </cell>
        </row>
      </sheetData>
      <sheetData sheetId="14">
        <row r="12">
          <cell r="E12" t="str">
            <v>V</v>
          </cell>
        </row>
      </sheetData>
      <sheetData sheetId="15"/>
      <sheetData sheetId="16">
        <row r="10">
          <cell r="E10">
            <v>1287</v>
          </cell>
        </row>
      </sheetData>
      <sheetData sheetId="17">
        <row r="11">
          <cell r="E11">
            <v>9.89</v>
          </cell>
        </row>
      </sheetData>
      <sheetData sheetId="18"/>
      <sheetData sheetId="19"/>
      <sheetData sheetId="20">
        <row r="11">
          <cell r="E11">
            <v>-2.9000000000000026E-2</v>
          </cell>
        </row>
      </sheetData>
      <sheetData sheetId="21"/>
      <sheetData sheetId="22"/>
      <sheetData sheetId="23">
        <row r="12">
          <cell r="F12">
            <v>917.89815316767874</v>
          </cell>
        </row>
      </sheetData>
      <sheetData sheetId="24"/>
      <sheetData sheetId="25">
        <row r="12">
          <cell r="F12">
            <v>529.06632358453453</v>
          </cell>
        </row>
      </sheetData>
      <sheetData sheetId="26"/>
      <sheetData sheetId="27">
        <row r="8">
          <cell r="F8" t="str">
            <v>нет</v>
          </cell>
        </row>
      </sheetData>
      <sheetData sheetId="28">
        <row r="11">
          <cell r="E11">
            <v>1871</v>
          </cell>
        </row>
      </sheetData>
      <sheetData sheetId="29"/>
      <sheetData sheetId="30">
        <row r="12">
          <cell r="F12">
            <v>111.18082005602108</v>
          </cell>
        </row>
      </sheetData>
      <sheetData sheetId="31">
        <row r="12">
          <cell r="F12" t="str">
            <v>-</v>
          </cell>
        </row>
      </sheetData>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нструкция"/>
      <sheetName val="Структура"/>
      <sheetName val="Содержание"/>
      <sheetName val="И1"/>
      <sheetName val="Инвест.об."/>
      <sheetName val="И2"/>
      <sheetName val="И2.1"/>
      <sheetName val="С1"/>
      <sheetName val="С1.1"/>
      <sheetName val="С1.2"/>
      <sheetName val="Data1.2"/>
      <sheetName val="С1.3"/>
      <sheetName val="Data1.3"/>
      <sheetName val="С2"/>
      <sheetName val="С2.1"/>
      <sheetName val="Data2.1"/>
      <sheetName val="С2.2"/>
      <sheetName val="С2.3"/>
      <sheetName val="С2.4"/>
      <sheetName val="Data2.4"/>
      <sheetName val="С2.5"/>
      <sheetName val="С2.6"/>
      <sheetName val="Data2.6"/>
      <sheetName val="С3"/>
      <sheetName val="С3.1"/>
      <sheetName val="С4"/>
      <sheetName val="С4.1"/>
      <sheetName val="С4.2"/>
      <sheetName val="С4.3"/>
      <sheetName val="С4.4"/>
      <sheetName val="С5"/>
      <sheetName val="С6"/>
      <sheetName val="И3"/>
      <sheetName val="Проверка"/>
      <sheetName val="ИПЦ_ИПГ"/>
      <sheetName val="АК_прогноз"/>
      <sheetName val="ПУЦ (п.67)"/>
      <sheetName val="АК_прогноз_j"/>
      <sheetName val="Гр&amp;ПУЦ_v1"/>
      <sheetName val="Заморозка"/>
      <sheetName val="ИПГ_мо"/>
      <sheetName val="ИПГ_рег"/>
      <sheetName val="Темп VS ИПГ"/>
      <sheetName val="МУ770_Т1"/>
      <sheetName val="Гр&amp;ПУЦ_v2"/>
      <sheetName val="Системный"/>
      <sheetName val="Шаблон ЦАК_уголь_2026_5эт Усть-"/>
    </sheetNames>
    <sheetDataSet>
      <sheetData sheetId="0"/>
      <sheetData sheetId="1"/>
      <sheetData sheetId="2"/>
      <sheetData sheetId="3">
        <row r="8">
          <cell r="D8" t="str">
            <v>Период регулирования (i)-й</v>
          </cell>
          <cell r="E8">
            <v>2026</v>
          </cell>
        </row>
        <row r="9">
          <cell r="D9" t="str">
            <v>Период регулирования (i-1)-й</v>
          </cell>
          <cell r="E9">
            <v>2025</v>
          </cell>
        </row>
        <row r="10">
          <cell r="D10" t="str">
            <v>Период регулирования (i-2)-й</v>
          </cell>
          <cell r="E10">
            <v>2024</v>
          </cell>
        </row>
        <row r="11">
          <cell r="D11" t="str">
            <v>Базовый год (б)</v>
          </cell>
          <cell r="E11">
            <v>2019</v>
          </cell>
        </row>
        <row r="13">
          <cell r="D13" t="str">
            <v>Субъект Российской Федерации</v>
          </cell>
          <cell r="E13" t="str">
            <v>Новосибирская область</v>
          </cell>
        </row>
        <row r="14">
          <cell r="D14" t="str">
            <v>Тип муниципального образования (выберите из списка)</v>
          </cell>
        </row>
        <row r="15">
          <cell r="D15" t="str">
            <v/>
          </cell>
          <cell r="E15">
            <v>0</v>
          </cell>
        </row>
        <row r="16">
          <cell r="D16" t="str">
            <v>Код ОКТМО</v>
          </cell>
        </row>
        <row r="17">
          <cell r="D17" t="str">
            <v>Система теплоснабжения</v>
          </cell>
          <cell r="E17">
            <v>0</v>
          </cell>
        </row>
        <row r="18">
          <cell r="D18" t="str">
            <v>Вид топлива, использование которого преобладает в системе теплоснабжения</v>
          </cell>
        </row>
      </sheetData>
      <sheetData sheetId="4"/>
      <sheetData sheetId="5"/>
      <sheetData sheetId="6"/>
      <sheetData sheetId="7">
        <row r="12">
          <cell r="F12">
            <v>720.34893333841308</v>
          </cell>
        </row>
        <row r="13">
          <cell r="F13">
            <v>176.4</v>
          </cell>
        </row>
        <row r="16">
          <cell r="F16">
            <v>7000</v>
          </cell>
        </row>
        <row r="17">
          <cell r="F17">
            <v>0.72857142857142854</v>
          </cell>
        </row>
        <row r="20">
          <cell r="F20">
            <v>21.588411179999994</v>
          </cell>
        </row>
        <row r="21">
          <cell r="F21">
            <v>20.818139999999996</v>
          </cell>
        </row>
        <row r="22">
          <cell r="F22">
            <v>1.0369999999999999</v>
          </cell>
        </row>
        <row r="23">
          <cell r="F23">
            <v>1.0469999999999999</v>
          </cell>
        </row>
      </sheetData>
      <sheetData sheetId="8">
        <row r="9">
          <cell r="I9" t="str">
            <v>цены (тарифы), подлежащие государственному регулированию, действовавшие на день окончания (i-2)-го расчетного периода в системе теплоснабжения</v>
          </cell>
        </row>
        <row r="13">
          <cell r="E13" t="str">
            <v>каменный уголь</v>
          </cell>
        </row>
        <row r="16">
          <cell r="E16">
            <v>5100</v>
          </cell>
        </row>
        <row r="19">
          <cell r="E19">
            <v>-0.11899999999999999</v>
          </cell>
        </row>
        <row r="20">
          <cell r="E20">
            <v>4.0000000000000001E-3</v>
          </cell>
        </row>
        <row r="27">
          <cell r="E27">
            <v>3098</v>
          </cell>
        </row>
      </sheetData>
      <sheetData sheetId="9"/>
      <sheetData sheetId="10"/>
      <sheetData sheetId="11">
        <row r="9">
          <cell r="G9">
            <v>0</v>
          </cell>
        </row>
      </sheetData>
      <sheetData sheetId="12"/>
      <sheetData sheetId="13">
        <row r="12">
          <cell r="F12">
            <v>3097.7824122172187</v>
          </cell>
        </row>
        <row r="13">
          <cell r="F13">
            <v>210571.60987470482</v>
          </cell>
        </row>
        <row r="14">
          <cell r="F14">
            <v>113455</v>
          </cell>
        </row>
        <row r="15">
          <cell r="F15">
            <v>1.071</v>
          </cell>
        </row>
        <row r="16">
          <cell r="F16">
            <v>1</v>
          </cell>
        </row>
        <row r="17">
          <cell r="F17">
            <v>1.01</v>
          </cell>
        </row>
        <row r="18">
          <cell r="F18">
            <v>40220.845230503684</v>
          </cell>
        </row>
        <row r="19">
          <cell r="F19">
            <v>0</v>
          </cell>
        </row>
        <row r="20">
          <cell r="F20">
            <v>23441.524932855718</v>
          </cell>
        </row>
        <row r="21">
          <cell r="F21">
            <v>1</v>
          </cell>
        </row>
        <row r="22">
          <cell r="F22">
            <v>4298.6978080550834</v>
          </cell>
        </row>
        <row r="23">
          <cell r="F23">
            <v>1990</v>
          </cell>
        </row>
        <row r="26">
          <cell r="F26">
            <v>3185.880383940208</v>
          </cell>
        </row>
        <row r="27">
          <cell r="F27">
            <v>0.44209422600000003</v>
          </cell>
        </row>
        <row r="28">
          <cell r="F28">
            <v>4200</v>
          </cell>
        </row>
        <row r="29">
          <cell r="F29">
            <v>0.21369165990259753</v>
          </cell>
        </row>
        <row r="30">
          <cell r="F30">
            <v>0.20047619047619047</v>
          </cell>
        </row>
        <row r="31">
          <cell r="F31">
            <v>0.13880000000000001</v>
          </cell>
        </row>
        <row r="32">
          <cell r="F32">
            <v>0.12640000000000001</v>
          </cell>
        </row>
        <row r="33">
          <cell r="F33">
            <v>10</v>
          </cell>
        </row>
        <row r="35">
          <cell r="F35">
            <v>1.7157947422665329</v>
          </cell>
        </row>
        <row r="37">
          <cell r="F37">
            <v>20.818139999999996</v>
          </cell>
        </row>
        <row r="38">
          <cell r="F38">
            <v>7</v>
          </cell>
        </row>
        <row r="40">
          <cell r="F40">
            <v>0.97</v>
          </cell>
        </row>
        <row r="42">
          <cell r="F42">
            <v>0.35</v>
          </cell>
        </row>
      </sheetData>
      <sheetData sheetId="14">
        <row r="12">
          <cell r="E12" t="str">
            <v>V</v>
          </cell>
        </row>
        <row r="13">
          <cell r="E13" t="str">
            <v>6 и менее баллов</v>
          </cell>
        </row>
        <row r="14">
          <cell r="E14" t="str">
            <v>от 200 до 500</v>
          </cell>
        </row>
        <row r="15">
          <cell r="E15" t="str">
            <v>нет</v>
          </cell>
        </row>
        <row r="19">
          <cell r="E19">
            <v>-38</v>
          </cell>
        </row>
        <row r="22">
          <cell r="E22" t="str">
            <v>нет</v>
          </cell>
        </row>
        <row r="27">
          <cell r="E27">
            <v>246.24401</v>
          </cell>
        </row>
        <row r="28">
          <cell r="E28">
            <v>269.12432000000001</v>
          </cell>
        </row>
      </sheetData>
      <sheetData sheetId="15"/>
      <sheetData sheetId="16">
        <row r="10">
          <cell r="E10">
            <v>1287</v>
          </cell>
        </row>
        <row r="12">
          <cell r="E12">
            <v>5.97</v>
          </cell>
        </row>
        <row r="13">
          <cell r="E13">
            <v>1</v>
          </cell>
        </row>
        <row r="14">
          <cell r="E14">
            <v>12104</v>
          </cell>
        </row>
        <row r="15">
          <cell r="E15">
            <v>4.8000000000000001E-2</v>
          </cell>
        </row>
        <row r="16">
          <cell r="E16">
            <v>1</v>
          </cell>
        </row>
      </sheetData>
      <sheetData sheetId="17">
        <row r="11">
          <cell r="E11">
            <v>9.89</v>
          </cell>
        </row>
        <row r="12">
          <cell r="E12">
            <v>0.56000000000000005</v>
          </cell>
        </row>
        <row r="13">
          <cell r="E13">
            <v>300</v>
          </cell>
        </row>
        <row r="14">
          <cell r="E14">
            <v>61211</v>
          </cell>
        </row>
        <row r="15">
          <cell r="E15">
            <v>45675</v>
          </cell>
        </row>
        <row r="16">
          <cell r="E16">
            <v>65637</v>
          </cell>
        </row>
        <row r="17">
          <cell r="E17">
            <v>31684</v>
          </cell>
        </row>
        <row r="21">
          <cell r="E21" t="str">
            <v>Муниципальное унитарное предприятие города Куйбышева Куйбышевского района Новосибирской области "Горводоканал"</v>
          </cell>
        </row>
        <row r="22">
          <cell r="E22">
            <v>8809</v>
          </cell>
        </row>
        <row r="23">
          <cell r="E23">
            <v>530.41</v>
          </cell>
        </row>
        <row r="25">
          <cell r="E25" t="str">
            <v>Муниципальное унитарное предприятие города Куйбышева Куйбышевского района Новосибирской области "Геострой"</v>
          </cell>
        </row>
        <row r="26">
          <cell r="E26">
            <v>21397</v>
          </cell>
        </row>
        <row r="27">
          <cell r="E27">
            <v>857.14</v>
          </cell>
        </row>
      </sheetData>
      <sheetData sheetId="18">
        <row r="12">
          <cell r="F12" t="str">
            <v>Постановление Правительства Новосибирской области от 29.11.2011 №535-п (ред. 14.04.2014) "Об утверждении результатов государственной кадастровой оценки земель населенных пунктов в новосибирской области и среднего уровня кадастровой стоимости земель населенных пунктов по муниципальным районам и городским округам Новосибирской области"</v>
          </cell>
        </row>
      </sheetData>
      <sheetData sheetId="19"/>
      <sheetData sheetId="20">
        <row r="11">
          <cell r="E11">
            <v>-2.9000000000000026E-2</v>
          </cell>
          <cell r="F11">
            <v>0.245</v>
          </cell>
          <cell r="G11">
            <v>0.114</v>
          </cell>
          <cell r="H11">
            <v>0.04</v>
          </cell>
          <cell r="I11">
            <v>0.121</v>
          </cell>
          <cell r="J11">
            <v>0.03</v>
          </cell>
          <cell r="K11">
            <v>6.0999999999999999E-2</v>
          </cell>
          <cell r="L11">
            <v>3.2682303599220003E-2</v>
          </cell>
          <cell r="M11">
            <v>0</v>
          </cell>
          <cell r="N11">
            <v>0</v>
          </cell>
          <cell r="O11">
            <v>0</v>
          </cell>
          <cell r="P11">
            <v>0</v>
          </cell>
          <cell r="Q11">
            <v>0</v>
          </cell>
          <cell r="R11">
            <v>0</v>
          </cell>
          <cell r="S11">
            <v>0</v>
          </cell>
          <cell r="T11">
            <v>0</v>
          </cell>
          <cell r="U11">
            <v>0</v>
          </cell>
          <cell r="V11">
            <v>0</v>
          </cell>
          <cell r="W11">
            <v>0</v>
          </cell>
          <cell r="X11">
            <v>0</v>
          </cell>
          <cell r="Y11">
            <v>0</v>
          </cell>
          <cell r="Z11">
            <v>0</v>
          </cell>
          <cell r="AA11">
            <v>0</v>
          </cell>
          <cell r="AB11">
            <v>0</v>
          </cell>
          <cell r="AC11">
            <v>0</v>
          </cell>
          <cell r="AD11">
            <v>0</v>
          </cell>
          <cell r="AE11">
            <v>0</v>
          </cell>
          <cell r="AF11">
            <v>0</v>
          </cell>
          <cell r="AG11">
            <v>0</v>
          </cell>
          <cell r="AH11">
            <v>0</v>
          </cell>
          <cell r="AI11">
            <v>0</v>
          </cell>
          <cell r="AJ11">
            <v>0</v>
          </cell>
          <cell r="AK11">
            <v>0</v>
          </cell>
          <cell r="AL11">
            <v>0</v>
          </cell>
          <cell r="AM11">
            <v>0</v>
          </cell>
          <cell r="AN11">
            <v>0</v>
          </cell>
          <cell r="AO11">
            <v>0</v>
          </cell>
          <cell r="AP11">
            <v>0</v>
          </cell>
          <cell r="AQ11">
            <v>0</v>
          </cell>
          <cell r="AR11">
            <v>0</v>
          </cell>
          <cell r="AS11">
            <v>0</v>
          </cell>
          <cell r="AT11">
            <v>0</v>
          </cell>
          <cell r="AU11">
            <v>0</v>
          </cell>
          <cell r="AV11">
            <v>0</v>
          </cell>
          <cell r="AW11">
            <v>0</v>
          </cell>
          <cell r="AX11">
            <v>0</v>
          </cell>
          <cell r="AY11">
            <v>0</v>
          </cell>
          <cell r="AZ11">
            <v>0</v>
          </cell>
          <cell r="BA11">
            <v>0</v>
          </cell>
          <cell r="BB11">
            <v>0</v>
          </cell>
          <cell r="BC11">
            <v>0</v>
          </cell>
          <cell r="BD11">
            <v>0</v>
          </cell>
          <cell r="BE11">
            <v>0</v>
          </cell>
          <cell r="BF11">
            <v>0</v>
          </cell>
          <cell r="BG11">
            <v>0</v>
          </cell>
          <cell r="BH11">
            <v>0</v>
          </cell>
          <cell r="BI11">
            <v>0</v>
          </cell>
          <cell r="BJ11">
            <v>0</v>
          </cell>
          <cell r="BK11">
            <v>0</v>
          </cell>
          <cell r="BL11">
            <v>0</v>
          </cell>
          <cell r="BM11">
            <v>0</v>
          </cell>
          <cell r="BN11">
            <v>0</v>
          </cell>
          <cell r="BO11">
            <v>0</v>
          </cell>
          <cell r="BP11">
            <v>0</v>
          </cell>
          <cell r="BQ11">
            <v>0</v>
          </cell>
          <cell r="BR11">
            <v>0</v>
          </cell>
          <cell r="BS11">
            <v>0</v>
          </cell>
          <cell r="BT11">
            <v>0</v>
          </cell>
          <cell r="BU11">
            <v>0</v>
          </cell>
          <cell r="BV11">
            <v>0</v>
          </cell>
          <cell r="BW11">
            <v>0</v>
          </cell>
          <cell r="BX11">
            <v>0</v>
          </cell>
          <cell r="BY11">
            <v>0</v>
          </cell>
          <cell r="BZ11">
            <v>0</v>
          </cell>
          <cell r="CA11">
            <v>0</v>
          </cell>
          <cell r="CB11">
            <v>0</v>
          </cell>
          <cell r="CC11">
            <v>0</v>
          </cell>
          <cell r="CD11">
            <v>0</v>
          </cell>
          <cell r="CE11">
            <v>0</v>
          </cell>
          <cell r="CF11">
            <v>0</v>
          </cell>
          <cell r="CG11">
            <v>0</v>
          </cell>
        </row>
      </sheetData>
      <sheetData sheetId="21">
        <row r="11">
          <cell r="G11" t="str">
            <v>Информация с официального сайта Банка России</v>
          </cell>
        </row>
      </sheetData>
      <sheetData sheetId="22"/>
      <sheetData sheetId="23">
        <row r="12">
          <cell r="F12">
            <v>940.47266370947932</v>
          </cell>
        </row>
        <row r="14">
          <cell r="F14">
            <v>15827.997028730506</v>
          </cell>
        </row>
        <row r="15">
          <cell r="F15">
            <v>0.25</v>
          </cell>
        </row>
        <row r="18">
          <cell r="F18">
            <v>15</v>
          </cell>
        </row>
        <row r="19">
          <cell r="F19">
            <v>3741.3369093945325</v>
          </cell>
        </row>
        <row r="20">
          <cell r="F20">
            <v>2.1999999999999999E-2</v>
          </cell>
        </row>
        <row r="21">
          <cell r="F21">
            <v>10</v>
          </cell>
        </row>
        <row r="22">
          <cell r="F22">
            <v>9.5576411518206239</v>
          </cell>
        </row>
        <row r="23">
          <cell r="F23">
            <v>3.0000000000000001E-3</v>
          </cell>
        </row>
        <row r="24">
          <cell r="F24">
            <v>3185.880383940208</v>
          </cell>
        </row>
      </sheetData>
      <sheetData sheetId="24">
        <row r="12">
          <cell r="F12" t="str">
            <v>Налоговый кодекс РФ</v>
          </cell>
        </row>
      </sheetData>
      <sheetData sheetId="25">
        <row r="12">
          <cell r="F12">
            <v>520.33052388407441</v>
          </cell>
        </row>
        <row r="16">
          <cell r="F16">
            <v>1652.5</v>
          </cell>
        </row>
        <row r="17">
          <cell r="F17">
            <v>73547</v>
          </cell>
        </row>
        <row r="18">
          <cell r="F18">
            <v>0.02</v>
          </cell>
        </row>
        <row r="19">
          <cell r="F19">
            <v>12104</v>
          </cell>
        </row>
        <row r="20">
          <cell r="F20">
            <v>1.4999999999999999E-2</v>
          </cell>
        </row>
        <row r="21">
          <cell r="F21">
            <v>1933.1949342509995</v>
          </cell>
        </row>
        <row r="22">
          <cell r="F22">
            <v>3.6112641666666665</v>
          </cell>
        </row>
        <row r="23">
          <cell r="F23">
            <v>180</v>
          </cell>
        </row>
        <row r="24">
          <cell r="F24">
            <v>8497.1999999999989</v>
          </cell>
        </row>
        <row r="25">
          <cell r="F25">
            <v>0.35</v>
          </cell>
        </row>
        <row r="26">
          <cell r="F26">
            <v>91.185569999999998</v>
          </cell>
        </row>
        <row r="27">
          <cell r="F27">
            <v>1291.2863994686898</v>
          </cell>
        </row>
        <row r="28">
          <cell r="F28">
            <v>991.77142816335618</v>
          </cell>
        </row>
        <row r="29">
          <cell r="F29">
            <v>299.51497130533357</v>
          </cell>
        </row>
        <row r="30">
          <cell r="F30">
            <v>2307.9590403871598</v>
          </cell>
        </row>
        <row r="33">
          <cell r="F33">
            <v>1068.6450140162826</v>
          </cell>
        </row>
        <row r="35">
          <cell r="F35">
            <v>18.902267999999999</v>
          </cell>
        </row>
        <row r="36">
          <cell r="F36">
            <v>14319.9</v>
          </cell>
        </row>
        <row r="37">
          <cell r="F37">
            <v>1.32</v>
          </cell>
        </row>
      </sheetData>
      <sheetData sheetId="26">
        <row r="12">
          <cell r="F12" t="str">
            <v>Постановление Правительства Российской Федерации от 17.04.2024 № 492</v>
          </cell>
        </row>
      </sheetData>
      <sheetData sheetId="27">
        <row r="8">
          <cell r="F8" t="str">
            <v>нет</v>
          </cell>
        </row>
        <row r="15">
          <cell r="D15" t="str">
            <v>АО "Новосибирскэнергосбыт"</v>
          </cell>
        </row>
        <row r="21">
          <cell r="D21">
            <v>0</v>
          </cell>
        </row>
      </sheetData>
      <sheetData sheetId="28">
        <row r="11">
          <cell r="E11">
            <v>1871</v>
          </cell>
        </row>
        <row r="12">
          <cell r="E12">
            <v>1636</v>
          </cell>
        </row>
        <row r="13">
          <cell r="E13">
            <v>204</v>
          </cell>
        </row>
        <row r="16">
          <cell r="E16">
            <v>0</v>
          </cell>
        </row>
        <row r="17">
          <cell r="E17">
            <v>25.15</v>
          </cell>
        </row>
        <row r="18">
          <cell r="E18">
            <v>0</v>
          </cell>
        </row>
        <row r="19">
          <cell r="E19">
            <v>14.63</v>
          </cell>
        </row>
      </sheetData>
      <sheetData sheetId="29"/>
      <sheetData sheetId="30">
        <row r="12">
          <cell r="F12">
            <v>105.57869066298372</v>
          </cell>
        </row>
        <row r="17">
          <cell r="F17">
            <v>0.02</v>
          </cell>
        </row>
      </sheetData>
      <sheetData sheetId="31">
        <row r="12">
          <cell r="F12" t="str">
            <v>-</v>
          </cell>
        </row>
      </sheetData>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нструкция"/>
      <sheetName val="Структура"/>
      <sheetName val="Содержание"/>
      <sheetName val="И1"/>
      <sheetName val="Инвест.об."/>
      <sheetName val="И2"/>
      <sheetName val="И2.1"/>
      <sheetName val="С1"/>
      <sheetName val="С1.1"/>
      <sheetName val="С1.2"/>
      <sheetName val="Data1.2"/>
      <sheetName val="С1.3"/>
      <sheetName val="Data1.3"/>
      <sheetName val="С2"/>
      <sheetName val="С2.1"/>
      <sheetName val="Data2.1"/>
      <sheetName val="С2.2"/>
      <sheetName val="С2.3"/>
      <sheetName val="С2.4"/>
      <sheetName val="Data2.4"/>
      <sheetName val="С2.5"/>
      <sheetName val="С2.6"/>
      <sheetName val="Data2.6"/>
      <sheetName val="С3"/>
      <sheetName val="С3.1"/>
      <sheetName val="С4"/>
      <sheetName val="С4.1"/>
      <sheetName val="С4.2"/>
      <sheetName val="С4.3"/>
      <sheetName val="С4.4"/>
      <sheetName val="С5"/>
      <sheetName val="С6"/>
      <sheetName val="И3"/>
      <sheetName val="Проверка"/>
      <sheetName val="ИПЦ_ИПГ"/>
      <sheetName val="АК_прогноз"/>
      <sheetName val="ПУЦ (п.67)"/>
      <sheetName val="АК_прогноз_j"/>
      <sheetName val="Гр&amp;ПУЦ_v1"/>
      <sheetName val="Заморозка"/>
      <sheetName val="ИПГ_мо"/>
      <sheetName val="ИПГ_рег"/>
      <sheetName val="Темп VS ИПГ"/>
      <sheetName val="МУ770_Т1"/>
      <sheetName val="Гр&amp;ПУЦ_v2"/>
      <sheetName val="Системный"/>
    </sheetNames>
    <sheetDataSet>
      <sheetData sheetId="0"/>
      <sheetData sheetId="1"/>
      <sheetData sheetId="2"/>
      <sheetData sheetId="3">
        <row r="8">
          <cell r="D8" t="str">
            <v>Период регулирования (i)-й</v>
          </cell>
        </row>
        <row r="14">
          <cell r="E14" t="str">
            <v>село Усть-Чем, Искитимский муниципальный район</v>
          </cell>
        </row>
        <row r="16">
          <cell r="E16" t="str">
            <v xml:space="preserve"> (50615434101)</v>
          </cell>
        </row>
      </sheetData>
      <sheetData sheetId="4"/>
      <sheetData sheetId="5"/>
      <sheetData sheetId="6"/>
      <sheetData sheetId="7">
        <row r="12">
          <cell r="F12">
            <v>958.24669124268542</v>
          </cell>
        </row>
      </sheetData>
      <sheetData sheetId="8">
        <row r="13">
          <cell r="E13" t="str">
            <v>уголь (вид угля не указан в топливном балансе)</v>
          </cell>
        </row>
      </sheetData>
      <sheetData sheetId="9"/>
      <sheetData sheetId="10"/>
      <sheetData sheetId="11"/>
      <sheetData sheetId="12"/>
      <sheetData sheetId="13">
        <row r="12">
          <cell r="F12">
            <v>3063.2235383547568</v>
          </cell>
        </row>
      </sheetData>
      <sheetData sheetId="14">
        <row r="12">
          <cell r="E12" t="str">
            <v>V</v>
          </cell>
        </row>
      </sheetData>
      <sheetData sheetId="15"/>
      <sheetData sheetId="16">
        <row r="10">
          <cell r="E10">
            <v>1287</v>
          </cell>
        </row>
      </sheetData>
      <sheetData sheetId="17">
        <row r="11">
          <cell r="E11">
            <v>9.89</v>
          </cell>
        </row>
      </sheetData>
      <sheetData sheetId="18"/>
      <sheetData sheetId="19"/>
      <sheetData sheetId="20">
        <row r="11">
          <cell r="E11">
            <v>-2.9000000000000026E-2</v>
          </cell>
        </row>
      </sheetData>
      <sheetData sheetId="21"/>
      <sheetData sheetId="22"/>
      <sheetData sheetId="23">
        <row r="12">
          <cell r="F12">
            <v>917.89815316767874</v>
          </cell>
        </row>
      </sheetData>
      <sheetData sheetId="24"/>
      <sheetData sheetId="25">
        <row r="12">
          <cell r="F12">
            <v>522.01284893953209</v>
          </cell>
        </row>
      </sheetData>
      <sheetData sheetId="26"/>
      <sheetData sheetId="27">
        <row r="8">
          <cell r="F8" t="str">
            <v>нет</v>
          </cell>
        </row>
      </sheetData>
      <sheetData sheetId="28">
        <row r="11">
          <cell r="E11">
            <v>1871</v>
          </cell>
        </row>
      </sheetData>
      <sheetData sheetId="29"/>
      <sheetData sheetId="30">
        <row r="12">
          <cell r="F12">
            <v>109.22762463409306</v>
          </cell>
        </row>
      </sheetData>
      <sheetData sheetId="31">
        <row r="12">
          <cell r="F12" t="str">
            <v>-</v>
          </cell>
        </row>
      </sheetData>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нструкция"/>
      <sheetName val="Структура"/>
      <sheetName val="Содержание"/>
      <sheetName val="И1"/>
      <sheetName val="Инвест.об."/>
      <sheetName val="И2"/>
      <sheetName val="И2.1"/>
      <sheetName val="С1"/>
      <sheetName val="С1.1"/>
      <sheetName val="С1.2"/>
      <sheetName val="Data1.2"/>
      <sheetName val="С1.3"/>
      <sheetName val="Data1.3"/>
      <sheetName val="С2"/>
      <sheetName val="С2.1"/>
      <sheetName val="Data2.1"/>
      <sheetName val="С2.2"/>
      <sheetName val="С2.3"/>
      <sheetName val="С2.4"/>
      <sheetName val="С2.5"/>
      <sheetName val="С2.6"/>
      <sheetName val="Data2.6"/>
      <sheetName val="С3"/>
      <sheetName val="С3.1"/>
      <sheetName val="С4"/>
      <sheetName val="С4.1"/>
      <sheetName val="С4.2"/>
      <sheetName val="С4.3"/>
      <sheetName val="С4.4"/>
      <sheetName val="С5"/>
      <sheetName val="С6"/>
      <sheetName val="С6.1"/>
      <sheetName val="И3"/>
      <sheetName val="Проверка"/>
      <sheetName val="Системный"/>
      <sheetName val="АК_прогноз"/>
      <sheetName val="Гр&amp;ПУЦ_v1"/>
      <sheetName val="Заморозка"/>
      <sheetName val="ИПГ_мо"/>
      <sheetName val="ИПГ_рег"/>
      <sheetName val="Темп VS ИПГ"/>
      <sheetName val="МУ770_Т1"/>
      <sheetName val="ИПЦ_ИПГ"/>
      <sheetName val="ПУЦ (п.67)"/>
      <sheetName val="Гр&amp;ПУЦ_v2"/>
      <sheetName val="Лист1"/>
      <sheetName val="Шаблон ЦАК_газ_2026_5 эт Чернор"/>
    </sheetNames>
    <sheetDataSet>
      <sheetData sheetId="0"/>
      <sheetData sheetId="1"/>
      <sheetData sheetId="2"/>
      <sheetData sheetId="3">
        <row r="8">
          <cell r="D8" t="str">
            <v>Период регулирования (i)-й</v>
          </cell>
          <cell r="E8">
            <v>2026</v>
          </cell>
        </row>
        <row r="9">
          <cell r="D9" t="str">
            <v>Период регулирования (i-1)-й</v>
          </cell>
          <cell r="E9">
            <v>2025</v>
          </cell>
        </row>
        <row r="10">
          <cell r="D10" t="str">
            <v>Период регулирования (i-2)-й</v>
          </cell>
          <cell r="E10">
            <v>2024</v>
          </cell>
        </row>
        <row r="11">
          <cell r="D11" t="str">
            <v>Базовый год (б)</v>
          </cell>
          <cell r="E11">
            <v>2019</v>
          </cell>
        </row>
        <row r="13">
          <cell r="D13" t="str">
            <v>Субъект Российской Федерации</v>
          </cell>
          <cell r="E13" t="str">
            <v>Новосибирская область</v>
          </cell>
        </row>
        <row r="14">
          <cell r="D14" t="str">
            <v>Тип муниципального образования (выберите из списка)</v>
          </cell>
        </row>
        <row r="15">
          <cell r="D15" t="str">
            <v/>
          </cell>
          <cell r="E15">
            <v>0</v>
          </cell>
        </row>
        <row r="16">
          <cell r="D16" t="str">
            <v>Код ОКТМО</v>
          </cell>
        </row>
        <row r="17">
          <cell r="D17" t="str">
            <v>Система теплоснабжения</v>
          </cell>
          <cell r="E17">
            <v>0</v>
          </cell>
        </row>
        <row r="18">
          <cell r="D18" t="str">
            <v>Вид топлива, использование которого преобладает в системе теплоснабжения</v>
          </cell>
          <cell r="E18" t="str">
            <v>Газ</v>
          </cell>
        </row>
      </sheetData>
      <sheetData sheetId="4"/>
      <sheetData sheetId="5"/>
      <sheetData sheetId="6"/>
      <sheetData sheetId="7">
        <row r="12">
          <cell r="F12">
            <v>1278.3072413778675</v>
          </cell>
        </row>
        <row r="13">
          <cell r="F13">
            <v>156.1</v>
          </cell>
        </row>
        <row r="16">
          <cell r="F16">
            <v>7000</v>
          </cell>
        </row>
        <row r="17">
          <cell r="F17">
            <v>1.1285714285714286</v>
          </cell>
        </row>
        <row r="20">
          <cell r="F20">
            <v>22.307053372799995</v>
          </cell>
        </row>
        <row r="21">
          <cell r="F21">
            <v>21.531904799999996</v>
          </cell>
        </row>
        <row r="22">
          <cell r="F22">
            <v>1.036</v>
          </cell>
        </row>
        <row r="23">
          <cell r="F23" t="str">
            <v>-</v>
          </cell>
        </row>
      </sheetData>
      <sheetData sheetId="8">
        <row r="9">
          <cell r="I9" t="str">
            <v>цены (тарифы), подлежащие государственному регулированию, действовавшие на день окончания (i-2)-го расчетного периода в системе теплоснабжения</v>
          </cell>
        </row>
        <row r="16">
          <cell r="E16">
            <v>7900</v>
          </cell>
        </row>
        <row r="20">
          <cell r="E20">
            <v>0.21299999999999999</v>
          </cell>
        </row>
        <row r="21">
          <cell r="E21">
            <v>9.6000000000000002E-2</v>
          </cell>
        </row>
        <row r="25">
          <cell r="E25" t="str">
            <v>ООО "Газпром межрегионгаз Новосибирск", ООО "Газпром газораспределение Томск" (с 17.02.2025 ООО "Газпром газораспределение Сибирь")</v>
          </cell>
        </row>
        <row r="26">
          <cell r="D26" t="str">
            <v>Среднеарифметическое значение между установленными предельными максимальным и минимальным уровнями оптовых цен, действовавшими на день окончания (i-2)-го расчетного периода регулирования в системе теплоснабжения, без НДС, руб./тыс. куб. м</v>
          </cell>
          <cell r="E26">
            <v>5670</v>
          </cell>
        </row>
        <row r="27">
          <cell r="D27" t="str">
            <v>Тариф на услуги по транспортировке газа по газораспределительным сетям, действовавший на день окончания (i-2)-го расчетного периода регулирования в системе теплоснабжения, без НДС, руб./тыс. куб. м</v>
          </cell>
          <cell r="E27">
            <v>689.14</v>
          </cell>
        </row>
        <row r="28">
          <cell r="D28" t="str">
            <v>Размер платы за снабженческо-сбытовые услуги, действовавший на день окончания (i-2)-го расчетного периода регулирования в системе теплоснабжения, без НДС, руб./тыс. куб. м</v>
          </cell>
          <cell r="E28">
            <v>144.72999999999999</v>
          </cell>
        </row>
        <row r="29">
          <cell r="D29" t="str">
            <v>Специальная надбавка к тарифам на услуги по транспортировке газа по газораспределительным сетям, действовавшая на день окончания (i-2)-го расчетного периода регулирования в системе теплоснабжения, без НДС, руб./тыс. куб. м</v>
          </cell>
          <cell r="E29">
            <v>206.25</v>
          </cell>
        </row>
        <row r="32">
          <cell r="E32">
            <v>6710.12</v>
          </cell>
        </row>
      </sheetData>
      <sheetData sheetId="9"/>
      <sheetData sheetId="10"/>
      <sheetData sheetId="11">
        <row r="9">
          <cell r="G9">
            <v>0</v>
          </cell>
        </row>
      </sheetData>
      <sheetData sheetId="12"/>
      <sheetData sheetId="13">
        <row r="12">
          <cell r="F12">
            <v>2138.4809328120286</v>
          </cell>
        </row>
        <row r="13">
          <cell r="F13">
            <v>119259.45174981897</v>
          </cell>
        </row>
        <row r="14">
          <cell r="F14">
            <v>64899</v>
          </cell>
        </row>
        <row r="15">
          <cell r="F15">
            <v>1.071</v>
          </cell>
        </row>
        <row r="16">
          <cell r="F16">
            <v>1</v>
          </cell>
        </row>
        <row r="17">
          <cell r="F17">
            <v>1</v>
          </cell>
        </row>
        <row r="18">
          <cell r="F18">
            <v>40220.845230503684</v>
          </cell>
        </row>
        <row r="19">
          <cell r="F19">
            <v>0</v>
          </cell>
        </row>
        <row r="20">
          <cell r="F20">
            <v>23441.524932855718</v>
          </cell>
        </row>
        <row r="21">
          <cell r="F21">
            <v>1</v>
          </cell>
        </row>
        <row r="22">
          <cell r="F22">
            <v>24548.869037237404</v>
          </cell>
        </row>
        <row r="23">
          <cell r="F23">
            <v>21</v>
          </cell>
        </row>
        <row r="26">
          <cell r="F26">
            <v>2892</v>
          </cell>
        </row>
        <row r="28">
          <cell r="F28">
            <v>379.2714742785962</v>
          </cell>
        </row>
        <row r="29">
          <cell r="F29">
            <v>0.44209422600000003</v>
          </cell>
        </row>
        <row r="30">
          <cell r="F30">
            <v>500</v>
          </cell>
        </row>
        <row r="31">
          <cell r="F31">
            <v>0.21369165990259753</v>
          </cell>
        </row>
        <row r="32">
          <cell r="F32">
            <v>0.20047619047619047</v>
          </cell>
        </row>
        <row r="33">
          <cell r="F33">
            <v>0.13880000000000001</v>
          </cell>
        </row>
        <row r="34">
          <cell r="F34">
            <v>0.12640000000000001</v>
          </cell>
        </row>
        <row r="35">
          <cell r="F35">
            <v>10</v>
          </cell>
        </row>
        <row r="37">
          <cell r="F37">
            <v>1.7157947422665329</v>
          </cell>
        </row>
        <row r="39">
          <cell r="F39">
            <v>21.531904799999996</v>
          </cell>
        </row>
        <row r="40">
          <cell r="F40">
            <v>7</v>
          </cell>
        </row>
        <row r="42">
          <cell r="F42">
            <v>0.97</v>
          </cell>
        </row>
        <row r="44">
          <cell r="F44">
            <v>0.36199999999999999</v>
          </cell>
        </row>
      </sheetData>
      <sheetData sheetId="14">
        <row r="12">
          <cell r="E12" t="str">
            <v>V</v>
          </cell>
        </row>
        <row r="13">
          <cell r="E13" t="str">
            <v>6 и менее баллов</v>
          </cell>
        </row>
        <row r="14">
          <cell r="E14" t="str">
            <v>до 200</v>
          </cell>
        </row>
        <row r="15">
          <cell r="E15" t="str">
            <v>нет</v>
          </cell>
        </row>
        <row r="19">
          <cell r="E19">
            <v>0</v>
          </cell>
        </row>
        <row r="20">
          <cell r="E20">
            <v>-37</v>
          </cell>
        </row>
        <row r="23">
          <cell r="E23" t="str">
            <v>нет</v>
          </cell>
        </row>
        <row r="28">
          <cell r="E28">
            <v>5515.9310416666667</v>
          </cell>
        </row>
        <row r="29">
          <cell r="E29">
            <v>5878.6480833333326</v>
          </cell>
        </row>
      </sheetData>
      <sheetData sheetId="15"/>
      <sheetData sheetId="16">
        <row r="10">
          <cell r="E10">
            <v>1287</v>
          </cell>
        </row>
        <row r="12">
          <cell r="E12">
            <v>5.97</v>
          </cell>
        </row>
        <row r="13">
          <cell r="E13">
            <v>1</v>
          </cell>
        </row>
        <row r="14">
          <cell r="E14">
            <v>12104</v>
          </cell>
        </row>
        <row r="15">
          <cell r="E15">
            <v>4.8000000000000001E-2</v>
          </cell>
        </row>
        <row r="16">
          <cell r="E16">
            <v>1</v>
          </cell>
        </row>
      </sheetData>
      <sheetData sheetId="17">
        <row r="11">
          <cell r="E11">
            <v>5.45</v>
          </cell>
        </row>
        <row r="12">
          <cell r="E12">
            <v>0.2</v>
          </cell>
        </row>
        <row r="13">
          <cell r="E13">
            <v>300</v>
          </cell>
        </row>
        <row r="14">
          <cell r="E14">
            <v>61211</v>
          </cell>
        </row>
        <row r="15">
          <cell r="E15">
            <v>45675</v>
          </cell>
        </row>
        <row r="16">
          <cell r="E16">
            <v>65637</v>
          </cell>
        </row>
        <row r="17">
          <cell r="E17">
            <v>31684</v>
          </cell>
        </row>
        <row r="21">
          <cell r="E21" t="str">
            <v>МУП г. Новосибирска "Горводоканал"</v>
          </cell>
        </row>
        <row r="22">
          <cell r="E22">
            <v>20170.833333333332</v>
          </cell>
        </row>
        <row r="23">
          <cell r="E23">
            <v>18020</v>
          </cell>
        </row>
        <row r="25">
          <cell r="E25" t="str">
            <v>МУП г. Новосибирска "Горводоканал"</v>
          </cell>
        </row>
        <row r="26">
          <cell r="E26">
            <v>38240.416666666664</v>
          </cell>
        </row>
        <row r="27">
          <cell r="E27">
            <v>19570</v>
          </cell>
        </row>
      </sheetData>
      <sheetData sheetId="18">
        <row r="12">
          <cell r="F12" t="str">
            <v>Постановление Правительства Новосибирской области от 29.11.2011 №535-п (ред. 14.04.2014) "Об утверждении результатов государственной кадастровой оценки земель населенных пунктов в новосибирской области и среднего уровня кадастровой стоимости земель населенных пунктов по муниципальным районам и городским округам Новыосибирской области"</v>
          </cell>
        </row>
      </sheetData>
      <sheetData sheetId="19">
        <row r="11">
          <cell r="E11">
            <v>-2.9000000000000026E-2</v>
          </cell>
          <cell r="F11">
            <v>0.245</v>
          </cell>
          <cell r="G11">
            <v>0.114</v>
          </cell>
          <cell r="H11">
            <v>0.04</v>
          </cell>
          <cell r="I11">
            <v>0.121</v>
          </cell>
          <cell r="J11">
            <v>0.03</v>
          </cell>
          <cell r="K11">
            <v>6.0999999999999999E-2</v>
          </cell>
          <cell r="L11">
            <v>0</v>
          </cell>
          <cell r="M11">
            <v>0</v>
          </cell>
          <cell r="N11">
            <v>0</v>
          </cell>
          <cell r="O11">
            <v>0</v>
          </cell>
          <cell r="P11">
            <v>0</v>
          </cell>
          <cell r="Q11">
            <v>0</v>
          </cell>
          <cell r="R11">
            <v>0</v>
          </cell>
          <cell r="S11">
            <v>0</v>
          </cell>
          <cell r="T11">
            <v>0</v>
          </cell>
          <cell r="U11">
            <v>0</v>
          </cell>
          <cell r="V11">
            <v>0</v>
          </cell>
          <cell r="W11">
            <v>0</v>
          </cell>
          <cell r="X11">
            <v>0</v>
          </cell>
          <cell r="Y11">
            <v>0</v>
          </cell>
          <cell r="Z11">
            <v>0</v>
          </cell>
          <cell r="AA11">
            <v>0</v>
          </cell>
          <cell r="AB11">
            <v>0</v>
          </cell>
          <cell r="AC11">
            <v>0</v>
          </cell>
          <cell r="AD11">
            <v>0</v>
          </cell>
          <cell r="AE11">
            <v>0</v>
          </cell>
          <cell r="AF11">
            <v>0</v>
          </cell>
          <cell r="AG11">
            <v>0</v>
          </cell>
          <cell r="AH11">
            <v>0</v>
          </cell>
          <cell r="AI11">
            <v>0</v>
          </cell>
          <cell r="AJ11">
            <v>0</v>
          </cell>
          <cell r="AK11">
            <v>0</v>
          </cell>
          <cell r="AL11">
            <v>0</v>
          </cell>
          <cell r="AM11">
            <v>0</v>
          </cell>
          <cell r="AN11">
            <v>0</v>
          </cell>
          <cell r="AO11">
            <v>0</v>
          </cell>
          <cell r="AP11">
            <v>0</v>
          </cell>
          <cell r="AQ11">
            <v>0</v>
          </cell>
          <cell r="AR11">
            <v>0</v>
          </cell>
          <cell r="AS11">
            <v>0</v>
          </cell>
          <cell r="AT11">
            <v>0</v>
          </cell>
          <cell r="AU11">
            <v>0</v>
          </cell>
          <cell r="AV11">
            <v>0</v>
          </cell>
          <cell r="AW11">
            <v>0</v>
          </cell>
          <cell r="AX11">
            <v>0</v>
          </cell>
          <cell r="AY11">
            <v>0</v>
          </cell>
          <cell r="AZ11">
            <v>0</v>
          </cell>
          <cell r="BA11">
            <v>0</v>
          </cell>
          <cell r="BB11">
            <v>0</v>
          </cell>
          <cell r="BC11">
            <v>0</v>
          </cell>
          <cell r="BD11">
            <v>0</v>
          </cell>
          <cell r="BE11">
            <v>0</v>
          </cell>
          <cell r="BF11">
            <v>0</v>
          </cell>
          <cell r="BG11">
            <v>0</v>
          </cell>
          <cell r="BH11">
            <v>0</v>
          </cell>
          <cell r="BI11">
            <v>0</v>
          </cell>
          <cell r="BJ11">
            <v>0</v>
          </cell>
          <cell r="BK11">
            <v>0</v>
          </cell>
          <cell r="BL11">
            <v>0</v>
          </cell>
          <cell r="BM11">
            <v>0</v>
          </cell>
          <cell r="BN11">
            <v>0</v>
          </cell>
          <cell r="BO11">
            <v>0</v>
          </cell>
          <cell r="BP11">
            <v>0</v>
          </cell>
          <cell r="BQ11">
            <v>0</v>
          </cell>
          <cell r="BR11">
            <v>0</v>
          </cell>
          <cell r="BS11">
            <v>0</v>
          </cell>
          <cell r="BT11">
            <v>0</v>
          </cell>
          <cell r="BU11">
            <v>0</v>
          </cell>
          <cell r="BV11">
            <v>0</v>
          </cell>
          <cell r="BW11">
            <v>0</v>
          </cell>
          <cell r="BX11">
            <v>0</v>
          </cell>
          <cell r="BY11">
            <v>0</v>
          </cell>
          <cell r="BZ11">
            <v>0</v>
          </cell>
          <cell r="CA11">
            <v>0</v>
          </cell>
          <cell r="CB11">
            <v>0</v>
          </cell>
          <cell r="CC11">
            <v>0</v>
          </cell>
          <cell r="CD11">
            <v>0</v>
          </cell>
          <cell r="CE11">
            <v>0</v>
          </cell>
          <cell r="CF11">
            <v>0</v>
          </cell>
        </row>
      </sheetData>
      <sheetData sheetId="20">
        <row r="11">
          <cell r="G11" t="str">
            <v>Информация с официального сайта Банка России</v>
          </cell>
        </row>
      </sheetData>
      <sheetData sheetId="21"/>
      <sheetData sheetId="22">
        <row r="12">
          <cell r="F12">
            <v>648.30389958699197</v>
          </cell>
        </row>
        <row r="14">
          <cell r="F14">
            <v>11258.985598028818</v>
          </cell>
        </row>
        <row r="15">
          <cell r="F15">
            <v>0.25</v>
          </cell>
        </row>
        <row r="18">
          <cell r="F18">
            <v>15</v>
          </cell>
        </row>
        <row r="19">
          <cell r="F19">
            <v>2699.0944349242141</v>
          </cell>
        </row>
        <row r="20">
          <cell r="F20">
            <v>2.1999999999999999E-2</v>
          </cell>
        </row>
        <row r="21">
          <cell r="F21">
            <v>10</v>
          </cell>
        </row>
        <row r="22">
          <cell r="F22">
            <v>1.1378144228357887</v>
          </cell>
        </row>
        <row r="23">
          <cell r="F23">
            <v>3.0000000000000001E-3</v>
          </cell>
        </row>
        <row r="24">
          <cell r="F24">
            <v>379.2714742785962</v>
          </cell>
        </row>
      </sheetData>
      <sheetData sheetId="23">
        <row r="12">
          <cell r="F12" t="str">
            <v xml:space="preserve">Налоговый кодекс Российской Федерации </v>
          </cell>
        </row>
      </sheetData>
      <sheetData sheetId="24">
        <row r="12">
          <cell r="F12">
            <v>279.09625387258677</v>
          </cell>
        </row>
        <row r="16">
          <cell r="F16">
            <v>832.33500000000004</v>
          </cell>
        </row>
        <row r="17">
          <cell r="F17">
            <v>43385</v>
          </cell>
        </row>
        <row r="18">
          <cell r="F18">
            <v>1.4999999999999999E-2</v>
          </cell>
        </row>
        <row r="19">
          <cell r="F19">
            <v>12104</v>
          </cell>
        </row>
        <row r="20">
          <cell r="F20">
            <v>1.4999999999999999E-2</v>
          </cell>
        </row>
        <row r="21">
          <cell r="F21">
            <v>1221.9019409821399</v>
          </cell>
        </row>
        <row r="22">
          <cell r="F22">
            <v>3.6112641666666665</v>
          </cell>
        </row>
        <row r="23">
          <cell r="F23">
            <v>110</v>
          </cell>
        </row>
        <row r="24">
          <cell r="F24">
            <v>8497.1999999999989</v>
          </cell>
        </row>
        <row r="25">
          <cell r="F25">
            <v>0.36199999999999999</v>
          </cell>
        </row>
        <row r="26">
          <cell r="F26">
            <v>47.569780000000002</v>
          </cell>
        </row>
        <row r="27">
          <cell r="F27">
            <v>904.62444244124072</v>
          </cell>
        </row>
        <row r="28">
          <cell r="F28">
            <v>694.79603874135228</v>
          </cell>
        </row>
        <row r="29">
          <cell r="F29">
            <v>209.82840369988838</v>
          </cell>
        </row>
        <row r="30">
          <cell r="F30">
            <v>851.05518523307683</v>
          </cell>
        </row>
      </sheetData>
      <sheetData sheetId="25"/>
      <sheetData sheetId="26">
        <row r="8">
          <cell r="F8" t="str">
            <v>нет</v>
          </cell>
        </row>
        <row r="15">
          <cell r="D15" t="str">
            <v>АО "Новосибирскэнергосбыт"</v>
          </cell>
        </row>
        <row r="21">
          <cell r="D21">
            <v>0</v>
          </cell>
        </row>
      </sheetData>
      <sheetData sheetId="27">
        <row r="11">
          <cell r="E11">
            <v>1871</v>
          </cell>
        </row>
        <row r="12">
          <cell r="E12">
            <v>61</v>
          </cell>
        </row>
        <row r="13">
          <cell r="E13">
            <v>73</v>
          </cell>
        </row>
        <row r="16">
          <cell r="E16">
            <v>0</v>
          </cell>
        </row>
        <row r="17">
          <cell r="E17">
            <v>23.92</v>
          </cell>
        </row>
        <row r="18">
          <cell r="E18">
            <v>0</v>
          </cell>
        </row>
        <row r="19">
          <cell r="E19">
            <v>18.579999999999998</v>
          </cell>
        </row>
      </sheetData>
      <sheetData sheetId="28"/>
      <sheetData sheetId="29">
        <row r="12">
          <cell r="F12">
            <v>86.883766552989513</v>
          </cell>
        </row>
        <row r="17">
          <cell r="F17">
            <v>0.02</v>
          </cell>
        </row>
      </sheetData>
      <sheetData sheetId="30">
        <row r="12">
          <cell r="F12">
            <v>0</v>
          </cell>
        </row>
        <row r="13">
          <cell r="F13">
            <v>0</v>
          </cell>
        </row>
        <row r="19">
          <cell r="F19">
            <v>0</v>
          </cell>
        </row>
      </sheetData>
      <sheetData sheetId="31">
        <row r="11">
          <cell r="E11" t="str">
            <v>да</v>
          </cell>
        </row>
        <row r="12">
          <cell r="E12">
            <v>0</v>
          </cell>
        </row>
        <row r="17">
          <cell r="E17">
            <v>0</v>
          </cell>
        </row>
        <row r="18">
          <cell r="E18" t="str">
            <v>да</v>
          </cell>
        </row>
        <row r="19">
          <cell r="E19">
            <v>0</v>
          </cell>
        </row>
        <row r="22">
          <cell r="E22">
            <v>0</v>
          </cell>
        </row>
        <row r="23">
          <cell r="E23">
            <v>0</v>
          </cell>
        </row>
      </sheetData>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нструкция"/>
      <sheetName val="Структура"/>
      <sheetName val="Содержание"/>
      <sheetName val="И1"/>
      <sheetName val="Инвест.об."/>
      <sheetName val="И2"/>
      <sheetName val="И2.1"/>
      <sheetName val="С1"/>
      <sheetName val="С1.1"/>
      <sheetName val="С1.2"/>
      <sheetName val="Data1.2"/>
      <sheetName val="С1.3"/>
      <sheetName val="Data1.3"/>
      <sheetName val="С2"/>
      <sheetName val="С2.1"/>
      <sheetName val="Data2.1"/>
      <sheetName val="С2.2"/>
      <sheetName val="С2.3"/>
      <sheetName val="С2.4"/>
      <sheetName val="С2.5"/>
      <sheetName val="С2.6"/>
      <sheetName val="Data2.6"/>
      <sheetName val="С3"/>
      <sheetName val="С3.1"/>
      <sheetName val="С4"/>
      <sheetName val="С4.1"/>
      <sheetName val="С4.2"/>
      <sheetName val="С4.3"/>
      <sheetName val="С4.4"/>
      <sheetName val="С5"/>
      <sheetName val="С6"/>
      <sheetName val="С6.1"/>
      <sheetName val="И3"/>
      <sheetName val="Проверка"/>
      <sheetName val="Системный"/>
      <sheetName val="АК_прогноз"/>
      <sheetName val="Гр&amp;ПУЦ_v1"/>
      <sheetName val="Заморозка"/>
      <sheetName val="ИПГ_мо"/>
      <sheetName val="ИПГ_рег"/>
      <sheetName val="Темп VS ИПГ"/>
      <sheetName val="МУ770_Т1"/>
      <sheetName val="ИПЦ_ИПГ"/>
      <sheetName val="ПУЦ (п.67)"/>
      <sheetName val="Гр&amp;ПУЦ_v2"/>
      <sheetName val="Лист1"/>
    </sheetNames>
    <sheetDataSet>
      <sheetData sheetId="0"/>
      <sheetData sheetId="1"/>
      <sheetData sheetId="2"/>
      <sheetData sheetId="3">
        <row r="8">
          <cell r="D8" t="str">
            <v>Период регулирования (i)-й</v>
          </cell>
        </row>
        <row r="14">
          <cell r="E14" t="str">
            <v>поселок Чернореченский, Искитимский муниципальный район</v>
          </cell>
        </row>
        <row r="16">
          <cell r="E16" t="str">
            <v xml:space="preserve"> (50615437101)</v>
          </cell>
        </row>
      </sheetData>
      <sheetData sheetId="4"/>
      <sheetData sheetId="5"/>
      <sheetData sheetId="6"/>
      <sheetData sheetId="7">
        <row r="12">
          <cell r="F12">
            <v>1201.0642791911237</v>
          </cell>
        </row>
      </sheetData>
      <sheetData sheetId="8">
        <row r="16">
          <cell r="E16">
            <v>7900</v>
          </cell>
        </row>
      </sheetData>
      <sheetData sheetId="9"/>
      <sheetData sheetId="10"/>
      <sheetData sheetId="11"/>
      <sheetData sheetId="12"/>
      <sheetData sheetId="13">
        <row r="12">
          <cell r="F12">
            <v>2049.7946392543367</v>
          </cell>
        </row>
      </sheetData>
      <sheetData sheetId="14">
        <row r="12">
          <cell r="E12" t="str">
            <v>V</v>
          </cell>
        </row>
      </sheetData>
      <sheetData sheetId="15"/>
      <sheetData sheetId="16">
        <row r="10">
          <cell r="E10">
            <v>1287</v>
          </cell>
        </row>
      </sheetData>
      <sheetData sheetId="17">
        <row r="11">
          <cell r="E11">
            <v>5.45</v>
          </cell>
        </row>
      </sheetData>
      <sheetData sheetId="18"/>
      <sheetData sheetId="19">
        <row r="11">
          <cell r="E11">
            <v>-2.9000000000000026E-2</v>
          </cell>
        </row>
      </sheetData>
      <sheetData sheetId="20"/>
      <sheetData sheetId="21"/>
      <sheetData sheetId="22">
        <row r="12">
          <cell r="F12">
            <v>613.3572799725365</v>
          </cell>
        </row>
      </sheetData>
      <sheetData sheetId="23"/>
      <sheetData sheetId="24">
        <row r="12">
          <cell r="F12">
            <v>269.30945722221009</v>
          </cell>
        </row>
      </sheetData>
      <sheetData sheetId="25"/>
      <sheetData sheetId="26">
        <row r="8">
          <cell r="F8" t="str">
            <v>нет</v>
          </cell>
        </row>
      </sheetData>
      <sheetData sheetId="27">
        <row r="11">
          <cell r="E11">
            <v>1871</v>
          </cell>
        </row>
      </sheetData>
      <sheetData sheetId="28"/>
      <sheetData sheetId="29">
        <row r="12">
          <cell r="F12">
            <v>82.670513112804144</v>
          </cell>
        </row>
      </sheetData>
      <sheetData sheetId="30">
        <row r="12">
          <cell r="F12">
            <v>0</v>
          </cell>
        </row>
      </sheetData>
      <sheetData sheetId="31">
        <row r="11">
          <cell r="E11" t="str">
            <v>да</v>
          </cell>
        </row>
      </sheetData>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нструкция"/>
      <sheetName val="Структура"/>
      <sheetName val="Содержание"/>
      <sheetName val="И1"/>
      <sheetName val="Инвест.об."/>
      <sheetName val="И2"/>
      <sheetName val="И2.1"/>
      <sheetName val="С1"/>
      <sheetName val="С1.1"/>
      <sheetName val="С1.2"/>
      <sheetName val="Data1.2"/>
      <sheetName val="С1.3"/>
      <sheetName val="Data1.3"/>
      <sheetName val="С2"/>
      <sheetName val="С2.1"/>
      <sheetName val="Data2.1"/>
      <sheetName val="С2.2"/>
      <sheetName val="С2.3"/>
      <sheetName val="С2.4"/>
      <sheetName val="Data2.4"/>
      <sheetName val="С2.5"/>
      <sheetName val="С2.6"/>
      <sheetName val="Data2.6"/>
      <sheetName val="С3"/>
      <sheetName val="С3.1"/>
      <sheetName val="С4"/>
      <sheetName val="С4.1"/>
      <sheetName val="С4.2"/>
      <sheetName val="С4.3"/>
      <sheetName val="С4.4"/>
      <sheetName val="С5"/>
      <sheetName val="С6"/>
      <sheetName val="И3"/>
      <sheetName val="Проверка"/>
      <sheetName val="ИПЦ_ИПГ"/>
      <sheetName val="АК_прогноз"/>
      <sheetName val="ПУЦ (п.67)"/>
      <sheetName val="АК_прогноз_j"/>
      <sheetName val="Гр&amp;ПУЦ_v1"/>
      <sheetName val="Заморозка"/>
      <sheetName val="ИПГ_мо"/>
      <sheetName val="ИПГ_рег"/>
      <sheetName val="Темп VS ИПГ"/>
      <sheetName val="МУ770_Т1"/>
      <sheetName val="Гр&amp;ПУЦ_v2"/>
      <sheetName val="Системный"/>
      <sheetName val="Шаблон ЦАК_уголь_2026_5эт Черно"/>
    </sheetNames>
    <sheetDataSet>
      <sheetData sheetId="0"/>
      <sheetData sheetId="1"/>
      <sheetData sheetId="2"/>
      <sheetData sheetId="3">
        <row r="8">
          <cell r="D8" t="str">
            <v>Период регулирования (i)-й</v>
          </cell>
          <cell r="E8">
            <v>2026</v>
          </cell>
        </row>
        <row r="9">
          <cell r="D9" t="str">
            <v>Период регулирования (i-1)-й</v>
          </cell>
          <cell r="E9">
            <v>2025</v>
          </cell>
        </row>
        <row r="10">
          <cell r="D10" t="str">
            <v>Период регулирования (i-2)-й</v>
          </cell>
          <cell r="E10">
            <v>2024</v>
          </cell>
        </row>
        <row r="11">
          <cell r="D11" t="str">
            <v>Базовый год (б)</v>
          </cell>
          <cell r="E11">
            <v>2019</v>
          </cell>
        </row>
        <row r="13">
          <cell r="D13" t="str">
            <v>Субъект Российской Федерации</v>
          </cell>
          <cell r="E13" t="str">
            <v>Новосибирская область</v>
          </cell>
        </row>
        <row r="14">
          <cell r="D14" t="str">
            <v>Тип муниципального образования (выберите из списка)</v>
          </cell>
        </row>
        <row r="15">
          <cell r="D15" t="str">
            <v/>
          </cell>
          <cell r="E15">
            <v>0</v>
          </cell>
        </row>
        <row r="16">
          <cell r="D16" t="str">
            <v>Код ОКТМО</v>
          </cell>
        </row>
        <row r="17">
          <cell r="D17" t="str">
            <v>Система теплоснабжения</v>
          </cell>
          <cell r="E17">
            <v>0</v>
          </cell>
        </row>
        <row r="18">
          <cell r="D18" t="str">
            <v>Вид топлива, использование которого преобладает в системе теплоснабжения</v>
          </cell>
        </row>
      </sheetData>
      <sheetData sheetId="4"/>
      <sheetData sheetId="5"/>
      <sheetData sheetId="6"/>
      <sheetData sheetId="7">
        <row r="12">
          <cell r="F12">
            <v>1253.4885262317794</v>
          </cell>
        </row>
        <row r="13">
          <cell r="F13">
            <v>176.4</v>
          </cell>
        </row>
        <row r="16">
          <cell r="F16">
            <v>7000</v>
          </cell>
        </row>
        <row r="17">
          <cell r="F17">
            <v>0.72857142857142854</v>
          </cell>
        </row>
        <row r="20">
          <cell r="F20">
            <v>21.588411179999994</v>
          </cell>
        </row>
        <row r="21">
          <cell r="F21">
            <v>20.818139999999996</v>
          </cell>
        </row>
        <row r="22">
          <cell r="F22">
            <v>1.0369999999999999</v>
          </cell>
        </row>
        <row r="23">
          <cell r="F23">
            <v>1.0469999999999999</v>
          </cell>
        </row>
      </sheetData>
      <sheetData sheetId="8">
        <row r="9">
          <cell r="I9" t="str">
            <v>цены (тарифы), подлежащие государственному регулированию, действовавшие на день окончания (i-2)-го расчетного периода в системе теплоснабжения</v>
          </cell>
        </row>
        <row r="13">
          <cell r="E13" t="str">
            <v>каменный уголь</v>
          </cell>
        </row>
        <row r="16">
          <cell r="E16">
            <v>5100</v>
          </cell>
        </row>
        <row r="19">
          <cell r="E19">
            <v>-0.11899999999999999</v>
          </cell>
        </row>
        <row r="20">
          <cell r="E20">
            <v>4.0000000000000001E-3</v>
          </cell>
        </row>
        <row r="27">
          <cell r="E27">
            <v>5390.87</v>
          </cell>
        </row>
      </sheetData>
      <sheetData sheetId="9"/>
      <sheetData sheetId="10"/>
      <sheetData sheetId="11">
        <row r="9">
          <cell r="G9">
            <v>0</v>
          </cell>
        </row>
      </sheetData>
      <sheetData sheetId="12"/>
      <sheetData sheetId="13">
        <row r="12">
          <cell r="F12">
            <v>3097.7824122172187</v>
          </cell>
        </row>
        <row r="13">
          <cell r="F13">
            <v>210571.60987470482</v>
          </cell>
        </row>
        <row r="14">
          <cell r="F14">
            <v>113455</v>
          </cell>
        </row>
        <row r="15">
          <cell r="F15">
            <v>1.071</v>
          </cell>
        </row>
        <row r="16">
          <cell r="F16">
            <v>1</v>
          </cell>
        </row>
        <row r="17">
          <cell r="F17">
            <v>1.01</v>
          </cell>
        </row>
        <row r="18">
          <cell r="F18">
            <v>40220.845230503684</v>
          </cell>
        </row>
        <row r="19">
          <cell r="F19">
            <v>0</v>
          </cell>
        </row>
        <row r="20">
          <cell r="F20">
            <v>23441.524932855718</v>
          </cell>
        </row>
        <row r="21">
          <cell r="F21">
            <v>1</v>
          </cell>
        </row>
        <row r="22">
          <cell r="F22">
            <v>4298.6978080550834</v>
          </cell>
        </row>
        <row r="23">
          <cell r="F23">
            <v>1990</v>
          </cell>
        </row>
        <row r="26">
          <cell r="F26">
            <v>3185.880383940208</v>
          </cell>
        </row>
        <row r="27">
          <cell r="F27">
            <v>0.44209422600000003</v>
          </cell>
        </row>
        <row r="28">
          <cell r="F28">
            <v>4200</v>
          </cell>
        </row>
        <row r="29">
          <cell r="F29">
            <v>0.21369165990259753</v>
          </cell>
        </row>
        <row r="30">
          <cell r="F30">
            <v>0.20047619047619047</v>
          </cell>
        </row>
        <row r="31">
          <cell r="F31">
            <v>0.13880000000000001</v>
          </cell>
        </row>
        <row r="32">
          <cell r="F32">
            <v>0.12640000000000001</v>
          </cell>
        </row>
        <row r="33">
          <cell r="F33">
            <v>10</v>
          </cell>
        </row>
        <row r="35">
          <cell r="F35">
            <v>1.7157947422665329</v>
          </cell>
        </row>
        <row r="37">
          <cell r="F37">
            <v>20.818139999999996</v>
          </cell>
        </row>
        <row r="38">
          <cell r="F38">
            <v>7</v>
          </cell>
        </row>
        <row r="40">
          <cell r="F40">
            <v>0.97</v>
          </cell>
        </row>
        <row r="42">
          <cell r="F42">
            <v>0.35</v>
          </cell>
        </row>
      </sheetData>
      <sheetData sheetId="14">
        <row r="12">
          <cell r="E12" t="str">
            <v>V</v>
          </cell>
        </row>
        <row r="13">
          <cell r="E13" t="str">
            <v>6 и менее баллов</v>
          </cell>
        </row>
        <row r="14">
          <cell r="E14" t="str">
            <v>от 200 до 500</v>
          </cell>
        </row>
        <row r="15">
          <cell r="E15" t="str">
            <v>нет</v>
          </cell>
        </row>
        <row r="19">
          <cell r="E19">
            <v>-38</v>
          </cell>
        </row>
        <row r="22">
          <cell r="E22" t="str">
            <v>нет</v>
          </cell>
        </row>
        <row r="27">
          <cell r="E27">
            <v>246.24401</v>
          </cell>
        </row>
        <row r="28">
          <cell r="E28">
            <v>269.12432000000001</v>
          </cell>
        </row>
      </sheetData>
      <sheetData sheetId="15"/>
      <sheetData sheetId="16">
        <row r="10">
          <cell r="E10">
            <v>1287</v>
          </cell>
        </row>
        <row r="12">
          <cell r="E12">
            <v>5.97</v>
          </cell>
        </row>
        <row r="13">
          <cell r="E13">
            <v>1</v>
          </cell>
        </row>
        <row r="14">
          <cell r="E14">
            <v>12104</v>
          </cell>
        </row>
        <row r="15">
          <cell r="E15">
            <v>4.8000000000000001E-2</v>
          </cell>
        </row>
        <row r="16">
          <cell r="E16">
            <v>1</v>
          </cell>
        </row>
      </sheetData>
      <sheetData sheetId="17">
        <row r="11">
          <cell r="E11">
            <v>9.89</v>
          </cell>
        </row>
        <row r="12">
          <cell r="E12">
            <v>0.56000000000000005</v>
          </cell>
        </row>
        <row r="13">
          <cell r="E13">
            <v>300</v>
          </cell>
        </row>
        <row r="14">
          <cell r="E14">
            <v>61211</v>
          </cell>
        </row>
        <row r="15">
          <cell r="E15">
            <v>45675</v>
          </cell>
        </row>
        <row r="16">
          <cell r="E16">
            <v>65637</v>
          </cell>
        </row>
        <row r="17">
          <cell r="E17">
            <v>31684</v>
          </cell>
        </row>
        <row r="21">
          <cell r="E21" t="str">
            <v>Муниципальное унитарное предприятие города Куйбышева Куйбышевского района Новосибирской области "Горводоканал"</v>
          </cell>
        </row>
        <row r="22">
          <cell r="E22">
            <v>8809</v>
          </cell>
        </row>
        <row r="23">
          <cell r="E23">
            <v>530.41</v>
          </cell>
        </row>
        <row r="25">
          <cell r="E25" t="str">
            <v>Муниципальное унитарное предприятие города Куйбышева Куйбышевского района Новосибирской области "Геострой"</v>
          </cell>
        </row>
        <row r="26">
          <cell r="E26">
            <v>21397</v>
          </cell>
        </row>
        <row r="27">
          <cell r="E27">
            <v>857.14</v>
          </cell>
        </row>
      </sheetData>
      <sheetData sheetId="18">
        <row r="12">
          <cell r="F12" t="str">
            <v>Постановление Правительства Новосибирской области от 29.11.2011 №535-п (ред. 14.04.2014) "Об утверждении результатов государственной кадастровой оценки земель населенных пунктов в новосибирской области и среднего уровня кадастровой стоимости земель населенных пунктов по муниципальным районам и городским округам Новосибирской области"</v>
          </cell>
        </row>
      </sheetData>
      <sheetData sheetId="19"/>
      <sheetData sheetId="20">
        <row r="11">
          <cell r="E11">
            <v>-2.9000000000000026E-2</v>
          </cell>
          <cell r="F11">
            <v>0.245</v>
          </cell>
          <cell r="G11">
            <v>0.114</v>
          </cell>
          <cell r="H11">
            <v>0.04</v>
          </cell>
          <cell r="I11">
            <v>0.121</v>
          </cell>
          <cell r="J11">
            <v>0.03</v>
          </cell>
          <cell r="K11">
            <v>6.0999999999999999E-2</v>
          </cell>
          <cell r="L11">
            <v>3.2682303599220003E-2</v>
          </cell>
          <cell r="M11">
            <v>0</v>
          </cell>
          <cell r="N11">
            <v>0</v>
          </cell>
          <cell r="O11">
            <v>0</v>
          </cell>
          <cell r="P11">
            <v>0</v>
          </cell>
          <cell r="Q11">
            <v>0</v>
          </cell>
          <cell r="R11">
            <v>0</v>
          </cell>
          <cell r="S11">
            <v>0</v>
          </cell>
          <cell r="T11">
            <v>0</v>
          </cell>
          <cell r="U11">
            <v>0</v>
          </cell>
          <cell r="V11">
            <v>0</v>
          </cell>
          <cell r="W11">
            <v>0</v>
          </cell>
          <cell r="X11">
            <v>0</v>
          </cell>
          <cell r="Y11">
            <v>0</v>
          </cell>
          <cell r="Z11">
            <v>0</v>
          </cell>
          <cell r="AA11">
            <v>0</v>
          </cell>
          <cell r="AB11">
            <v>0</v>
          </cell>
          <cell r="AC11">
            <v>0</v>
          </cell>
          <cell r="AD11">
            <v>0</v>
          </cell>
          <cell r="AE11">
            <v>0</v>
          </cell>
          <cell r="AF11">
            <v>0</v>
          </cell>
          <cell r="AG11">
            <v>0</v>
          </cell>
          <cell r="AH11">
            <v>0</v>
          </cell>
          <cell r="AI11">
            <v>0</v>
          </cell>
          <cell r="AJ11">
            <v>0</v>
          </cell>
          <cell r="AK11">
            <v>0</v>
          </cell>
          <cell r="AL11">
            <v>0</v>
          </cell>
          <cell r="AM11">
            <v>0</v>
          </cell>
          <cell r="AN11">
            <v>0</v>
          </cell>
          <cell r="AO11">
            <v>0</v>
          </cell>
          <cell r="AP11">
            <v>0</v>
          </cell>
          <cell r="AQ11">
            <v>0</v>
          </cell>
          <cell r="AR11">
            <v>0</v>
          </cell>
          <cell r="AS11">
            <v>0</v>
          </cell>
          <cell r="AT11">
            <v>0</v>
          </cell>
          <cell r="AU11">
            <v>0</v>
          </cell>
          <cell r="AV11">
            <v>0</v>
          </cell>
          <cell r="AW11">
            <v>0</v>
          </cell>
          <cell r="AX11">
            <v>0</v>
          </cell>
          <cell r="AY11">
            <v>0</v>
          </cell>
          <cell r="AZ11">
            <v>0</v>
          </cell>
          <cell r="BA11">
            <v>0</v>
          </cell>
          <cell r="BB11">
            <v>0</v>
          </cell>
          <cell r="BC11">
            <v>0</v>
          </cell>
          <cell r="BD11">
            <v>0</v>
          </cell>
          <cell r="BE11">
            <v>0</v>
          </cell>
          <cell r="BF11">
            <v>0</v>
          </cell>
          <cell r="BG11">
            <v>0</v>
          </cell>
          <cell r="BH11">
            <v>0</v>
          </cell>
          <cell r="BI11">
            <v>0</v>
          </cell>
          <cell r="BJ11">
            <v>0</v>
          </cell>
          <cell r="BK11">
            <v>0</v>
          </cell>
          <cell r="BL11">
            <v>0</v>
          </cell>
          <cell r="BM11">
            <v>0</v>
          </cell>
          <cell r="BN11">
            <v>0</v>
          </cell>
          <cell r="BO11">
            <v>0</v>
          </cell>
          <cell r="BP11">
            <v>0</v>
          </cell>
          <cell r="BQ11">
            <v>0</v>
          </cell>
          <cell r="BR11">
            <v>0</v>
          </cell>
          <cell r="BS11">
            <v>0</v>
          </cell>
          <cell r="BT11">
            <v>0</v>
          </cell>
          <cell r="BU11">
            <v>0</v>
          </cell>
          <cell r="BV11">
            <v>0</v>
          </cell>
          <cell r="BW11">
            <v>0</v>
          </cell>
          <cell r="BX11">
            <v>0</v>
          </cell>
          <cell r="BY11">
            <v>0</v>
          </cell>
          <cell r="BZ11">
            <v>0</v>
          </cell>
          <cell r="CA11">
            <v>0</v>
          </cell>
          <cell r="CB11">
            <v>0</v>
          </cell>
          <cell r="CC11">
            <v>0</v>
          </cell>
          <cell r="CD11">
            <v>0</v>
          </cell>
          <cell r="CE11">
            <v>0</v>
          </cell>
          <cell r="CF11">
            <v>0</v>
          </cell>
          <cell r="CG11">
            <v>0</v>
          </cell>
        </row>
      </sheetData>
      <sheetData sheetId="21">
        <row r="11">
          <cell r="G11" t="str">
            <v>Информация с официального сайта Банка России</v>
          </cell>
        </row>
      </sheetData>
      <sheetData sheetId="22"/>
      <sheetData sheetId="23">
        <row r="12">
          <cell r="F12">
            <v>940.47266370947932</v>
          </cell>
        </row>
        <row r="14">
          <cell r="F14">
            <v>15827.997028730506</v>
          </cell>
        </row>
        <row r="15">
          <cell r="F15">
            <v>0.25</v>
          </cell>
        </row>
        <row r="18">
          <cell r="F18">
            <v>15</v>
          </cell>
        </row>
        <row r="19">
          <cell r="F19">
            <v>3741.3369093945325</v>
          </cell>
        </row>
        <row r="20">
          <cell r="F20">
            <v>2.1999999999999999E-2</v>
          </cell>
        </row>
        <row r="21">
          <cell r="F21">
            <v>10</v>
          </cell>
        </row>
        <row r="22">
          <cell r="F22">
            <v>9.5576411518206239</v>
          </cell>
        </row>
        <row r="23">
          <cell r="F23">
            <v>3.0000000000000001E-3</v>
          </cell>
        </row>
        <row r="24">
          <cell r="F24">
            <v>3185.880383940208</v>
          </cell>
        </row>
      </sheetData>
      <sheetData sheetId="24">
        <row r="12">
          <cell r="F12" t="str">
            <v>Налоговый кодекс РФ</v>
          </cell>
        </row>
      </sheetData>
      <sheetData sheetId="25">
        <row r="12">
          <cell r="F12">
            <v>557.34673243369434</v>
          </cell>
        </row>
        <row r="16">
          <cell r="F16">
            <v>1652.5</v>
          </cell>
        </row>
        <row r="17">
          <cell r="F17">
            <v>73547</v>
          </cell>
        </row>
        <row r="18">
          <cell r="F18">
            <v>0.02</v>
          </cell>
        </row>
        <row r="19">
          <cell r="F19">
            <v>12104</v>
          </cell>
        </row>
        <row r="20">
          <cell r="F20">
            <v>1.4999999999999999E-2</v>
          </cell>
        </row>
        <row r="21">
          <cell r="F21">
            <v>1933.1949342509995</v>
          </cell>
        </row>
        <row r="22">
          <cell r="F22">
            <v>3.6112641666666665</v>
          </cell>
        </row>
        <row r="23">
          <cell r="F23">
            <v>180</v>
          </cell>
        </row>
        <row r="24">
          <cell r="F24">
            <v>8497.1999999999989</v>
          </cell>
        </row>
        <row r="25">
          <cell r="F25">
            <v>0.35</v>
          </cell>
        </row>
        <row r="26">
          <cell r="F26">
            <v>87.677760000000006</v>
          </cell>
        </row>
        <row r="27">
          <cell r="F27">
            <v>1291.2863994686898</v>
          </cell>
        </row>
        <row r="28">
          <cell r="F28">
            <v>991.77142816335618</v>
          </cell>
        </row>
        <row r="29">
          <cell r="F29">
            <v>299.51497130533357</v>
          </cell>
        </row>
        <row r="30">
          <cell r="F30">
            <v>3084.5863341972135</v>
          </cell>
        </row>
        <row r="33">
          <cell r="F33">
            <v>1845.5732419240796</v>
          </cell>
        </row>
        <row r="35">
          <cell r="F35">
            <v>18.902267999999999</v>
          </cell>
        </row>
        <row r="36">
          <cell r="F36">
            <v>14319.9</v>
          </cell>
        </row>
        <row r="37">
          <cell r="F37">
            <v>1.32</v>
          </cell>
        </row>
      </sheetData>
      <sheetData sheetId="26">
        <row r="12">
          <cell r="F12" t="str">
            <v>Постановление Правительства Российской Федерации от 17.04.2024 № 492</v>
          </cell>
        </row>
      </sheetData>
      <sheetData sheetId="27">
        <row r="8">
          <cell r="F8" t="str">
            <v>нет</v>
          </cell>
        </row>
        <row r="15">
          <cell r="D15" t="str">
            <v>АО "Новосибирскэнергосбыт"</v>
          </cell>
        </row>
        <row r="21">
          <cell r="D21">
            <v>0</v>
          </cell>
        </row>
      </sheetData>
      <sheetData sheetId="28">
        <row r="11">
          <cell r="E11">
            <v>1871</v>
          </cell>
        </row>
        <row r="12">
          <cell r="E12">
            <v>1636</v>
          </cell>
        </row>
        <row r="13">
          <cell r="E13">
            <v>204</v>
          </cell>
        </row>
        <row r="16">
          <cell r="E16">
            <v>0</v>
          </cell>
        </row>
        <row r="17">
          <cell r="E17">
            <v>23.92</v>
          </cell>
        </row>
        <row r="18">
          <cell r="E18">
            <v>0</v>
          </cell>
        </row>
        <row r="19">
          <cell r="E19">
            <v>18.579999999999998</v>
          </cell>
        </row>
      </sheetData>
      <sheetData sheetId="29"/>
      <sheetData sheetId="30">
        <row r="12">
          <cell r="F12">
            <v>116.98180669184343</v>
          </cell>
        </row>
        <row r="17">
          <cell r="F17">
            <v>0.02</v>
          </cell>
        </row>
      </sheetData>
      <sheetData sheetId="31">
        <row r="12">
          <cell r="F12" t="str">
            <v>-</v>
          </cell>
        </row>
      </sheetData>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нструкция"/>
      <sheetName val="Структура"/>
      <sheetName val="Содержание"/>
      <sheetName val="И1"/>
      <sheetName val="Инвест.об."/>
      <sheetName val="И2"/>
      <sheetName val="И2.1"/>
      <sheetName val="С1"/>
      <sheetName val="С1.1"/>
      <sheetName val="С1.2"/>
      <sheetName val="Data1.2"/>
      <sheetName val="С1.3"/>
      <sheetName val="Data1.3"/>
      <sheetName val="С2"/>
      <sheetName val="С2.1"/>
      <sheetName val="Data2.1"/>
      <sheetName val="С2.2"/>
      <sheetName val="С2.3"/>
      <sheetName val="С2.4"/>
      <sheetName val="Data2.4"/>
      <sheetName val="С2.5"/>
      <sheetName val="С2.6"/>
      <sheetName val="Data2.6"/>
      <sheetName val="С3"/>
      <sheetName val="С3.1"/>
      <sheetName val="С4"/>
      <sheetName val="С4.1"/>
      <sheetName val="С4.2"/>
      <sheetName val="С4.3"/>
      <sheetName val="С4.4"/>
      <sheetName val="С5"/>
      <sheetName val="С6"/>
      <sheetName val="И3"/>
      <sheetName val="Проверка"/>
      <sheetName val="ИПЦ_ИПГ"/>
      <sheetName val="АК_прогноз"/>
      <sheetName val="ПУЦ (п.67)"/>
      <sheetName val="АК_прогноз_j"/>
      <sheetName val="Гр&amp;ПУЦ_v1"/>
      <sheetName val="Заморозка"/>
      <sheetName val="ИПГ_мо"/>
      <sheetName val="ИПГ_рег"/>
      <sheetName val="Темп VS ИПГ"/>
      <sheetName val="МУ770_Т1"/>
      <sheetName val="Гр&amp;ПУЦ_v2"/>
      <sheetName val="Системный"/>
    </sheetNames>
    <sheetDataSet>
      <sheetData sheetId="0"/>
      <sheetData sheetId="1"/>
      <sheetData sheetId="2"/>
      <sheetData sheetId="3">
        <row r="8">
          <cell r="D8" t="str">
            <v>Период регулирования (i)-й</v>
          </cell>
        </row>
        <row r="14">
          <cell r="E14" t="str">
            <v>поселок Чернореченский, Искитимский муниципальный район</v>
          </cell>
        </row>
        <row r="16">
          <cell r="E16" t="str">
            <v xml:space="preserve"> (50615437101)</v>
          </cell>
        </row>
      </sheetData>
      <sheetData sheetId="4"/>
      <sheetData sheetId="5"/>
      <sheetData sheetId="6"/>
      <sheetData sheetId="7">
        <row r="12">
          <cell r="F12">
            <v>1050.7242167390195</v>
          </cell>
        </row>
      </sheetData>
      <sheetData sheetId="8">
        <row r="13">
          <cell r="E13" t="str">
            <v>уголь (вид угля не указан в топливном балансе)</v>
          </cell>
        </row>
      </sheetData>
      <sheetData sheetId="9"/>
      <sheetData sheetId="10"/>
      <sheetData sheetId="11"/>
      <sheetData sheetId="12"/>
      <sheetData sheetId="13">
        <row r="12">
          <cell r="F12">
            <v>3063.2235383547568</v>
          </cell>
        </row>
      </sheetData>
      <sheetData sheetId="14">
        <row r="12">
          <cell r="E12" t="str">
            <v>V</v>
          </cell>
        </row>
      </sheetData>
      <sheetData sheetId="15"/>
      <sheetData sheetId="16">
        <row r="10">
          <cell r="E10">
            <v>1287</v>
          </cell>
        </row>
      </sheetData>
      <sheetData sheetId="17">
        <row r="11">
          <cell r="E11">
            <v>9.89</v>
          </cell>
        </row>
      </sheetData>
      <sheetData sheetId="18"/>
      <sheetData sheetId="19"/>
      <sheetData sheetId="20">
        <row r="11">
          <cell r="E11">
            <v>-2.9000000000000026E-2</v>
          </cell>
        </row>
      </sheetData>
      <sheetData sheetId="21"/>
      <sheetData sheetId="22"/>
      <sheetData sheetId="23">
        <row r="12">
          <cell r="F12">
            <v>917.89815316767874</v>
          </cell>
        </row>
      </sheetData>
      <sheetData sheetId="24"/>
      <sheetData sheetId="25">
        <row r="12">
          <cell r="F12">
            <v>528.19260604792305</v>
          </cell>
        </row>
      </sheetData>
      <sheetData sheetId="26"/>
      <sheetData sheetId="27">
        <row r="8">
          <cell r="F8" t="str">
            <v>нет</v>
          </cell>
        </row>
      </sheetData>
      <sheetData sheetId="28">
        <row r="11">
          <cell r="E11">
            <v>1871</v>
          </cell>
        </row>
      </sheetData>
      <sheetData sheetId="29"/>
      <sheetData sheetId="30">
        <row r="12">
          <cell r="F12">
            <v>111.20077028618756</v>
          </cell>
        </row>
      </sheetData>
      <sheetData sheetId="31">
        <row r="12">
          <cell r="F12" t="str">
            <v>-</v>
          </cell>
        </row>
      </sheetData>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нструкция"/>
      <sheetName val="Структура"/>
      <sheetName val="Содержание"/>
      <sheetName val="И1"/>
      <sheetName val="Инвест.об."/>
      <sheetName val="И2"/>
      <sheetName val="И2.1"/>
      <sheetName val="С1"/>
      <sheetName val="С1.1"/>
      <sheetName val="С1.2"/>
      <sheetName val="Data1.2"/>
      <sheetName val="С1.3"/>
      <sheetName val="Data1.3"/>
      <sheetName val="С2"/>
      <sheetName val="С2.1"/>
      <sheetName val="Data2.1"/>
      <sheetName val="С2.2"/>
      <sheetName val="С2.3"/>
      <sheetName val="С2.4"/>
      <sheetName val="Data2.4"/>
      <sheetName val="С2.5"/>
      <sheetName val="С2.6"/>
      <sheetName val="Data2.6"/>
      <sheetName val="С3"/>
      <sheetName val="С3.1"/>
      <sheetName val="С4"/>
      <sheetName val="С4.1"/>
      <sheetName val="С4.2"/>
      <sheetName val="С4.3"/>
      <sheetName val="С4.4"/>
      <sheetName val="С5"/>
      <sheetName val="С6"/>
      <sheetName val="И3"/>
      <sheetName val="Проверка"/>
      <sheetName val="ИПЦ_ИПГ"/>
      <sheetName val="АК_прогноз"/>
      <sheetName val="ПУЦ (п.67)"/>
      <sheetName val="АК_прогноз_j"/>
      <sheetName val="Гр&amp;ПУЦ_v1"/>
      <sheetName val="Заморозка"/>
      <sheetName val="ИПГ_мо"/>
      <sheetName val="ИПГ_рег"/>
      <sheetName val="Темп VS ИПГ"/>
      <sheetName val="МУ770_Т1"/>
      <sheetName val="Гр&amp;ПУЦ_v2"/>
      <sheetName val="Системный"/>
    </sheetNames>
    <sheetDataSet>
      <sheetData sheetId="0"/>
      <sheetData sheetId="1"/>
      <sheetData sheetId="2"/>
      <sheetData sheetId="3">
        <row r="8">
          <cell r="D8" t="str">
            <v>Период регулирования (i)-й</v>
          </cell>
        </row>
        <row r="14">
          <cell r="E14" t="str">
            <v xml:space="preserve">село Быстровка, Искитимский муниципальный район </v>
          </cell>
        </row>
      </sheetData>
      <sheetData sheetId="4"/>
      <sheetData sheetId="5"/>
      <sheetData sheetId="6"/>
      <sheetData sheetId="7">
        <row r="12">
          <cell r="F12">
            <v>1095.1596691261034</v>
          </cell>
        </row>
      </sheetData>
      <sheetData sheetId="8">
        <row r="13">
          <cell r="E13" t="str">
            <v>уголь (вид угля не указан в топливном балансе)</v>
          </cell>
        </row>
      </sheetData>
      <sheetData sheetId="9"/>
      <sheetData sheetId="10"/>
      <sheetData sheetId="11"/>
      <sheetData sheetId="12"/>
      <sheetData sheetId="13">
        <row r="12">
          <cell r="F12">
            <v>3063.2235383547568</v>
          </cell>
        </row>
      </sheetData>
      <sheetData sheetId="14">
        <row r="12">
          <cell r="E12" t="str">
            <v>V</v>
          </cell>
        </row>
      </sheetData>
      <sheetData sheetId="15"/>
      <sheetData sheetId="16">
        <row r="10">
          <cell r="E10">
            <v>1287</v>
          </cell>
        </row>
      </sheetData>
      <sheetData sheetId="17">
        <row r="11">
          <cell r="E11">
            <v>9.89</v>
          </cell>
        </row>
      </sheetData>
      <sheetData sheetId="18"/>
      <sheetData sheetId="19"/>
      <sheetData sheetId="20">
        <row r="11">
          <cell r="E11">
            <v>-2.9000000000000026E-2</v>
          </cell>
        </row>
      </sheetData>
      <sheetData sheetId="21"/>
      <sheetData sheetId="22"/>
      <sheetData sheetId="23">
        <row r="12">
          <cell r="F12">
            <v>917.89815316767874</v>
          </cell>
        </row>
      </sheetData>
      <sheetData sheetId="24"/>
      <sheetData sheetId="25">
        <row r="12">
          <cell r="F12">
            <v>531.5967573913714</v>
          </cell>
        </row>
      </sheetData>
      <sheetData sheetId="26"/>
      <sheetData sheetId="27">
        <row r="8">
          <cell r="F8" t="str">
            <v>нет</v>
          </cell>
        </row>
      </sheetData>
      <sheetData sheetId="28">
        <row r="11">
          <cell r="E11">
            <v>1871</v>
          </cell>
        </row>
      </sheetData>
      <sheetData sheetId="29"/>
      <sheetData sheetId="30">
        <row r="12">
          <cell r="F12">
            <v>112.15756236079821</v>
          </cell>
        </row>
      </sheetData>
      <sheetData sheetId="31">
        <row r="12">
          <cell r="F12" t="str">
            <v>-</v>
          </cell>
        </row>
      </sheetData>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нструкция"/>
      <sheetName val="Структура"/>
      <sheetName val="Содержание"/>
      <sheetName val="И1"/>
      <sheetName val="Инвест.об."/>
      <sheetName val="И2"/>
      <sheetName val="И2.1"/>
      <sheetName val="С1"/>
      <sheetName val="С1.1"/>
      <sheetName val="С1.2"/>
      <sheetName val="Data1.2"/>
      <sheetName val="С1.3"/>
      <sheetName val="Data1.3"/>
      <sheetName val="С2"/>
      <sheetName val="С2.1"/>
      <sheetName val="Data2.1"/>
      <sheetName val="С2.2"/>
      <sheetName val="С2.3"/>
      <sheetName val="С2.4"/>
      <sheetName val="Data2.4"/>
      <sheetName val="С2.5"/>
      <sheetName val="С2.6"/>
      <sheetName val="Data2.6"/>
      <sheetName val="С3"/>
      <sheetName val="С3.1"/>
      <sheetName val="С4"/>
      <sheetName val="С4.1"/>
      <sheetName val="С4.2"/>
      <sheetName val="С4.3"/>
      <sheetName val="С4.4"/>
      <sheetName val="С5"/>
      <sheetName val="С6"/>
      <sheetName val="И3"/>
      <sheetName val="Проверка"/>
      <sheetName val="ИПЦ_ИПГ"/>
      <sheetName val="АК_прогноз"/>
      <sheetName val="ПУЦ (п.67)"/>
      <sheetName val="АК_прогноз_j"/>
      <sheetName val="Гр&amp;ПУЦ_v1"/>
      <sheetName val="Заморозка"/>
      <sheetName val="ИПГ_мо"/>
      <sheetName val="ИПГ_рег"/>
      <sheetName val="Темп VS ИПГ"/>
      <sheetName val="МУ770_Т1"/>
      <sheetName val="Гр&amp;ПУЦ_v2"/>
      <sheetName val="Системный"/>
      <sheetName val="Шаблон ЦАК_уголь_2026_5эт Шибко"/>
    </sheetNames>
    <sheetDataSet>
      <sheetData sheetId="0"/>
      <sheetData sheetId="1"/>
      <sheetData sheetId="2"/>
      <sheetData sheetId="3">
        <row r="8">
          <cell r="D8" t="str">
            <v>Период регулирования (i)-й</v>
          </cell>
          <cell r="E8">
            <v>2026</v>
          </cell>
        </row>
        <row r="9">
          <cell r="D9" t="str">
            <v>Период регулирования (i-1)-й</v>
          </cell>
          <cell r="E9">
            <v>2025</v>
          </cell>
        </row>
        <row r="10">
          <cell r="D10" t="str">
            <v>Период регулирования (i-2)-й</v>
          </cell>
          <cell r="E10">
            <v>2024</v>
          </cell>
        </row>
        <row r="11">
          <cell r="D11" t="str">
            <v>Базовый год (б)</v>
          </cell>
          <cell r="E11">
            <v>2019</v>
          </cell>
        </row>
        <row r="13">
          <cell r="D13" t="str">
            <v>Субъект Российской Федерации</v>
          </cell>
          <cell r="E13" t="str">
            <v>Новосибирская область</v>
          </cell>
        </row>
        <row r="14">
          <cell r="D14" t="str">
            <v>Тип муниципального образования (выберите из списка)</v>
          </cell>
        </row>
        <row r="15">
          <cell r="D15" t="str">
            <v/>
          </cell>
          <cell r="E15">
            <v>0</v>
          </cell>
        </row>
        <row r="16">
          <cell r="D16" t="str">
            <v>Код ОКТМО</v>
          </cell>
        </row>
        <row r="17">
          <cell r="D17" t="str">
            <v>Система теплоснабжения</v>
          </cell>
          <cell r="E17">
            <v>0</v>
          </cell>
        </row>
        <row r="18">
          <cell r="D18" t="str">
            <v>Вид топлива, использование которого преобладает в системе теплоснабжения</v>
          </cell>
        </row>
      </sheetData>
      <sheetData sheetId="4"/>
      <sheetData sheetId="5"/>
      <sheetData sheetId="6"/>
      <sheetData sheetId="7">
        <row r="12">
          <cell r="F12">
            <v>1253.4885262317794</v>
          </cell>
        </row>
        <row r="13">
          <cell r="F13">
            <v>176.4</v>
          </cell>
        </row>
        <row r="16">
          <cell r="F16">
            <v>7000</v>
          </cell>
        </row>
        <row r="17">
          <cell r="F17">
            <v>0.72857142857142854</v>
          </cell>
        </row>
        <row r="20">
          <cell r="F20">
            <v>21.588411179999994</v>
          </cell>
        </row>
        <row r="21">
          <cell r="F21">
            <v>20.818139999999996</v>
          </cell>
        </row>
        <row r="22">
          <cell r="F22">
            <v>1.0369999999999999</v>
          </cell>
        </row>
        <row r="23">
          <cell r="F23">
            <v>1.0469999999999999</v>
          </cell>
        </row>
      </sheetData>
      <sheetData sheetId="8">
        <row r="9">
          <cell r="I9" t="str">
            <v>цены (тарифы), подлежащие государственному регулированию, действовавшие на день окончания (i-2)-го расчетного периода в системе теплоснабжения</v>
          </cell>
        </row>
        <row r="13">
          <cell r="E13" t="str">
            <v>каменный уголь</v>
          </cell>
        </row>
        <row r="16">
          <cell r="E16">
            <v>5100</v>
          </cell>
        </row>
        <row r="19">
          <cell r="E19">
            <v>-0.11899999999999999</v>
          </cell>
        </row>
        <row r="20">
          <cell r="E20">
            <v>4.0000000000000001E-3</v>
          </cell>
        </row>
        <row r="27">
          <cell r="E27">
            <v>5390.87</v>
          </cell>
        </row>
      </sheetData>
      <sheetData sheetId="9"/>
      <sheetData sheetId="10"/>
      <sheetData sheetId="11">
        <row r="9">
          <cell r="G9">
            <v>0</v>
          </cell>
        </row>
      </sheetData>
      <sheetData sheetId="12"/>
      <sheetData sheetId="13">
        <row r="12">
          <cell r="F12">
            <v>3097.7824122172187</v>
          </cell>
        </row>
        <row r="13">
          <cell r="F13">
            <v>210571.60987470482</v>
          </cell>
        </row>
        <row r="14">
          <cell r="F14">
            <v>113455</v>
          </cell>
        </row>
        <row r="15">
          <cell r="F15">
            <v>1.071</v>
          </cell>
        </row>
        <row r="16">
          <cell r="F16">
            <v>1</v>
          </cell>
        </row>
        <row r="17">
          <cell r="F17">
            <v>1.01</v>
          </cell>
        </row>
        <row r="18">
          <cell r="F18">
            <v>40220.845230503684</v>
          </cell>
        </row>
        <row r="19">
          <cell r="F19">
            <v>0</v>
          </cell>
        </row>
        <row r="20">
          <cell r="F20">
            <v>23441.524932855718</v>
          </cell>
        </row>
        <row r="21">
          <cell r="F21">
            <v>1</v>
          </cell>
        </row>
        <row r="22">
          <cell r="F22">
            <v>4298.6978080550834</v>
          </cell>
        </row>
        <row r="23">
          <cell r="F23">
            <v>1990</v>
          </cell>
        </row>
        <row r="26">
          <cell r="F26">
            <v>3185.880383940208</v>
          </cell>
        </row>
        <row r="27">
          <cell r="F27">
            <v>0.44209422600000003</v>
          </cell>
        </row>
        <row r="28">
          <cell r="F28">
            <v>4200</v>
          </cell>
        </row>
        <row r="29">
          <cell r="F29">
            <v>0.21369165990259753</v>
          </cell>
        </row>
        <row r="30">
          <cell r="F30">
            <v>0.20047619047619047</v>
          </cell>
        </row>
        <row r="31">
          <cell r="F31">
            <v>0.13880000000000001</v>
          </cell>
        </row>
        <row r="32">
          <cell r="F32">
            <v>0.12640000000000001</v>
          </cell>
        </row>
        <row r="33">
          <cell r="F33">
            <v>10</v>
          </cell>
        </row>
        <row r="35">
          <cell r="F35">
            <v>1.7157947422665329</v>
          </cell>
        </row>
        <row r="37">
          <cell r="F37">
            <v>20.818139999999996</v>
          </cell>
        </row>
        <row r="38">
          <cell r="F38">
            <v>7</v>
          </cell>
        </row>
        <row r="40">
          <cell r="F40">
            <v>0.97</v>
          </cell>
        </row>
        <row r="42">
          <cell r="F42">
            <v>0.35</v>
          </cell>
        </row>
      </sheetData>
      <sheetData sheetId="14">
        <row r="12">
          <cell r="E12" t="str">
            <v>V</v>
          </cell>
        </row>
        <row r="13">
          <cell r="E13" t="str">
            <v>6 и менее баллов</v>
          </cell>
        </row>
        <row r="14">
          <cell r="E14" t="str">
            <v>от 200 до 500</v>
          </cell>
        </row>
        <row r="15">
          <cell r="E15" t="str">
            <v>нет</v>
          </cell>
        </row>
        <row r="19">
          <cell r="E19">
            <v>-38</v>
          </cell>
        </row>
        <row r="22">
          <cell r="E22" t="str">
            <v>нет</v>
          </cell>
        </row>
        <row r="27">
          <cell r="E27">
            <v>246.24401</v>
          </cell>
        </row>
        <row r="28">
          <cell r="E28">
            <v>269.12432000000001</v>
          </cell>
        </row>
      </sheetData>
      <sheetData sheetId="15"/>
      <sheetData sheetId="16">
        <row r="10">
          <cell r="E10">
            <v>1287</v>
          </cell>
        </row>
        <row r="12">
          <cell r="E12">
            <v>5.97</v>
          </cell>
        </row>
        <row r="13">
          <cell r="E13">
            <v>1</v>
          </cell>
        </row>
        <row r="14">
          <cell r="E14">
            <v>12104</v>
          </cell>
        </row>
        <row r="15">
          <cell r="E15">
            <v>4.8000000000000001E-2</v>
          </cell>
        </row>
        <row r="16">
          <cell r="E16">
            <v>1</v>
          </cell>
        </row>
      </sheetData>
      <sheetData sheetId="17">
        <row r="11">
          <cell r="E11">
            <v>9.89</v>
          </cell>
        </row>
        <row r="12">
          <cell r="E12">
            <v>0.56000000000000005</v>
          </cell>
        </row>
        <row r="13">
          <cell r="E13">
            <v>300</v>
          </cell>
        </row>
        <row r="14">
          <cell r="E14">
            <v>61211</v>
          </cell>
        </row>
        <row r="15">
          <cell r="E15">
            <v>45675</v>
          </cell>
        </row>
        <row r="16">
          <cell r="E16">
            <v>65637</v>
          </cell>
        </row>
        <row r="17">
          <cell r="E17">
            <v>31684</v>
          </cell>
        </row>
        <row r="21">
          <cell r="E21" t="str">
            <v>Муниципальное унитарное предприятие города Куйбышева Куйбышевского района Новосибирской области "Горводоканал"</v>
          </cell>
        </row>
        <row r="22">
          <cell r="E22">
            <v>8809</v>
          </cell>
        </row>
        <row r="23">
          <cell r="E23">
            <v>530.41</v>
          </cell>
        </row>
        <row r="25">
          <cell r="E25" t="str">
            <v>Муниципальное унитарное предприятие города Куйбышева Куйбышевского района Новосибирской области "Геострой"</v>
          </cell>
        </row>
        <row r="26">
          <cell r="E26">
            <v>21397</v>
          </cell>
        </row>
        <row r="27">
          <cell r="E27">
            <v>857.14</v>
          </cell>
        </row>
      </sheetData>
      <sheetData sheetId="18">
        <row r="12">
          <cell r="F12" t="str">
            <v>Постановление Правительства Новосибирской области от 29.11.2011 №535-п (ред. 14.04.2014) "Об утверждении результатов государственной кадастровой оценки земель населенных пунктов в новосибирской области и среднего уровня кадастровой стоимости земель населенных пунктов по муниципальным районам и городским округам Новосибирской области"</v>
          </cell>
        </row>
      </sheetData>
      <sheetData sheetId="19"/>
      <sheetData sheetId="20">
        <row r="11">
          <cell r="E11">
            <v>-2.9000000000000026E-2</v>
          </cell>
          <cell r="F11">
            <v>0.245</v>
          </cell>
          <cell r="G11">
            <v>0.114</v>
          </cell>
          <cell r="H11">
            <v>0.04</v>
          </cell>
          <cell r="I11">
            <v>0.121</v>
          </cell>
          <cell r="J11">
            <v>0.03</v>
          </cell>
          <cell r="K11">
            <v>6.0999999999999999E-2</v>
          </cell>
          <cell r="L11">
            <v>3.2682303599220003E-2</v>
          </cell>
          <cell r="M11">
            <v>0</v>
          </cell>
          <cell r="N11">
            <v>0</v>
          </cell>
          <cell r="O11">
            <v>0</v>
          </cell>
          <cell r="P11">
            <v>0</v>
          </cell>
          <cell r="Q11">
            <v>0</v>
          </cell>
          <cell r="R11">
            <v>0</v>
          </cell>
          <cell r="S11">
            <v>0</v>
          </cell>
          <cell r="T11">
            <v>0</v>
          </cell>
          <cell r="U11">
            <v>0</v>
          </cell>
          <cell r="V11">
            <v>0</v>
          </cell>
          <cell r="W11">
            <v>0</v>
          </cell>
          <cell r="X11">
            <v>0</v>
          </cell>
          <cell r="Y11">
            <v>0</v>
          </cell>
          <cell r="Z11">
            <v>0</v>
          </cell>
          <cell r="AA11">
            <v>0</v>
          </cell>
          <cell r="AB11">
            <v>0</v>
          </cell>
          <cell r="AC11">
            <v>0</v>
          </cell>
          <cell r="AD11">
            <v>0</v>
          </cell>
          <cell r="AE11">
            <v>0</v>
          </cell>
          <cell r="AF11">
            <v>0</v>
          </cell>
          <cell r="AG11">
            <v>0</v>
          </cell>
          <cell r="AH11">
            <v>0</v>
          </cell>
          <cell r="AI11">
            <v>0</v>
          </cell>
          <cell r="AJ11">
            <v>0</v>
          </cell>
          <cell r="AK11">
            <v>0</v>
          </cell>
          <cell r="AL11">
            <v>0</v>
          </cell>
          <cell r="AM11">
            <v>0</v>
          </cell>
          <cell r="AN11">
            <v>0</v>
          </cell>
          <cell r="AO11">
            <v>0</v>
          </cell>
          <cell r="AP11">
            <v>0</v>
          </cell>
          <cell r="AQ11">
            <v>0</v>
          </cell>
          <cell r="AR11">
            <v>0</v>
          </cell>
          <cell r="AS11">
            <v>0</v>
          </cell>
          <cell r="AT11">
            <v>0</v>
          </cell>
          <cell r="AU11">
            <v>0</v>
          </cell>
          <cell r="AV11">
            <v>0</v>
          </cell>
          <cell r="AW11">
            <v>0</v>
          </cell>
          <cell r="AX11">
            <v>0</v>
          </cell>
          <cell r="AY11">
            <v>0</v>
          </cell>
          <cell r="AZ11">
            <v>0</v>
          </cell>
          <cell r="BA11">
            <v>0</v>
          </cell>
          <cell r="BB11">
            <v>0</v>
          </cell>
          <cell r="BC11">
            <v>0</v>
          </cell>
          <cell r="BD11">
            <v>0</v>
          </cell>
          <cell r="BE11">
            <v>0</v>
          </cell>
          <cell r="BF11">
            <v>0</v>
          </cell>
          <cell r="BG11">
            <v>0</v>
          </cell>
          <cell r="BH11">
            <v>0</v>
          </cell>
          <cell r="BI11">
            <v>0</v>
          </cell>
          <cell r="BJ11">
            <v>0</v>
          </cell>
          <cell r="BK11">
            <v>0</v>
          </cell>
          <cell r="BL11">
            <v>0</v>
          </cell>
          <cell r="BM11">
            <v>0</v>
          </cell>
          <cell r="BN11">
            <v>0</v>
          </cell>
          <cell r="BO11">
            <v>0</v>
          </cell>
          <cell r="BP11">
            <v>0</v>
          </cell>
          <cell r="BQ11">
            <v>0</v>
          </cell>
          <cell r="BR11">
            <v>0</v>
          </cell>
          <cell r="BS11">
            <v>0</v>
          </cell>
          <cell r="BT11">
            <v>0</v>
          </cell>
          <cell r="BU11">
            <v>0</v>
          </cell>
          <cell r="BV11">
            <v>0</v>
          </cell>
          <cell r="BW11">
            <v>0</v>
          </cell>
          <cell r="BX11">
            <v>0</v>
          </cell>
          <cell r="BY11">
            <v>0</v>
          </cell>
          <cell r="BZ11">
            <v>0</v>
          </cell>
          <cell r="CA11">
            <v>0</v>
          </cell>
          <cell r="CB11">
            <v>0</v>
          </cell>
          <cell r="CC11">
            <v>0</v>
          </cell>
          <cell r="CD11">
            <v>0</v>
          </cell>
          <cell r="CE11">
            <v>0</v>
          </cell>
          <cell r="CF11">
            <v>0</v>
          </cell>
          <cell r="CG11">
            <v>0</v>
          </cell>
        </row>
      </sheetData>
      <sheetData sheetId="21">
        <row r="11">
          <cell r="G11" t="str">
            <v>Информация с официального сайта Банка России</v>
          </cell>
        </row>
      </sheetData>
      <sheetData sheetId="22"/>
      <sheetData sheetId="23">
        <row r="12">
          <cell r="F12">
            <v>940.47266370947932</v>
          </cell>
        </row>
        <row r="14">
          <cell r="F14">
            <v>15827.997028730506</v>
          </cell>
        </row>
        <row r="15">
          <cell r="F15">
            <v>0.25</v>
          </cell>
        </row>
        <row r="18">
          <cell r="F18">
            <v>15</v>
          </cell>
        </row>
        <row r="19">
          <cell r="F19">
            <v>3741.3369093945325</v>
          </cell>
        </row>
        <row r="20">
          <cell r="F20">
            <v>2.1999999999999999E-2</v>
          </cell>
        </row>
        <row r="21">
          <cell r="F21">
            <v>10</v>
          </cell>
        </row>
        <row r="22">
          <cell r="F22">
            <v>9.5576411518206239</v>
          </cell>
        </row>
        <row r="23">
          <cell r="F23">
            <v>3.0000000000000001E-3</v>
          </cell>
        </row>
        <row r="24">
          <cell r="F24">
            <v>3185.880383940208</v>
          </cell>
        </row>
      </sheetData>
      <sheetData sheetId="24">
        <row r="12">
          <cell r="F12" t="str">
            <v>Налоговый кодекс РФ</v>
          </cell>
        </row>
      </sheetData>
      <sheetData sheetId="25">
        <row r="12">
          <cell r="F12">
            <v>554.78173750650694</v>
          </cell>
        </row>
        <row r="16">
          <cell r="F16">
            <v>1652.5</v>
          </cell>
        </row>
        <row r="17">
          <cell r="F17">
            <v>73547</v>
          </cell>
        </row>
        <row r="18">
          <cell r="F18">
            <v>0.02</v>
          </cell>
        </row>
        <row r="19">
          <cell r="F19">
            <v>12104</v>
          </cell>
        </row>
        <row r="20">
          <cell r="F20">
            <v>1.4999999999999999E-2</v>
          </cell>
        </row>
        <row r="21">
          <cell r="F21">
            <v>1933.1949342509995</v>
          </cell>
        </row>
        <row r="22">
          <cell r="F22">
            <v>3.6112641666666665</v>
          </cell>
        </row>
        <row r="23">
          <cell r="F23">
            <v>180</v>
          </cell>
        </row>
        <row r="24">
          <cell r="F24">
            <v>8497.1999999999989</v>
          </cell>
        </row>
        <row r="25">
          <cell r="F25">
            <v>0.35</v>
          </cell>
        </row>
        <row r="26">
          <cell r="F26">
            <v>58.038060000000002</v>
          </cell>
        </row>
        <row r="27">
          <cell r="F27">
            <v>1291.2863994686898</v>
          </cell>
        </row>
        <row r="28">
          <cell r="F28">
            <v>991.77142816335618</v>
          </cell>
        </row>
        <row r="29">
          <cell r="F29">
            <v>299.51497130533357</v>
          </cell>
        </row>
        <row r="30">
          <cell r="F30">
            <v>3082.0435521260952</v>
          </cell>
        </row>
        <row r="33">
          <cell r="F33">
            <v>1845.5732419240796</v>
          </cell>
        </row>
        <row r="35">
          <cell r="F35">
            <v>18.902267999999999</v>
          </cell>
        </row>
        <row r="36">
          <cell r="F36">
            <v>14319.9</v>
          </cell>
        </row>
        <row r="37">
          <cell r="F37">
            <v>1.32</v>
          </cell>
        </row>
      </sheetData>
      <sheetData sheetId="26">
        <row r="12">
          <cell r="F12" t="str">
            <v>Постановление Правительства Российской Федерации от 17.04.2024 № 492</v>
          </cell>
        </row>
      </sheetData>
      <sheetData sheetId="27">
        <row r="8">
          <cell r="F8" t="str">
            <v>нет</v>
          </cell>
        </row>
        <row r="15">
          <cell r="D15" t="str">
            <v>АО "Новосибирскэнергосбыт"</v>
          </cell>
        </row>
        <row r="21">
          <cell r="D21">
            <v>0</v>
          </cell>
        </row>
      </sheetData>
      <sheetData sheetId="28">
        <row r="11">
          <cell r="E11">
            <v>1871</v>
          </cell>
        </row>
        <row r="12">
          <cell r="E12">
            <v>1636</v>
          </cell>
        </row>
        <row r="13">
          <cell r="E13">
            <v>204</v>
          </cell>
        </row>
        <row r="16">
          <cell r="E16">
            <v>0</v>
          </cell>
        </row>
        <row r="17">
          <cell r="E17">
            <v>15.38</v>
          </cell>
        </row>
        <row r="18">
          <cell r="E18">
            <v>0</v>
          </cell>
        </row>
        <row r="19">
          <cell r="E19">
            <v>20.100000000000001</v>
          </cell>
        </row>
      </sheetData>
      <sheetData sheetId="29"/>
      <sheetData sheetId="30">
        <row r="12">
          <cell r="F12">
            <v>116.93050679329968</v>
          </cell>
        </row>
        <row r="17">
          <cell r="F17">
            <v>0.02</v>
          </cell>
        </row>
      </sheetData>
      <sheetData sheetId="31">
        <row r="12">
          <cell r="F12" t="str">
            <v>-</v>
          </cell>
        </row>
      </sheetData>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нструкция"/>
      <sheetName val="Структура"/>
      <sheetName val="Содержание"/>
      <sheetName val="И1"/>
      <sheetName val="Инвест.об."/>
      <sheetName val="И2"/>
      <sheetName val="И2.1"/>
      <sheetName val="С1"/>
      <sheetName val="С1.1"/>
      <sheetName val="С1.2"/>
      <sheetName val="Data1.2"/>
      <sheetName val="С1.3"/>
      <sheetName val="Data1.3"/>
      <sheetName val="С2"/>
      <sheetName val="С2.1"/>
      <sheetName val="Data2.1"/>
      <sheetName val="С2.2"/>
      <sheetName val="С2.3"/>
      <sheetName val="С2.4"/>
      <sheetName val="Data2.4"/>
      <sheetName val="С2.5"/>
      <sheetName val="С2.6"/>
      <sheetName val="Data2.6"/>
      <sheetName val="С3"/>
      <sheetName val="С3.1"/>
      <sheetName val="С4"/>
      <sheetName val="С4.1"/>
      <sheetName val="С4.2"/>
      <sheetName val="С4.3"/>
      <sheetName val="С4.4"/>
      <sheetName val="С5"/>
      <sheetName val="С6"/>
      <sheetName val="И3"/>
      <sheetName val="Проверка"/>
      <sheetName val="ИПЦ_ИПГ"/>
      <sheetName val="АК_прогноз"/>
      <sheetName val="ПУЦ (п.67)"/>
      <sheetName val="АК_прогноз_j"/>
      <sheetName val="Гр&amp;ПУЦ_v1"/>
      <sheetName val="Заморозка"/>
      <sheetName val="ИПГ_мо"/>
      <sheetName val="ИПГ_рег"/>
      <sheetName val="Темп VS ИПГ"/>
      <sheetName val="МУ770_Т1"/>
      <sheetName val="Гр&amp;ПУЦ_v2"/>
      <sheetName val="Системный"/>
    </sheetNames>
    <sheetDataSet>
      <sheetData sheetId="0"/>
      <sheetData sheetId="1"/>
      <sheetData sheetId="2"/>
      <sheetData sheetId="3">
        <row r="8">
          <cell r="D8" t="str">
            <v>Период регулирования (i)-й</v>
          </cell>
        </row>
        <row r="14">
          <cell r="E14" t="str">
            <v xml:space="preserve">деревня Шибково, Искитимский муниципальный район </v>
          </cell>
        </row>
        <row r="16">
          <cell r="E16" t="str">
            <v>(50615440101)</v>
          </cell>
        </row>
      </sheetData>
      <sheetData sheetId="4"/>
      <sheetData sheetId="5"/>
      <sheetData sheetId="6"/>
      <sheetData sheetId="7">
        <row r="12">
          <cell r="F12">
            <v>960.0458433170021</v>
          </cell>
        </row>
      </sheetData>
      <sheetData sheetId="8">
        <row r="13">
          <cell r="E13" t="str">
            <v>уголь (вид угля не указан в топливном балансе)</v>
          </cell>
        </row>
      </sheetData>
      <sheetData sheetId="9"/>
      <sheetData sheetId="10"/>
      <sheetData sheetId="11"/>
      <sheetData sheetId="12"/>
      <sheetData sheetId="13">
        <row r="12">
          <cell r="F12">
            <v>3063.2235383547568</v>
          </cell>
        </row>
      </sheetData>
      <sheetData sheetId="14">
        <row r="12">
          <cell r="E12" t="str">
            <v>V</v>
          </cell>
        </row>
      </sheetData>
      <sheetData sheetId="15"/>
      <sheetData sheetId="16">
        <row r="10">
          <cell r="E10">
            <v>1287</v>
          </cell>
        </row>
      </sheetData>
      <sheetData sheetId="17">
        <row r="11">
          <cell r="E11">
            <v>9.89</v>
          </cell>
        </row>
      </sheetData>
      <sheetData sheetId="18"/>
      <sheetData sheetId="19"/>
      <sheetData sheetId="20">
        <row r="11">
          <cell r="E11">
            <v>-2.9000000000000026E-2</v>
          </cell>
        </row>
      </sheetData>
      <sheetData sheetId="21"/>
      <sheetData sheetId="22"/>
      <sheetData sheetId="23">
        <row r="12">
          <cell r="F12">
            <v>917.89815316767874</v>
          </cell>
        </row>
      </sheetData>
      <sheetData sheetId="24"/>
      <sheetData sheetId="25">
        <row r="12">
          <cell r="F12">
            <v>519.36371951720173</v>
          </cell>
        </row>
      </sheetData>
      <sheetData sheetId="26"/>
      <sheetData sheetId="27">
        <row r="8">
          <cell r="F8" t="str">
            <v>нет</v>
          </cell>
        </row>
      </sheetData>
      <sheetData sheetId="28">
        <row r="11">
          <cell r="E11">
            <v>1871</v>
          </cell>
        </row>
      </sheetData>
      <sheetData sheetId="29"/>
      <sheetData sheetId="30">
        <row r="12">
          <cell r="F12">
            <v>109.21062508713278</v>
          </cell>
        </row>
      </sheetData>
      <sheetData sheetId="31">
        <row r="12">
          <cell r="F12" t="str">
            <v>-</v>
          </cell>
        </row>
      </sheetData>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нструкция"/>
      <sheetName val="Структура"/>
      <sheetName val="Содержание"/>
      <sheetName val="И1"/>
      <sheetName val="Инвест.об."/>
      <sheetName val="И2"/>
      <sheetName val="И2.1"/>
      <sheetName val="С1"/>
      <sheetName val="С1.1"/>
      <sheetName val="С1.2"/>
      <sheetName val="Data1.2"/>
      <sheetName val="С1.3"/>
      <sheetName val="Data1.3"/>
      <sheetName val="С2"/>
      <sheetName val="С2.1"/>
      <sheetName val="Data2.1"/>
      <sheetName val="С2.2"/>
      <sheetName val="С2.3"/>
      <sheetName val="С2.4"/>
      <sheetName val="Data2.4"/>
      <sheetName val="С2.5"/>
      <sheetName val="С2.6"/>
      <sheetName val="Data2.6"/>
      <sheetName val="С3"/>
      <sheetName val="С3.1"/>
      <sheetName val="С4"/>
      <sheetName val="С4.1"/>
      <sheetName val="С4.2"/>
      <sheetName val="С4.3"/>
      <sheetName val="С4.4"/>
      <sheetName val="С5"/>
      <sheetName val="С6"/>
      <sheetName val="И3"/>
      <sheetName val="Проверка"/>
      <sheetName val="ИПЦ_ИПГ"/>
      <sheetName val="АК_прогноз"/>
      <sheetName val="ПУЦ (п.67)"/>
      <sheetName val="АК_прогноз_j"/>
      <sheetName val="Гр&amp;ПУЦ_v1"/>
      <sheetName val="Заморозка"/>
      <sheetName val="ИПГ_мо"/>
      <sheetName val="ИПГ_рег"/>
      <sheetName val="Темп VS ИПГ"/>
      <sheetName val="МУ770_Т1"/>
      <sheetName val="Гр&amp;ПУЦ_v2"/>
      <sheetName val="Системный"/>
      <sheetName val="Шаблон ЦАК_уголь_2026_5эт Евсин"/>
    </sheetNames>
    <sheetDataSet>
      <sheetData sheetId="0"/>
      <sheetData sheetId="1"/>
      <sheetData sheetId="2"/>
      <sheetData sheetId="3">
        <row r="8">
          <cell r="D8" t="str">
            <v>Период регулирования (i)-й</v>
          </cell>
          <cell r="E8">
            <v>2026</v>
          </cell>
        </row>
        <row r="9">
          <cell r="D9" t="str">
            <v>Период регулирования (i-1)-й</v>
          </cell>
          <cell r="E9">
            <v>2025</v>
          </cell>
        </row>
        <row r="10">
          <cell r="D10" t="str">
            <v>Период регулирования (i-2)-й</v>
          </cell>
          <cell r="E10">
            <v>2024</v>
          </cell>
        </row>
        <row r="11">
          <cell r="D11" t="str">
            <v>Базовый год (б)</v>
          </cell>
          <cell r="E11">
            <v>2019</v>
          </cell>
        </row>
        <row r="13">
          <cell r="D13" t="str">
            <v>Субъект Российской Федерации</v>
          </cell>
          <cell r="E13" t="str">
            <v>Новосибирская область</v>
          </cell>
        </row>
        <row r="14">
          <cell r="D14" t="str">
            <v>Тип муниципального образования (выберите из списка)</v>
          </cell>
        </row>
        <row r="15">
          <cell r="D15" t="str">
            <v/>
          </cell>
          <cell r="E15">
            <v>0</v>
          </cell>
        </row>
        <row r="16">
          <cell r="D16" t="str">
            <v>Код ОКТМО</v>
          </cell>
        </row>
        <row r="17">
          <cell r="D17" t="str">
            <v>Система теплоснабжения</v>
          </cell>
          <cell r="E17">
            <v>0</v>
          </cell>
        </row>
        <row r="18">
          <cell r="D18" t="str">
            <v>Вид топлива, использование которого преобладает в системе теплоснабжения</v>
          </cell>
        </row>
      </sheetData>
      <sheetData sheetId="4"/>
      <sheetData sheetId="5"/>
      <sheetData sheetId="6"/>
      <sheetData sheetId="7">
        <row r="12">
          <cell r="F12">
            <v>720.34893333841308</v>
          </cell>
        </row>
        <row r="13">
          <cell r="F13">
            <v>176.4</v>
          </cell>
        </row>
        <row r="16">
          <cell r="F16">
            <v>7000</v>
          </cell>
        </row>
        <row r="17">
          <cell r="F17">
            <v>0.72857142857142854</v>
          </cell>
        </row>
        <row r="20">
          <cell r="F20">
            <v>21.588411179999994</v>
          </cell>
        </row>
        <row r="21">
          <cell r="F21">
            <v>20.818139999999996</v>
          </cell>
        </row>
        <row r="22">
          <cell r="F22">
            <v>1.0369999999999999</v>
          </cell>
        </row>
        <row r="23">
          <cell r="F23">
            <v>1.0469999999999999</v>
          </cell>
        </row>
      </sheetData>
      <sheetData sheetId="8">
        <row r="9">
          <cell r="I9" t="str">
            <v>цены (тарифы), подлежащие государственному регулированию, действовавшие на день окончания (i-2)-го расчетного периода в системе теплоснабжения</v>
          </cell>
        </row>
        <row r="13">
          <cell r="E13" t="str">
            <v>каменный уголь</v>
          </cell>
        </row>
        <row r="16">
          <cell r="E16">
            <v>5100</v>
          </cell>
        </row>
        <row r="19">
          <cell r="E19">
            <v>-0.11899999999999999</v>
          </cell>
        </row>
        <row r="20">
          <cell r="E20">
            <v>4.0000000000000001E-3</v>
          </cell>
        </row>
        <row r="27">
          <cell r="E27">
            <v>3098</v>
          </cell>
        </row>
      </sheetData>
      <sheetData sheetId="9"/>
      <sheetData sheetId="10"/>
      <sheetData sheetId="11">
        <row r="9">
          <cell r="G9">
            <v>0</v>
          </cell>
        </row>
      </sheetData>
      <sheetData sheetId="12"/>
      <sheetData sheetId="13">
        <row r="12">
          <cell r="F12">
            <v>3097.7824122172187</v>
          </cell>
        </row>
        <row r="13">
          <cell r="F13">
            <v>210571.60987470482</v>
          </cell>
        </row>
        <row r="14">
          <cell r="F14">
            <v>113455</v>
          </cell>
        </row>
        <row r="15">
          <cell r="F15">
            <v>1.071</v>
          </cell>
        </row>
        <row r="16">
          <cell r="F16">
            <v>1</v>
          </cell>
        </row>
        <row r="17">
          <cell r="F17">
            <v>1.01</v>
          </cell>
        </row>
        <row r="18">
          <cell r="F18">
            <v>40220.845230503684</v>
          </cell>
        </row>
        <row r="19">
          <cell r="F19">
            <v>0</v>
          </cell>
        </row>
        <row r="20">
          <cell r="F20">
            <v>23441.524932855718</v>
          </cell>
        </row>
        <row r="21">
          <cell r="F21">
            <v>1</v>
          </cell>
        </row>
        <row r="22">
          <cell r="F22">
            <v>4298.6978080550834</v>
          </cell>
        </row>
        <row r="23">
          <cell r="F23">
            <v>1990</v>
          </cell>
        </row>
        <row r="26">
          <cell r="F26">
            <v>3185.880383940208</v>
          </cell>
        </row>
        <row r="27">
          <cell r="F27">
            <v>0.44209422600000003</v>
          </cell>
        </row>
        <row r="28">
          <cell r="F28">
            <v>4200</v>
          </cell>
        </row>
        <row r="29">
          <cell r="F29">
            <v>0.21369165990259753</v>
          </cell>
        </row>
        <row r="30">
          <cell r="F30">
            <v>0.20047619047619047</v>
          </cell>
        </row>
        <row r="31">
          <cell r="F31">
            <v>0.13880000000000001</v>
          </cell>
        </row>
        <row r="32">
          <cell r="F32">
            <v>0.12640000000000001</v>
          </cell>
        </row>
        <row r="33">
          <cell r="F33">
            <v>10</v>
          </cell>
        </row>
        <row r="35">
          <cell r="F35">
            <v>1.7157947422665329</v>
          </cell>
        </row>
        <row r="37">
          <cell r="F37">
            <v>20.818139999999996</v>
          </cell>
        </row>
        <row r="38">
          <cell r="F38">
            <v>7</v>
          </cell>
        </row>
        <row r="40">
          <cell r="F40">
            <v>0.97</v>
          </cell>
        </row>
        <row r="42">
          <cell r="F42">
            <v>0.35</v>
          </cell>
        </row>
      </sheetData>
      <sheetData sheetId="14">
        <row r="12">
          <cell r="E12" t="str">
            <v>V</v>
          </cell>
        </row>
        <row r="13">
          <cell r="E13" t="str">
            <v>6 и менее баллов</v>
          </cell>
        </row>
        <row r="14">
          <cell r="E14" t="str">
            <v>от 200 до 500</v>
          </cell>
        </row>
        <row r="15">
          <cell r="E15" t="str">
            <v>нет</v>
          </cell>
        </row>
        <row r="19">
          <cell r="E19">
            <v>-38</v>
          </cell>
        </row>
        <row r="22">
          <cell r="E22" t="str">
            <v>нет</v>
          </cell>
        </row>
        <row r="27">
          <cell r="E27">
            <v>246.24401</v>
          </cell>
        </row>
        <row r="28">
          <cell r="E28">
            <v>269.12432000000001</v>
          </cell>
        </row>
      </sheetData>
      <sheetData sheetId="15"/>
      <sheetData sheetId="16">
        <row r="10">
          <cell r="E10">
            <v>1287</v>
          </cell>
        </row>
        <row r="12">
          <cell r="E12">
            <v>5.97</v>
          </cell>
        </row>
        <row r="13">
          <cell r="E13">
            <v>1</v>
          </cell>
        </row>
        <row r="14">
          <cell r="E14">
            <v>12104</v>
          </cell>
        </row>
        <row r="15">
          <cell r="E15">
            <v>4.8000000000000001E-2</v>
          </cell>
        </row>
        <row r="16">
          <cell r="E16">
            <v>1</v>
          </cell>
        </row>
      </sheetData>
      <sheetData sheetId="17">
        <row r="11">
          <cell r="E11">
            <v>9.89</v>
          </cell>
        </row>
        <row r="12">
          <cell r="E12">
            <v>0.56000000000000005</v>
          </cell>
        </row>
        <row r="13">
          <cell r="E13">
            <v>300</v>
          </cell>
        </row>
        <row r="14">
          <cell r="E14">
            <v>61211</v>
          </cell>
        </row>
        <row r="15">
          <cell r="E15">
            <v>45675</v>
          </cell>
        </row>
        <row r="16">
          <cell r="E16">
            <v>65637</v>
          </cell>
        </row>
        <row r="17">
          <cell r="E17">
            <v>31684</v>
          </cell>
        </row>
        <row r="21">
          <cell r="E21" t="str">
            <v>Муниципальное унитарное предприятие города Куйбышева Куйбышевского района Новосибирской области "Горводоканал"</v>
          </cell>
        </row>
        <row r="22">
          <cell r="E22">
            <v>8809</v>
          </cell>
        </row>
        <row r="23">
          <cell r="E23">
            <v>530.41</v>
          </cell>
        </row>
        <row r="25">
          <cell r="E25" t="str">
            <v>Муниципальное унитарное предприятие города Куйбышева Куйбышевского района Новосибирской области "Геострой"</v>
          </cell>
        </row>
        <row r="26">
          <cell r="E26">
            <v>21397</v>
          </cell>
        </row>
        <row r="27">
          <cell r="E27">
            <v>857.14</v>
          </cell>
        </row>
      </sheetData>
      <sheetData sheetId="18">
        <row r="12">
          <cell r="F12" t="str">
            <v>Постановление Правительства Новосибирской области от 29.11.2011 №535-п (ред. 14.04.2014) "Об утверждении результатов государственной кадастровой оценки земель населенных пунктов в новосибирской области и среднего уровня кадастровой стоимости земель населенных пунктов по муниципальным районам и городским округам Новосибирской области"</v>
          </cell>
        </row>
      </sheetData>
      <sheetData sheetId="19"/>
      <sheetData sheetId="20">
        <row r="11">
          <cell r="E11">
            <v>-2.9000000000000026E-2</v>
          </cell>
          <cell r="F11">
            <v>0.245</v>
          </cell>
          <cell r="G11">
            <v>0.114</v>
          </cell>
          <cell r="H11">
            <v>0.04</v>
          </cell>
          <cell r="I11">
            <v>0.121</v>
          </cell>
          <cell r="J11">
            <v>0.03</v>
          </cell>
          <cell r="K11">
            <v>6.0999999999999999E-2</v>
          </cell>
          <cell r="L11">
            <v>3.2682303599220003E-2</v>
          </cell>
          <cell r="M11">
            <v>0</v>
          </cell>
          <cell r="N11">
            <v>0</v>
          </cell>
          <cell r="O11">
            <v>0</v>
          </cell>
          <cell r="P11">
            <v>0</v>
          </cell>
          <cell r="Q11">
            <v>0</v>
          </cell>
          <cell r="R11">
            <v>0</v>
          </cell>
          <cell r="S11">
            <v>0</v>
          </cell>
          <cell r="T11">
            <v>0</v>
          </cell>
          <cell r="U11">
            <v>0</v>
          </cell>
          <cell r="V11">
            <v>0</v>
          </cell>
          <cell r="W11">
            <v>0</v>
          </cell>
          <cell r="X11">
            <v>0</v>
          </cell>
          <cell r="Y11">
            <v>0</v>
          </cell>
          <cell r="Z11">
            <v>0</v>
          </cell>
          <cell r="AA11">
            <v>0</v>
          </cell>
          <cell r="AB11">
            <v>0</v>
          </cell>
          <cell r="AC11">
            <v>0</v>
          </cell>
          <cell r="AD11">
            <v>0</v>
          </cell>
          <cell r="AE11">
            <v>0</v>
          </cell>
          <cell r="AF11">
            <v>0</v>
          </cell>
          <cell r="AG11">
            <v>0</v>
          </cell>
          <cell r="AH11">
            <v>0</v>
          </cell>
          <cell r="AI11">
            <v>0</v>
          </cell>
          <cell r="AJ11">
            <v>0</v>
          </cell>
          <cell r="AK11">
            <v>0</v>
          </cell>
          <cell r="AL11">
            <v>0</v>
          </cell>
          <cell r="AM11">
            <v>0</v>
          </cell>
          <cell r="AN11">
            <v>0</v>
          </cell>
          <cell r="AO11">
            <v>0</v>
          </cell>
          <cell r="AP11">
            <v>0</v>
          </cell>
          <cell r="AQ11">
            <v>0</v>
          </cell>
          <cell r="AR11">
            <v>0</v>
          </cell>
          <cell r="AS11">
            <v>0</v>
          </cell>
          <cell r="AT11">
            <v>0</v>
          </cell>
          <cell r="AU11">
            <v>0</v>
          </cell>
          <cell r="AV11">
            <v>0</v>
          </cell>
          <cell r="AW11">
            <v>0</v>
          </cell>
          <cell r="AX11">
            <v>0</v>
          </cell>
          <cell r="AY11">
            <v>0</v>
          </cell>
          <cell r="AZ11">
            <v>0</v>
          </cell>
          <cell r="BA11">
            <v>0</v>
          </cell>
          <cell r="BB11">
            <v>0</v>
          </cell>
          <cell r="BC11">
            <v>0</v>
          </cell>
          <cell r="BD11">
            <v>0</v>
          </cell>
          <cell r="BE11">
            <v>0</v>
          </cell>
          <cell r="BF11">
            <v>0</v>
          </cell>
          <cell r="BG11">
            <v>0</v>
          </cell>
          <cell r="BH11">
            <v>0</v>
          </cell>
          <cell r="BI11">
            <v>0</v>
          </cell>
          <cell r="BJ11">
            <v>0</v>
          </cell>
          <cell r="BK11">
            <v>0</v>
          </cell>
          <cell r="BL11">
            <v>0</v>
          </cell>
          <cell r="BM11">
            <v>0</v>
          </cell>
          <cell r="BN11">
            <v>0</v>
          </cell>
          <cell r="BO11">
            <v>0</v>
          </cell>
          <cell r="BP11">
            <v>0</v>
          </cell>
          <cell r="BQ11">
            <v>0</v>
          </cell>
          <cell r="BR11">
            <v>0</v>
          </cell>
          <cell r="BS11">
            <v>0</v>
          </cell>
          <cell r="BT11">
            <v>0</v>
          </cell>
          <cell r="BU11">
            <v>0</v>
          </cell>
          <cell r="BV11">
            <v>0</v>
          </cell>
          <cell r="BW11">
            <v>0</v>
          </cell>
          <cell r="BX11">
            <v>0</v>
          </cell>
          <cell r="BY11">
            <v>0</v>
          </cell>
          <cell r="BZ11">
            <v>0</v>
          </cell>
          <cell r="CA11">
            <v>0</v>
          </cell>
          <cell r="CB11">
            <v>0</v>
          </cell>
          <cell r="CC11">
            <v>0</v>
          </cell>
          <cell r="CD11">
            <v>0</v>
          </cell>
          <cell r="CE11">
            <v>0</v>
          </cell>
          <cell r="CF11">
            <v>0</v>
          </cell>
          <cell r="CG11">
            <v>0</v>
          </cell>
        </row>
      </sheetData>
      <sheetData sheetId="21">
        <row r="11">
          <cell r="G11" t="str">
            <v>Информация с официального сайта Банка России</v>
          </cell>
        </row>
      </sheetData>
      <sheetData sheetId="22"/>
      <sheetData sheetId="23">
        <row r="12">
          <cell r="F12">
            <v>940.47266370947932</v>
          </cell>
        </row>
        <row r="14">
          <cell r="F14">
            <v>15827.997028730506</v>
          </cell>
        </row>
        <row r="15">
          <cell r="F15">
            <v>0.25</v>
          </cell>
        </row>
        <row r="18">
          <cell r="F18">
            <v>15</v>
          </cell>
        </row>
        <row r="19">
          <cell r="F19">
            <v>3741.3369093945325</v>
          </cell>
        </row>
        <row r="20">
          <cell r="F20">
            <v>2.1999999999999999E-2</v>
          </cell>
        </row>
        <row r="21">
          <cell r="F21">
            <v>10</v>
          </cell>
        </row>
        <row r="22">
          <cell r="F22">
            <v>9.5576411518206239</v>
          </cell>
        </row>
        <row r="23">
          <cell r="F23">
            <v>3.0000000000000001E-3</v>
          </cell>
        </row>
        <row r="24">
          <cell r="F24">
            <v>3185.880383940208</v>
          </cell>
        </row>
      </sheetData>
      <sheetData sheetId="24">
        <row r="12">
          <cell r="F12" t="str">
            <v>Налоговый кодекс РФ</v>
          </cell>
        </row>
      </sheetData>
      <sheetData sheetId="25">
        <row r="12">
          <cell r="F12">
            <v>519.67551412674948</v>
          </cell>
        </row>
        <row r="16">
          <cell r="F16">
            <v>1652.5</v>
          </cell>
        </row>
        <row r="17">
          <cell r="F17">
            <v>73547</v>
          </cell>
        </row>
        <row r="18">
          <cell r="F18">
            <v>0.02</v>
          </cell>
        </row>
        <row r="19">
          <cell r="F19">
            <v>12104</v>
          </cell>
        </row>
        <row r="20">
          <cell r="F20">
            <v>1.4999999999999999E-2</v>
          </cell>
        </row>
        <row r="21">
          <cell r="F21">
            <v>1933.1949342509995</v>
          </cell>
        </row>
        <row r="22">
          <cell r="F22">
            <v>3.6112641666666665</v>
          </cell>
        </row>
        <row r="23">
          <cell r="F23">
            <v>180</v>
          </cell>
        </row>
        <row r="24">
          <cell r="F24">
            <v>8497.1999999999989</v>
          </cell>
        </row>
        <row r="25">
          <cell r="F25">
            <v>0.35</v>
          </cell>
        </row>
        <row r="26">
          <cell r="F26">
            <v>83.616630000000001</v>
          </cell>
        </row>
        <row r="27">
          <cell r="F27">
            <v>1291.2863994686898</v>
          </cell>
        </row>
        <row r="28">
          <cell r="F28">
            <v>991.77142816335618</v>
          </cell>
        </row>
        <row r="29">
          <cell r="F29">
            <v>299.51497130533357</v>
          </cell>
        </row>
        <row r="30">
          <cell r="F30">
            <v>2307.3097030143331</v>
          </cell>
        </row>
        <row r="33">
          <cell r="F33">
            <v>1068.6450140162826</v>
          </cell>
        </row>
        <row r="35">
          <cell r="F35">
            <v>18.902267999999999</v>
          </cell>
        </row>
        <row r="36">
          <cell r="F36">
            <v>14319.9</v>
          </cell>
        </row>
        <row r="37">
          <cell r="F37">
            <v>1.32</v>
          </cell>
        </row>
      </sheetData>
      <sheetData sheetId="26">
        <row r="12">
          <cell r="F12" t="str">
            <v>Постановление Правительства Российской Федерации от 17.04.2024 № 492</v>
          </cell>
        </row>
      </sheetData>
      <sheetData sheetId="27">
        <row r="8">
          <cell r="F8" t="str">
            <v>нет</v>
          </cell>
        </row>
        <row r="15">
          <cell r="D15" t="str">
            <v>АО "Новосибирскэнергосбыт"</v>
          </cell>
        </row>
        <row r="21">
          <cell r="D21">
            <v>0</v>
          </cell>
        </row>
      </sheetData>
      <sheetData sheetId="28">
        <row r="11">
          <cell r="E11">
            <v>1871</v>
          </cell>
        </row>
        <row r="12">
          <cell r="E12">
            <v>1636</v>
          </cell>
        </row>
        <row r="13">
          <cell r="E13">
            <v>204</v>
          </cell>
        </row>
        <row r="16">
          <cell r="E16">
            <v>0</v>
          </cell>
        </row>
        <row r="17">
          <cell r="E17">
            <v>22.05</v>
          </cell>
        </row>
        <row r="18">
          <cell r="E18">
            <v>0</v>
          </cell>
        </row>
        <row r="19">
          <cell r="E19">
            <v>30.82</v>
          </cell>
        </row>
      </sheetData>
      <sheetData sheetId="29"/>
      <sheetData sheetId="30">
        <row r="12">
          <cell r="F12">
            <v>105.56559046783721</v>
          </cell>
        </row>
        <row r="17">
          <cell r="F17">
            <v>0.02</v>
          </cell>
        </row>
      </sheetData>
      <sheetData sheetId="31">
        <row r="12">
          <cell r="F12" t="str">
            <v>-</v>
          </cell>
        </row>
      </sheetData>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нструкция"/>
      <sheetName val="Структура"/>
      <sheetName val="Содержание"/>
      <sheetName val="И1"/>
      <sheetName val="Инвест.об."/>
      <sheetName val="И2"/>
      <sheetName val="И2.1"/>
      <sheetName val="С1"/>
      <sheetName val="С1.1"/>
      <sheetName val="С1.2"/>
      <sheetName val="Data1.2"/>
      <sheetName val="С1.3"/>
      <sheetName val="Data1.3"/>
      <sheetName val="С2"/>
      <sheetName val="С2.1"/>
      <sheetName val="Data2.1"/>
      <sheetName val="С2.2"/>
      <sheetName val="С2.3"/>
      <sheetName val="С2.4"/>
      <sheetName val="С2.5"/>
      <sheetName val="С2.6"/>
      <sheetName val="Data2.6"/>
      <sheetName val="С3"/>
      <sheetName val="С3.1"/>
      <sheetName val="С4"/>
      <sheetName val="С4.1"/>
      <sheetName val="С4.2"/>
      <sheetName val="С4.3"/>
      <sheetName val="С4.4"/>
      <sheetName val="С5"/>
      <sheetName val="С6"/>
      <sheetName val="С6.1"/>
      <sheetName val="И3"/>
      <sheetName val="Проверка"/>
      <sheetName val="Системный"/>
      <sheetName val="АК_прогноз"/>
      <sheetName val="Гр&amp;ПУЦ_v1"/>
      <sheetName val="Заморозка"/>
      <sheetName val="ИПГ_мо"/>
      <sheetName val="ИПГ_рег"/>
      <sheetName val="Темп VS ИПГ"/>
      <sheetName val="МУ770_Т1"/>
      <sheetName val="ИПЦ_ИПГ"/>
      <sheetName val="ПУЦ (п.67)"/>
      <sheetName val="Гр&amp;ПУЦ_v2"/>
      <sheetName val="Лист1"/>
    </sheetNames>
    <sheetDataSet>
      <sheetData sheetId="0" refreshError="1"/>
      <sheetData sheetId="1" refreshError="1"/>
      <sheetData sheetId="2" refreshError="1"/>
      <sheetData sheetId="3">
        <row r="8">
          <cell r="D8" t="str">
            <v>Период регулирования (i)-й</v>
          </cell>
          <cell r="E8">
            <v>2026</v>
          </cell>
        </row>
        <row r="9">
          <cell r="D9" t="str">
            <v>Период регулирования (i-1)-й</v>
          </cell>
          <cell r="E9">
            <v>2025</v>
          </cell>
        </row>
        <row r="10">
          <cell r="D10" t="str">
            <v>Период регулирования (i-2)-й</v>
          </cell>
          <cell r="E10">
            <v>2024</v>
          </cell>
        </row>
        <row r="11">
          <cell r="D11" t="str">
            <v>Базовый год (б)</v>
          </cell>
          <cell r="E11">
            <v>2019</v>
          </cell>
        </row>
        <row r="13">
          <cell r="D13" t="str">
            <v>Субъект Российской Федерации</v>
          </cell>
          <cell r="E13" t="str">
            <v>Новосибирская область</v>
          </cell>
        </row>
        <row r="14">
          <cell r="D14" t="str">
            <v>Тип муниципального образования (выберите из списка)</v>
          </cell>
        </row>
        <row r="15">
          <cell r="D15" t="str">
            <v/>
          </cell>
        </row>
        <row r="16">
          <cell r="D16" t="str">
            <v>Код ОКТМО</v>
          </cell>
        </row>
        <row r="17">
          <cell r="D17" t="str">
            <v>Система теплоснабжения</v>
          </cell>
        </row>
        <row r="18">
          <cell r="D18" t="str">
            <v>Вид топлива, использование которого преобладает в системе теплоснабжения</v>
          </cell>
          <cell r="E18" t="str">
            <v>Газ</v>
          </cell>
        </row>
      </sheetData>
      <sheetData sheetId="4" refreshError="1"/>
      <sheetData sheetId="5" refreshError="1"/>
      <sheetData sheetId="6" refreshError="1"/>
      <sheetData sheetId="7">
        <row r="12">
          <cell r="F12">
            <v>1278.3072413778675</v>
          </cell>
        </row>
        <row r="13">
          <cell r="F13">
            <v>156.1</v>
          </cell>
        </row>
        <row r="16">
          <cell r="F16">
            <v>7000</v>
          </cell>
        </row>
        <row r="17">
          <cell r="F17">
            <v>1.1285714285714286</v>
          </cell>
        </row>
        <row r="20">
          <cell r="F20">
            <v>22.307053372799995</v>
          </cell>
        </row>
        <row r="21">
          <cell r="F21">
            <v>21.531904799999996</v>
          </cell>
        </row>
        <row r="22">
          <cell r="F22">
            <v>1.036</v>
          </cell>
        </row>
        <row r="23">
          <cell r="F23" t="str">
            <v>-</v>
          </cell>
        </row>
      </sheetData>
      <sheetData sheetId="8">
        <row r="16">
          <cell r="E16">
            <v>7900</v>
          </cell>
        </row>
        <row r="20">
          <cell r="E20">
            <v>0.21299999999999999</v>
          </cell>
        </row>
        <row r="21">
          <cell r="E21">
            <v>9.6000000000000002E-2</v>
          </cell>
        </row>
        <row r="25">
          <cell r="E25" t="str">
            <v>ООО "Газпром межрегионгаз Новосибирск", ООО "Газпром газораспределение Томск" (с 17.02.2025 ООО "Газпром газораспределение Сибирь")</v>
          </cell>
        </row>
        <row r="26">
          <cell r="D26" t="str">
            <v>Среднеарифметическое значение между установленными предельными максимальным и минимальным уровнями оптовых цен, действовавшими на день окончания (i-2)-го расчетного периода регулирования в системе теплоснабжения, без НДС, руб./тыс. куб. м</v>
          </cell>
          <cell r="E26">
            <v>5670</v>
          </cell>
        </row>
        <row r="27">
          <cell r="D27" t="str">
            <v>Тариф на услуги по транспортировке газа по газораспределительным сетям, действовавший на день окончания (i-2)-го расчетного периода регулирования в системе теплоснабжения, без НДС, руб./тыс. куб. м</v>
          </cell>
          <cell r="E27">
            <v>689.14</v>
          </cell>
        </row>
        <row r="28">
          <cell r="D28" t="str">
            <v>Размер платы за снабженческо-сбытовые услуги, действовавший на день окончания (i-2)-го расчетного периода регулирования в системе теплоснабжения, без НДС, руб./тыс. куб. м</v>
          </cell>
          <cell r="E28">
            <v>144.72999999999999</v>
          </cell>
        </row>
        <row r="29">
          <cell r="D29" t="str">
            <v>Специальная надбавка к тарифам на услуги по транспортировке газа по газораспределительным сетям, действовавшая на день окончания (i-2)-го расчетного периода регулирования в системе теплоснабжения, без НДС, руб./тыс. куб. м</v>
          </cell>
          <cell r="E29">
            <v>206.25</v>
          </cell>
        </row>
        <row r="32">
          <cell r="E32">
            <v>6710.12</v>
          </cell>
        </row>
      </sheetData>
      <sheetData sheetId="9" refreshError="1"/>
      <sheetData sheetId="10" refreshError="1"/>
      <sheetData sheetId="11" refreshError="1"/>
      <sheetData sheetId="12" refreshError="1"/>
      <sheetData sheetId="13">
        <row r="12">
          <cell r="F12">
            <v>2138.4809328120286</v>
          </cell>
        </row>
        <row r="13">
          <cell r="F13">
            <v>119259.45174981897</v>
          </cell>
        </row>
        <row r="14">
          <cell r="F14">
            <v>64899</v>
          </cell>
        </row>
        <row r="15">
          <cell r="F15">
            <v>1.071</v>
          </cell>
        </row>
        <row r="16">
          <cell r="F16">
            <v>1</v>
          </cell>
        </row>
        <row r="17">
          <cell r="F17">
            <v>1</v>
          </cell>
        </row>
        <row r="18">
          <cell r="F18">
            <v>40220.845230503684</v>
          </cell>
        </row>
        <row r="19">
          <cell r="F19">
            <v>0</v>
          </cell>
        </row>
        <row r="20">
          <cell r="F20">
            <v>23441.524932855718</v>
          </cell>
        </row>
        <row r="21">
          <cell r="F21">
            <v>1</v>
          </cell>
        </row>
        <row r="22">
          <cell r="F22">
            <v>24548.869037237404</v>
          </cell>
        </row>
        <row r="23">
          <cell r="F23">
            <v>21</v>
          </cell>
        </row>
        <row r="26">
          <cell r="F26">
            <v>2892</v>
          </cell>
        </row>
        <row r="28">
          <cell r="F28">
            <v>379.2714742785962</v>
          </cell>
        </row>
        <row r="29">
          <cell r="F29">
            <v>0.44209422600000003</v>
          </cell>
        </row>
        <row r="30">
          <cell r="F30">
            <v>500</v>
          </cell>
        </row>
        <row r="31">
          <cell r="F31">
            <v>0.21369165990259753</v>
          </cell>
        </row>
        <row r="32">
          <cell r="F32">
            <v>0.20047619047619047</v>
          </cell>
        </row>
        <row r="33">
          <cell r="F33">
            <v>0.13880000000000001</v>
          </cell>
        </row>
        <row r="34">
          <cell r="F34">
            <v>0.12640000000000001</v>
          </cell>
        </row>
        <row r="35">
          <cell r="F35">
            <v>10</v>
          </cell>
        </row>
        <row r="37">
          <cell r="F37">
            <v>1.7157947422665329</v>
          </cell>
        </row>
        <row r="39">
          <cell r="F39">
            <v>21.531904799999996</v>
          </cell>
        </row>
        <row r="40">
          <cell r="F40">
            <v>7</v>
          </cell>
        </row>
        <row r="42">
          <cell r="F42">
            <v>0.97</v>
          </cell>
        </row>
        <row r="44">
          <cell r="F44">
            <v>0.36199999999999999</v>
          </cell>
        </row>
      </sheetData>
      <sheetData sheetId="14">
        <row r="12">
          <cell r="E12" t="str">
            <v>V</v>
          </cell>
        </row>
        <row r="13">
          <cell r="E13" t="str">
            <v>6 и менее баллов</v>
          </cell>
        </row>
        <row r="14">
          <cell r="E14" t="str">
            <v>до 200</v>
          </cell>
        </row>
        <row r="15">
          <cell r="E15" t="str">
            <v>нет</v>
          </cell>
        </row>
        <row r="20">
          <cell r="E20">
            <v>-37</v>
          </cell>
        </row>
        <row r="23">
          <cell r="E23" t="str">
            <v>нет</v>
          </cell>
        </row>
        <row r="28">
          <cell r="E28">
            <v>5515.9310416666667</v>
          </cell>
        </row>
        <row r="29">
          <cell r="E29">
            <v>5878.6480833333326</v>
          </cell>
        </row>
      </sheetData>
      <sheetData sheetId="15" refreshError="1"/>
      <sheetData sheetId="16">
        <row r="10">
          <cell r="E10">
            <v>1287</v>
          </cell>
        </row>
        <row r="12">
          <cell r="E12">
            <v>5.97</v>
          </cell>
        </row>
        <row r="13">
          <cell r="E13">
            <v>1</v>
          </cell>
        </row>
        <row r="14">
          <cell r="E14">
            <v>12104</v>
          </cell>
        </row>
        <row r="15">
          <cell r="E15">
            <v>4.8000000000000001E-2</v>
          </cell>
        </row>
        <row r="16">
          <cell r="E16">
            <v>1</v>
          </cell>
        </row>
      </sheetData>
      <sheetData sheetId="17">
        <row r="11">
          <cell r="E11">
            <v>5.45</v>
          </cell>
        </row>
        <row r="12">
          <cell r="E12">
            <v>0.2</v>
          </cell>
        </row>
        <row r="13">
          <cell r="E13">
            <v>300</v>
          </cell>
        </row>
        <row r="14">
          <cell r="E14">
            <v>61211</v>
          </cell>
        </row>
        <row r="15">
          <cell r="E15">
            <v>45675</v>
          </cell>
        </row>
        <row r="16">
          <cell r="E16">
            <v>65637</v>
          </cell>
        </row>
        <row r="17">
          <cell r="E17">
            <v>31684</v>
          </cell>
        </row>
        <row r="21">
          <cell r="E21" t="str">
            <v>МУП г. Новосибирска "Горводоканал"</v>
          </cell>
        </row>
        <row r="22">
          <cell r="E22">
            <v>20170.833333333332</v>
          </cell>
        </row>
        <row r="23">
          <cell r="E23">
            <v>18020</v>
          </cell>
        </row>
        <row r="25">
          <cell r="E25" t="str">
            <v>МУП г. Новосибирска "Горводоканал"</v>
          </cell>
        </row>
        <row r="26">
          <cell r="E26">
            <v>38240.416666666664</v>
          </cell>
        </row>
        <row r="27">
          <cell r="E27">
            <v>19570</v>
          </cell>
        </row>
      </sheetData>
      <sheetData sheetId="18" refreshError="1"/>
      <sheetData sheetId="19">
        <row r="11">
          <cell r="E11">
            <v>-2.9000000000000026E-2</v>
          </cell>
          <cell r="F11">
            <v>0.245</v>
          </cell>
          <cell r="G11">
            <v>0.114</v>
          </cell>
          <cell r="H11">
            <v>0.04</v>
          </cell>
          <cell r="I11">
            <v>0.121</v>
          </cell>
          <cell r="J11">
            <v>0.03</v>
          </cell>
          <cell r="K11">
            <v>6.0999999999999999E-2</v>
          </cell>
        </row>
      </sheetData>
      <sheetData sheetId="20" refreshError="1"/>
      <sheetData sheetId="21" refreshError="1"/>
      <sheetData sheetId="22">
        <row r="12">
          <cell r="F12">
            <v>648.51527232589353</v>
          </cell>
        </row>
        <row r="14">
          <cell r="F14">
            <v>11258.985598028818</v>
          </cell>
        </row>
        <row r="15">
          <cell r="F15">
            <v>0.25</v>
          </cell>
        </row>
        <row r="18">
          <cell r="F18">
            <v>15</v>
          </cell>
        </row>
        <row r="19">
          <cell r="F19">
            <v>2699.0944349242141</v>
          </cell>
        </row>
        <row r="20">
          <cell r="F20">
            <v>2.1999999999999999E-2</v>
          </cell>
        </row>
        <row r="21">
          <cell r="F21">
            <v>10</v>
          </cell>
        </row>
        <row r="22">
          <cell r="F22">
            <v>5.6890721141789431</v>
          </cell>
        </row>
        <row r="23">
          <cell r="F23">
            <v>1.4999999999999999E-2</v>
          </cell>
        </row>
        <row r="24">
          <cell r="F24">
            <v>379.2714742785962</v>
          </cell>
        </row>
      </sheetData>
      <sheetData sheetId="23" refreshError="1"/>
      <sheetData sheetId="24">
        <row r="12">
          <cell r="F12">
            <v>279.23788141524307</v>
          </cell>
        </row>
        <row r="16">
          <cell r="F16">
            <v>832.33500000000004</v>
          </cell>
        </row>
        <row r="17">
          <cell r="F17">
            <v>43385</v>
          </cell>
        </row>
        <row r="18">
          <cell r="F18">
            <v>1.4999999999999999E-2</v>
          </cell>
        </row>
        <row r="19">
          <cell r="F19">
            <v>12104</v>
          </cell>
        </row>
        <row r="20">
          <cell r="F20">
            <v>1.4999999999999999E-2</v>
          </cell>
        </row>
        <row r="21">
          <cell r="F21">
            <v>1221.9019409821399</v>
          </cell>
        </row>
        <row r="22">
          <cell r="F22">
            <v>3.6112641666666665</v>
          </cell>
        </row>
        <row r="23">
          <cell r="F23">
            <v>110</v>
          </cell>
        </row>
        <row r="24">
          <cell r="F24">
            <v>8497.1999999999989</v>
          </cell>
        </row>
        <row r="25">
          <cell r="F25">
            <v>0.36199999999999999</v>
          </cell>
        </row>
        <row r="26">
          <cell r="F26">
            <v>49.136149999999994</v>
          </cell>
        </row>
        <row r="27">
          <cell r="F27">
            <v>904.62444244124072</v>
          </cell>
        </row>
        <row r="28">
          <cell r="F28">
            <v>694.79603874135228</v>
          </cell>
        </row>
        <row r="29">
          <cell r="F29">
            <v>209.82840369988838</v>
          </cell>
        </row>
        <row r="30">
          <cell r="F30">
            <v>851.41712658816596</v>
          </cell>
        </row>
      </sheetData>
      <sheetData sheetId="25" refreshError="1"/>
      <sheetData sheetId="26">
        <row r="8">
          <cell r="F8" t="str">
            <v>нет</v>
          </cell>
        </row>
        <row r="15">
          <cell r="D15" t="str">
            <v>АО "Новосибирскэнергосбыт"</v>
          </cell>
        </row>
      </sheetData>
      <sheetData sheetId="27">
        <row r="11">
          <cell r="E11">
            <v>1871</v>
          </cell>
        </row>
        <row r="12">
          <cell r="E12">
            <v>61</v>
          </cell>
        </row>
        <row r="13">
          <cell r="E13">
            <v>73</v>
          </cell>
        </row>
        <row r="17">
          <cell r="E17">
            <v>24.88</v>
          </cell>
        </row>
        <row r="19">
          <cell r="E19">
            <v>14.63</v>
          </cell>
        </row>
      </sheetData>
      <sheetData sheetId="28" refreshError="1"/>
      <sheetData sheetId="29">
        <row r="12">
          <cell r="F12">
            <v>86.890826558620674</v>
          </cell>
        </row>
        <row r="17">
          <cell r="F17">
            <v>0.02</v>
          </cell>
        </row>
      </sheetData>
      <sheetData sheetId="30">
        <row r="12">
          <cell r="F12">
            <v>0</v>
          </cell>
        </row>
        <row r="13">
          <cell r="F13">
            <v>0</v>
          </cell>
        </row>
        <row r="19">
          <cell r="F19">
            <v>0</v>
          </cell>
        </row>
      </sheetData>
      <sheetData sheetId="31">
        <row r="11">
          <cell r="E11" t="str">
            <v>да</v>
          </cell>
        </row>
        <row r="18">
          <cell r="E18" t="str">
            <v>да</v>
          </cell>
        </row>
      </sheetData>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нструкция"/>
      <sheetName val="Структура"/>
      <sheetName val="Содержание"/>
      <sheetName val="И1"/>
      <sheetName val="Инвест.об."/>
      <sheetName val="И2"/>
      <sheetName val="И2.1"/>
      <sheetName val="С1"/>
      <sheetName val="С1.1"/>
      <sheetName val="С1.2"/>
      <sheetName val="Data1.2"/>
      <sheetName val="С1.3"/>
      <sheetName val="Data1.3"/>
      <sheetName val="С2"/>
      <sheetName val="С2.1"/>
      <sheetName val="Data2.1"/>
      <sheetName val="С2.2"/>
      <sheetName val="С2.3"/>
      <sheetName val="С2.4"/>
      <sheetName val="С2.5"/>
      <sheetName val="С2.6"/>
      <sheetName val="Data2.6"/>
      <sheetName val="С3"/>
      <sheetName val="С3.1"/>
      <sheetName val="С4"/>
      <sheetName val="С4.1"/>
      <sheetName val="С4.2"/>
      <sheetName val="С4.3"/>
      <sheetName val="С4.4"/>
      <sheetName val="С5"/>
      <sheetName val="С6"/>
      <sheetName val="С6.1"/>
      <sheetName val="И3"/>
      <sheetName val="Проверка"/>
      <sheetName val="Системный"/>
      <sheetName val="АК_прогноз"/>
      <sheetName val="Гр&amp;ПУЦ_v1"/>
      <sheetName val="Заморозка"/>
      <sheetName val="ИПГ_мо"/>
      <sheetName val="ИПГ_рег"/>
      <sheetName val="Темп VS ИПГ"/>
      <sheetName val="МУ770_Т1"/>
      <sheetName val="ИПЦ_ИПГ"/>
      <sheetName val="ПУЦ (п.67)"/>
      <sheetName val="Гр&amp;ПУЦ_v2"/>
      <sheetName val="Лист1"/>
    </sheetNames>
    <sheetDataSet>
      <sheetData sheetId="0"/>
      <sheetData sheetId="1"/>
      <sheetData sheetId="2"/>
      <sheetData sheetId="3">
        <row r="8">
          <cell r="D8" t="str">
            <v>Период регулирования (i)-й</v>
          </cell>
        </row>
        <row r="14">
          <cell r="E14" t="str">
            <v xml:space="preserve">село Верх-Коен, Искитимский муниципальный район </v>
          </cell>
        </row>
        <row r="16">
          <cell r="E16" t="str">
            <v>(50615404101)</v>
          </cell>
        </row>
      </sheetData>
      <sheetData sheetId="4"/>
      <sheetData sheetId="5"/>
      <sheetData sheetId="6"/>
      <sheetData sheetId="7">
        <row r="12">
          <cell r="F12">
            <v>1201.0642791911237</v>
          </cell>
        </row>
      </sheetData>
      <sheetData sheetId="8">
        <row r="16">
          <cell r="E16">
            <v>7900</v>
          </cell>
        </row>
      </sheetData>
      <sheetData sheetId="9"/>
      <sheetData sheetId="10"/>
      <sheetData sheetId="11"/>
      <sheetData sheetId="12"/>
      <sheetData sheetId="13">
        <row r="12">
          <cell r="F12">
            <v>2049.7946392543367</v>
          </cell>
        </row>
      </sheetData>
      <sheetData sheetId="14">
        <row r="12">
          <cell r="E12" t="str">
            <v>V</v>
          </cell>
        </row>
      </sheetData>
      <sheetData sheetId="15"/>
      <sheetData sheetId="16">
        <row r="10">
          <cell r="E10">
            <v>1287</v>
          </cell>
        </row>
      </sheetData>
      <sheetData sheetId="17">
        <row r="11">
          <cell r="E11">
            <v>5.45</v>
          </cell>
        </row>
      </sheetData>
      <sheetData sheetId="18"/>
      <sheetData sheetId="19">
        <row r="11">
          <cell r="E11">
            <v>-2.9000000000000026E-2</v>
          </cell>
        </row>
      </sheetData>
      <sheetData sheetId="20"/>
      <sheetData sheetId="21"/>
      <sheetData sheetId="22">
        <row r="12">
          <cell r="F12">
            <v>613.3572799725365</v>
          </cell>
        </row>
      </sheetData>
      <sheetData sheetId="23"/>
      <sheetData sheetId="24">
        <row r="12">
          <cell r="F12">
            <v>269.43624484913772</v>
          </cell>
        </row>
      </sheetData>
      <sheetData sheetId="25"/>
      <sheetData sheetId="26">
        <row r="8">
          <cell r="F8" t="str">
            <v>нет</v>
          </cell>
        </row>
      </sheetData>
      <sheetData sheetId="27">
        <row r="11">
          <cell r="E11">
            <v>1871</v>
          </cell>
        </row>
      </sheetData>
      <sheetData sheetId="28"/>
      <sheetData sheetId="29">
        <row r="12">
          <cell r="F12">
            <v>82.673048865342693</v>
          </cell>
        </row>
      </sheetData>
      <sheetData sheetId="30">
        <row r="12">
          <cell r="F12">
            <v>0</v>
          </cell>
        </row>
      </sheetData>
      <sheetData sheetId="31">
        <row r="11">
          <cell r="E11" t="str">
            <v>да</v>
          </cell>
        </row>
      </sheetData>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нструкция"/>
      <sheetName val="Структура"/>
      <sheetName val="Содержание"/>
      <sheetName val="И1"/>
      <sheetName val="Инвест.об."/>
      <sheetName val="И2"/>
      <sheetName val="И2.1"/>
      <sheetName val="С1"/>
      <sheetName val="С1.1"/>
      <sheetName val="С1.2"/>
      <sheetName val="Data1.2"/>
      <sheetName val="С1.3"/>
      <sheetName val="Data1.3"/>
      <sheetName val="С2"/>
      <sheetName val="С2.1"/>
      <sheetName val="Data2.1"/>
      <sheetName val="С2.2"/>
      <sheetName val="С2.3"/>
      <sheetName val="С2.4"/>
      <sheetName val="Data2.4"/>
      <sheetName val="С2.5"/>
      <sheetName val="С2.6"/>
      <sheetName val="Data2.6"/>
      <sheetName val="С3"/>
      <sheetName val="С3.1"/>
      <sheetName val="С4"/>
      <sheetName val="С4.1"/>
      <sheetName val="С4.2"/>
      <sheetName val="С4.3"/>
      <sheetName val="С4.4"/>
      <sheetName val="С5"/>
      <sheetName val="С6"/>
      <sheetName val="И3"/>
      <sheetName val="Проверка"/>
      <sheetName val="ИПЦ_ИПГ"/>
      <sheetName val="АК_прогноз"/>
      <sheetName val="ПУЦ (п.67)"/>
      <sheetName val="АК_прогноз_j"/>
      <sheetName val="Гр&amp;ПУЦ_v1"/>
      <sheetName val="Заморозка"/>
      <sheetName val="ИПГ_мо"/>
      <sheetName val="ИПГ_рег"/>
      <sheetName val="Темп VS ИПГ"/>
      <sheetName val="МУ770_Т1"/>
      <sheetName val="Гр&amp;ПУЦ_v2"/>
      <sheetName val="Системный"/>
      <sheetName val="Шаблон ЦАК_уголь_2026_5эт Гилев"/>
    </sheetNames>
    <sheetDataSet>
      <sheetData sheetId="0"/>
      <sheetData sheetId="1"/>
      <sheetData sheetId="2"/>
      <sheetData sheetId="3">
        <row r="8">
          <cell r="D8" t="str">
            <v>Период регулирования (i)-й</v>
          </cell>
          <cell r="E8">
            <v>2026</v>
          </cell>
        </row>
        <row r="9">
          <cell r="D9" t="str">
            <v>Период регулирования (i-1)-й</v>
          </cell>
          <cell r="E9">
            <v>2025</v>
          </cell>
        </row>
        <row r="10">
          <cell r="D10" t="str">
            <v>Период регулирования (i-2)-й</v>
          </cell>
          <cell r="E10">
            <v>2024</v>
          </cell>
        </row>
        <row r="11">
          <cell r="D11" t="str">
            <v>Базовый год (б)</v>
          </cell>
          <cell r="E11">
            <v>2019</v>
          </cell>
        </row>
        <row r="13">
          <cell r="D13" t="str">
            <v>Субъект Российской Федерации</v>
          </cell>
          <cell r="E13" t="str">
            <v>Новосибирская область</v>
          </cell>
        </row>
        <row r="14">
          <cell r="D14" t="str">
            <v>Тип муниципального образования (выберите из списка)</v>
          </cell>
        </row>
        <row r="15">
          <cell r="D15" t="str">
            <v/>
          </cell>
          <cell r="E15">
            <v>0</v>
          </cell>
        </row>
        <row r="16">
          <cell r="D16" t="str">
            <v>Код ОКТМО</v>
          </cell>
        </row>
        <row r="17">
          <cell r="D17" t="str">
            <v>Система теплоснабжения</v>
          </cell>
          <cell r="E17">
            <v>0</v>
          </cell>
        </row>
        <row r="18">
          <cell r="D18" t="str">
            <v>Вид топлива, использование которого преобладает в системе теплоснабжения</v>
          </cell>
        </row>
      </sheetData>
      <sheetData sheetId="4"/>
      <sheetData sheetId="5"/>
      <sheetData sheetId="6"/>
      <sheetData sheetId="7">
        <row r="12">
          <cell r="F12">
            <v>1050.8002869835241</v>
          </cell>
        </row>
        <row r="13">
          <cell r="F13">
            <v>176.4</v>
          </cell>
        </row>
        <row r="16">
          <cell r="F16">
            <v>7000</v>
          </cell>
        </row>
        <row r="17">
          <cell r="F17">
            <v>0.72857142857142854</v>
          </cell>
        </row>
        <row r="20">
          <cell r="F20">
            <v>21.588411179999994</v>
          </cell>
        </row>
        <row r="21">
          <cell r="F21">
            <v>20.818139999999996</v>
          </cell>
        </row>
        <row r="22">
          <cell r="F22">
            <v>1.0369999999999999</v>
          </cell>
        </row>
        <row r="23">
          <cell r="F23">
            <v>1.0469999999999999</v>
          </cell>
        </row>
      </sheetData>
      <sheetData sheetId="8">
        <row r="9">
          <cell r="I9" t="str">
            <v>цены (тарифы), подлежащие государственному регулированию, действовавшие на день окончания (i-2)-го расчетного периода в системе теплоснабжения</v>
          </cell>
        </row>
        <row r="13">
          <cell r="E13" t="str">
            <v>каменный уголь</v>
          </cell>
        </row>
        <row r="16">
          <cell r="E16">
            <v>5100</v>
          </cell>
        </row>
        <row r="19">
          <cell r="E19">
            <v>-0.11899999999999999</v>
          </cell>
        </row>
        <row r="20">
          <cell r="E20">
            <v>4.0000000000000001E-3</v>
          </cell>
        </row>
        <row r="27">
          <cell r="E27">
            <v>4519.17</v>
          </cell>
        </row>
      </sheetData>
      <sheetData sheetId="9"/>
      <sheetData sheetId="10"/>
      <sheetData sheetId="11">
        <row r="9">
          <cell r="G9">
            <v>0</v>
          </cell>
        </row>
      </sheetData>
      <sheetData sheetId="12"/>
      <sheetData sheetId="13">
        <row r="12">
          <cell r="F12">
            <v>3097.7824122172187</v>
          </cell>
        </row>
        <row r="13">
          <cell r="F13">
            <v>210571.60987470482</v>
          </cell>
        </row>
        <row r="14">
          <cell r="F14">
            <v>113455</v>
          </cell>
        </row>
        <row r="15">
          <cell r="F15">
            <v>1.071</v>
          </cell>
        </row>
        <row r="16">
          <cell r="F16">
            <v>1</v>
          </cell>
        </row>
        <row r="17">
          <cell r="F17">
            <v>1.01</v>
          </cell>
        </row>
        <row r="18">
          <cell r="F18">
            <v>40220.845230503684</v>
          </cell>
        </row>
        <row r="19">
          <cell r="F19">
            <v>0</v>
          </cell>
        </row>
        <row r="20">
          <cell r="F20">
            <v>23441.524932855718</v>
          </cell>
        </row>
        <row r="21">
          <cell r="F21">
            <v>1</v>
          </cell>
        </row>
        <row r="22">
          <cell r="F22">
            <v>4298.6978080550834</v>
          </cell>
        </row>
        <row r="23">
          <cell r="F23">
            <v>1990</v>
          </cell>
        </row>
        <row r="26">
          <cell r="F26">
            <v>3185.880383940208</v>
          </cell>
        </row>
        <row r="27">
          <cell r="F27">
            <v>0.44209422600000003</v>
          </cell>
        </row>
        <row r="28">
          <cell r="F28">
            <v>4200</v>
          </cell>
        </row>
        <row r="29">
          <cell r="F29">
            <v>0.21369165990259753</v>
          </cell>
        </row>
        <row r="30">
          <cell r="F30">
            <v>0.20047619047619047</v>
          </cell>
        </row>
        <row r="31">
          <cell r="F31">
            <v>0.13880000000000001</v>
          </cell>
        </row>
        <row r="32">
          <cell r="F32">
            <v>0.12640000000000001</v>
          </cell>
        </row>
        <row r="33">
          <cell r="F33">
            <v>10</v>
          </cell>
        </row>
        <row r="35">
          <cell r="F35">
            <v>1.7157947422665329</v>
          </cell>
        </row>
        <row r="37">
          <cell r="F37">
            <v>20.818139999999996</v>
          </cell>
        </row>
        <row r="38">
          <cell r="F38">
            <v>7</v>
          </cell>
        </row>
        <row r="40">
          <cell r="F40">
            <v>0.97</v>
          </cell>
        </row>
        <row r="42">
          <cell r="F42">
            <v>0.35</v>
          </cell>
        </row>
      </sheetData>
      <sheetData sheetId="14">
        <row r="12">
          <cell r="E12" t="str">
            <v>V</v>
          </cell>
        </row>
        <row r="13">
          <cell r="E13" t="str">
            <v>6 и менее баллов</v>
          </cell>
        </row>
        <row r="14">
          <cell r="E14" t="str">
            <v>от 200 до 500</v>
          </cell>
        </row>
        <row r="15">
          <cell r="E15" t="str">
            <v>нет</v>
          </cell>
        </row>
        <row r="19">
          <cell r="E19">
            <v>-38</v>
          </cell>
        </row>
        <row r="22">
          <cell r="E22" t="str">
            <v>нет</v>
          </cell>
        </row>
        <row r="27">
          <cell r="E27">
            <v>246.24401</v>
          </cell>
        </row>
        <row r="28">
          <cell r="E28">
            <v>269.12432000000001</v>
          </cell>
        </row>
      </sheetData>
      <sheetData sheetId="15"/>
      <sheetData sheetId="16">
        <row r="10">
          <cell r="E10">
            <v>1287</v>
          </cell>
        </row>
        <row r="12">
          <cell r="E12">
            <v>5.97</v>
          </cell>
        </row>
        <row r="13">
          <cell r="E13">
            <v>1</v>
          </cell>
        </row>
        <row r="14">
          <cell r="E14">
            <v>12104</v>
          </cell>
        </row>
        <row r="15">
          <cell r="E15">
            <v>4.8000000000000001E-2</v>
          </cell>
        </row>
        <row r="16">
          <cell r="E16">
            <v>1</v>
          </cell>
        </row>
      </sheetData>
      <sheetData sheetId="17">
        <row r="11">
          <cell r="E11">
            <v>9.89</v>
          </cell>
        </row>
        <row r="12">
          <cell r="E12">
            <v>0.56000000000000005</v>
          </cell>
        </row>
        <row r="13">
          <cell r="E13">
            <v>300</v>
          </cell>
        </row>
        <row r="14">
          <cell r="E14">
            <v>61211</v>
          </cell>
        </row>
        <row r="15">
          <cell r="E15">
            <v>45675</v>
          </cell>
        </row>
        <row r="16">
          <cell r="E16">
            <v>65637</v>
          </cell>
        </row>
        <row r="17">
          <cell r="E17">
            <v>31684</v>
          </cell>
        </row>
        <row r="21">
          <cell r="E21" t="str">
            <v>Муниципальное унитарное предприятие города Куйбышева Куйбышевского района Новосибирской области "Горводоканал"</v>
          </cell>
        </row>
        <row r="22">
          <cell r="E22">
            <v>8809</v>
          </cell>
        </row>
        <row r="23">
          <cell r="E23">
            <v>530.41</v>
          </cell>
        </row>
        <row r="25">
          <cell r="E25" t="str">
            <v>Муниципальное унитарное предприятие города Куйбышева Куйбышевского района Новосибирской области "Геострой"</v>
          </cell>
        </row>
        <row r="26">
          <cell r="E26">
            <v>21397</v>
          </cell>
        </row>
        <row r="27">
          <cell r="E27">
            <v>857.14</v>
          </cell>
        </row>
      </sheetData>
      <sheetData sheetId="18">
        <row r="12">
          <cell r="F12" t="str">
            <v>Постановление Правительства Новосибирской области от 29.11.2011 №535-п (ред. 14.04.2014) "Об утверждении результатов государственной кадастровой оценки земель населенных пунктов в новосибирской области и среднего уровня кадастровой стоимости земель населенных пунктов по муниципальным районам и городским округам Новосибирской области"</v>
          </cell>
        </row>
      </sheetData>
      <sheetData sheetId="19"/>
      <sheetData sheetId="20">
        <row r="11">
          <cell r="E11">
            <v>-2.9000000000000026E-2</v>
          </cell>
          <cell r="F11">
            <v>0.245</v>
          </cell>
          <cell r="G11">
            <v>0.114</v>
          </cell>
          <cell r="H11">
            <v>0.04</v>
          </cell>
          <cell r="I11">
            <v>0.121</v>
          </cell>
          <cell r="J11">
            <v>0.03</v>
          </cell>
          <cell r="K11">
            <v>6.0999999999999999E-2</v>
          </cell>
          <cell r="L11">
            <v>3.2682303599220003E-2</v>
          </cell>
          <cell r="M11">
            <v>0</v>
          </cell>
          <cell r="N11">
            <v>0</v>
          </cell>
          <cell r="O11">
            <v>0</v>
          </cell>
          <cell r="P11">
            <v>0</v>
          </cell>
          <cell r="Q11">
            <v>0</v>
          </cell>
          <cell r="R11">
            <v>0</v>
          </cell>
          <cell r="S11">
            <v>0</v>
          </cell>
          <cell r="T11">
            <v>0</v>
          </cell>
          <cell r="U11">
            <v>0</v>
          </cell>
          <cell r="V11">
            <v>0</v>
          </cell>
          <cell r="W11">
            <v>0</v>
          </cell>
          <cell r="X11">
            <v>0</v>
          </cell>
          <cell r="Y11">
            <v>0</v>
          </cell>
          <cell r="Z11">
            <v>0</v>
          </cell>
          <cell r="AA11">
            <v>0</v>
          </cell>
          <cell r="AB11">
            <v>0</v>
          </cell>
          <cell r="AC11">
            <v>0</v>
          </cell>
          <cell r="AD11">
            <v>0</v>
          </cell>
          <cell r="AE11">
            <v>0</v>
          </cell>
          <cell r="AF11">
            <v>0</v>
          </cell>
          <cell r="AG11">
            <v>0</v>
          </cell>
          <cell r="AH11">
            <v>0</v>
          </cell>
          <cell r="AI11">
            <v>0</v>
          </cell>
          <cell r="AJ11">
            <v>0</v>
          </cell>
          <cell r="AK11">
            <v>0</v>
          </cell>
          <cell r="AL11">
            <v>0</v>
          </cell>
          <cell r="AM11">
            <v>0</v>
          </cell>
          <cell r="AN11">
            <v>0</v>
          </cell>
          <cell r="AO11">
            <v>0</v>
          </cell>
          <cell r="AP11">
            <v>0</v>
          </cell>
          <cell r="AQ11">
            <v>0</v>
          </cell>
          <cell r="AR11">
            <v>0</v>
          </cell>
          <cell r="AS11">
            <v>0</v>
          </cell>
          <cell r="AT11">
            <v>0</v>
          </cell>
          <cell r="AU11">
            <v>0</v>
          </cell>
          <cell r="AV11">
            <v>0</v>
          </cell>
          <cell r="AW11">
            <v>0</v>
          </cell>
          <cell r="AX11">
            <v>0</v>
          </cell>
          <cell r="AY11">
            <v>0</v>
          </cell>
          <cell r="AZ11">
            <v>0</v>
          </cell>
          <cell r="BA11">
            <v>0</v>
          </cell>
          <cell r="BB11">
            <v>0</v>
          </cell>
          <cell r="BC11">
            <v>0</v>
          </cell>
          <cell r="BD11">
            <v>0</v>
          </cell>
          <cell r="BE11">
            <v>0</v>
          </cell>
          <cell r="BF11">
            <v>0</v>
          </cell>
          <cell r="BG11">
            <v>0</v>
          </cell>
          <cell r="BH11">
            <v>0</v>
          </cell>
          <cell r="BI11">
            <v>0</v>
          </cell>
          <cell r="BJ11">
            <v>0</v>
          </cell>
          <cell r="BK11">
            <v>0</v>
          </cell>
          <cell r="BL11">
            <v>0</v>
          </cell>
          <cell r="BM11">
            <v>0</v>
          </cell>
          <cell r="BN11">
            <v>0</v>
          </cell>
          <cell r="BO11">
            <v>0</v>
          </cell>
          <cell r="BP11">
            <v>0</v>
          </cell>
          <cell r="BQ11">
            <v>0</v>
          </cell>
          <cell r="BR11">
            <v>0</v>
          </cell>
          <cell r="BS11">
            <v>0</v>
          </cell>
          <cell r="BT11">
            <v>0</v>
          </cell>
          <cell r="BU11">
            <v>0</v>
          </cell>
          <cell r="BV11">
            <v>0</v>
          </cell>
          <cell r="BW11">
            <v>0</v>
          </cell>
          <cell r="BX11">
            <v>0</v>
          </cell>
          <cell r="BY11">
            <v>0</v>
          </cell>
          <cell r="BZ11">
            <v>0</v>
          </cell>
          <cell r="CA11">
            <v>0</v>
          </cell>
          <cell r="CB11">
            <v>0</v>
          </cell>
          <cell r="CC11">
            <v>0</v>
          </cell>
          <cell r="CD11">
            <v>0</v>
          </cell>
          <cell r="CE11">
            <v>0</v>
          </cell>
          <cell r="CF11">
            <v>0</v>
          </cell>
          <cell r="CG11">
            <v>0</v>
          </cell>
        </row>
      </sheetData>
      <sheetData sheetId="21">
        <row r="11">
          <cell r="G11" t="str">
            <v>Информация с официального сайта Банка России</v>
          </cell>
        </row>
      </sheetData>
      <sheetData sheetId="22"/>
      <sheetData sheetId="23">
        <row r="12">
          <cell r="F12">
            <v>940.47266370947932</v>
          </cell>
        </row>
        <row r="14">
          <cell r="F14">
            <v>15827.997028730506</v>
          </cell>
        </row>
        <row r="15">
          <cell r="F15">
            <v>0.25</v>
          </cell>
        </row>
        <row r="18">
          <cell r="F18">
            <v>15</v>
          </cell>
        </row>
        <row r="19">
          <cell r="F19">
            <v>3741.3369093945325</v>
          </cell>
        </row>
        <row r="20">
          <cell r="F20">
            <v>2.1999999999999999E-2</v>
          </cell>
        </row>
        <row r="21">
          <cell r="F21">
            <v>10</v>
          </cell>
        </row>
        <row r="22">
          <cell r="F22">
            <v>9.5576411518206239</v>
          </cell>
        </row>
        <row r="23">
          <cell r="F23">
            <v>3.0000000000000001E-3</v>
          </cell>
        </row>
        <row r="24">
          <cell r="F24">
            <v>3185.880383940208</v>
          </cell>
        </row>
      </sheetData>
      <sheetData sheetId="24">
        <row r="12">
          <cell r="F12" t="str">
            <v>Налоговый кодекс РФ</v>
          </cell>
        </row>
      </sheetData>
      <sheetData sheetId="25">
        <row r="12">
          <cell r="F12">
            <v>541.17626704301586</v>
          </cell>
        </row>
        <row r="16">
          <cell r="F16">
            <v>1652.5</v>
          </cell>
        </row>
        <row r="17">
          <cell r="F17">
            <v>73547</v>
          </cell>
        </row>
        <row r="18">
          <cell r="F18">
            <v>0.02</v>
          </cell>
        </row>
        <row r="19">
          <cell r="F19">
            <v>12104</v>
          </cell>
        </row>
        <row r="20">
          <cell r="F20">
            <v>1.4999999999999999E-2</v>
          </cell>
        </row>
        <row r="21">
          <cell r="F21">
            <v>1933.1949342509995</v>
          </cell>
        </row>
        <row r="22">
          <cell r="F22">
            <v>3.6112641666666665</v>
          </cell>
        </row>
        <row r="23">
          <cell r="F23">
            <v>180</v>
          </cell>
        </row>
        <row r="24">
          <cell r="F24">
            <v>8497.1999999999989</v>
          </cell>
        </row>
        <row r="25">
          <cell r="F25">
            <v>0.35</v>
          </cell>
        </row>
        <row r="26">
          <cell r="F26">
            <v>64.771500000000003</v>
          </cell>
        </row>
        <row r="27">
          <cell r="F27">
            <v>1291.2863994686898</v>
          </cell>
        </row>
        <row r="28">
          <cell r="F28">
            <v>991.77142816335618</v>
          </cell>
        </row>
        <row r="29">
          <cell r="F29">
            <v>299.51497130533357</v>
          </cell>
        </row>
        <row r="30">
          <cell r="F30">
            <v>2787.2497623019067</v>
          </cell>
        </row>
        <row r="33">
          <cell r="F33">
            <v>1550.2017920524227</v>
          </cell>
        </row>
        <row r="35">
          <cell r="F35">
            <v>18.902267999999999</v>
          </cell>
        </row>
        <row r="36">
          <cell r="F36">
            <v>14319.9</v>
          </cell>
        </row>
        <row r="37">
          <cell r="F37">
            <v>1.32</v>
          </cell>
        </row>
      </sheetData>
      <sheetData sheetId="26">
        <row r="12">
          <cell r="F12" t="str">
            <v>Постановление Правительства Российской Федерации от 17.04.2024 № 492</v>
          </cell>
        </row>
      </sheetData>
      <sheetData sheetId="27">
        <row r="8">
          <cell r="F8" t="str">
            <v>нет</v>
          </cell>
        </row>
        <row r="15">
          <cell r="D15" t="str">
            <v>АО "Новосибирскэнергосбыт"</v>
          </cell>
        </row>
        <row r="21">
          <cell r="D21">
            <v>0</v>
          </cell>
        </row>
      </sheetData>
      <sheetData sheetId="28">
        <row r="11">
          <cell r="E11">
            <v>1871</v>
          </cell>
        </row>
        <row r="12">
          <cell r="E12">
            <v>1636</v>
          </cell>
        </row>
        <row r="13">
          <cell r="E13">
            <v>204</v>
          </cell>
        </row>
        <row r="16">
          <cell r="E16">
            <v>0</v>
          </cell>
        </row>
        <row r="17">
          <cell r="E17">
            <v>17.3</v>
          </cell>
        </row>
        <row r="18">
          <cell r="E18">
            <v>0</v>
          </cell>
        </row>
        <row r="19">
          <cell r="E19">
            <v>20.100000000000001</v>
          </cell>
        </row>
      </sheetData>
      <sheetData sheetId="29"/>
      <sheetData sheetId="30">
        <row r="12">
          <cell r="F12">
            <v>112.60463259906476</v>
          </cell>
        </row>
        <row r="17">
          <cell r="F17">
            <v>0.02</v>
          </cell>
        </row>
      </sheetData>
      <sheetData sheetId="31">
        <row r="12">
          <cell r="F12" t="str">
            <v>-</v>
          </cell>
        </row>
      </sheetData>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нструкция"/>
      <sheetName val="Структура"/>
      <sheetName val="Содержание"/>
      <sheetName val="И1"/>
      <sheetName val="Инвест.об."/>
      <sheetName val="И2"/>
      <sheetName val="И2.1"/>
      <sheetName val="С1"/>
      <sheetName val="С1.1"/>
      <sheetName val="С1.2"/>
      <sheetName val="Data1.2"/>
      <sheetName val="С1.3"/>
      <sheetName val="Data1.3"/>
      <sheetName val="С2"/>
      <sheetName val="С2.1"/>
      <sheetName val="Data2.1"/>
      <sheetName val="С2.2"/>
      <sheetName val="С2.3"/>
      <sheetName val="С2.4"/>
      <sheetName val="Data2.4"/>
      <sheetName val="С2.5"/>
      <sheetName val="С2.6"/>
      <sheetName val="Data2.6"/>
      <sheetName val="С3"/>
      <sheetName val="С3.1"/>
      <sheetName val="С4"/>
      <sheetName val="С4.1"/>
      <sheetName val="С4.2"/>
      <sheetName val="С4.3"/>
      <sheetName val="С4.4"/>
      <sheetName val="С5"/>
      <sheetName val="С6"/>
      <sheetName val="И3"/>
      <sheetName val="Проверка"/>
      <sheetName val="ИПЦ_ИПГ"/>
      <sheetName val="АК_прогноз"/>
      <sheetName val="ПУЦ (п.67)"/>
      <sheetName val="АК_прогноз_j"/>
      <sheetName val="Гр&amp;ПУЦ_v1"/>
      <sheetName val="Заморозка"/>
      <sheetName val="ИПГ_мо"/>
      <sheetName val="ИПГ_рег"/>
      <sheetName val="Темп VS ИПГ"/>
      <sheetName val="МУ770_Т1"/>
      <sheetName val="Гр&amp;ПУЦ_v2"/>
      <sheetName val="Системный"/>
    </sheetNames>
    <sheetDataSet>
      <sheetData sheetId="0"/>
      <sheetData sheetId="1"/>
      <sheetData sheetId="2"/>
      <sheetData sheetId="3">
        <row r="8">
          <cell r="D8" t="str">
            <v>Период регулирования (i)-й</v>
          </cell>
        </row>
        <row r="14">
          <cell r="E14" t="str">
            <v>деревня Гилево, Искитимский муниципальный район</v>
          </cell>
        </row>
        <row r="16">
          <cell r="E16" t="str">
            <v xml:space="preserve"> (50615407106)</v>
          </cell>
        </row>
      </sheetData>
      <sheetData sheetId="4"/>
      <sheetData sheetId="5"/>
      <sheetData sheetId="6"/>
      <sheetData sheetId="7">
        <row r="12">
          <cell r="F12">
            <v>958.24669124268542</v>
          </cell>
        </row>
      </sheetData>
      <sheetData sheetId="8">
        <row r="13">
          <cell r="E13" t="str">
            <v>уголь (вид угля не указан в топливном балансе)</v>
          </cell>
        </row>
      </sheetData>
      <sheetData sheetId="9"/>
      <sheetData sheetId="10"/>
      <sheetData sheetId="11"/>
      <sheetData sheetId="12"/>
      <sheetData sheetId="13">
        <row r="12">
          <cell r="F12">
            <v>3063.2235383547568</v>
          </cell>
        </row>
      </sheetData>
      <sheetData sheetId="14">
        <row r="12">
          <cell r="E12" t="str">
            <v>V</v>
          </cell>
        </row>
      </sheetData>
      <sheetData sheetId="15"/>
      <sheetData sheetId="16">
        <row r="10">
          <cell r="E10">
            <v>1287</v>
          </cell>
        </row>
      </sheetData>
      <sheetData sheetId="17">
        <row r="11">
          <cell r="E11">
            <v>9.89</v>
          </cell>
        </row>
      </sheetData>
      <sheetData sheetId="18"/>
      <sheetData sheetId="19"/>
      <sheetData sheetId="20">
        <row r="11">
          <cell r="E11">
            <v>-2.9000000000000026E-2</v>
          </cell>
        </row>
      </sheetData>
      <sheetData sheetId="21"/>
      <sheetData sheetId="22"/>
      <sheetData sheetId="23">
        <row r="12">
          <cell r="F12">
            <v>917.89815316767874</v>
          </cell>
        </row>
      </sheetData>
      <sheetData sheetId="24"/>
      <sheetData sheetId="25">
        <row r="12">
          <cell r="F12">
            <v>519.80149445110419</v>
          </cell>
        </row>
      </sheetData>
      <sheetData sheetId="26"/>
      <sheetData sheetId="27">
        <row r="8">
          <cell r="F8" t="str">
            <v>нет</v>
          </cell>
        </row>
      </sheetData>
      <sheetData sheetId="28">
        <row r="11">
          <cell r="E11">
            <v>1871</v>
          </cell>
        </row>
      </sheetData>
      <sheetData sheetId="29"/>
      <sheetData sheetId="30">
        <row r="12">
          <cell r="F12">
            <v>109.18339754432451</v>
          </cell>
        </row>
      </sheetData>
      <sheetData sheetId="31">
        <row r="12">
          <cell r="F12" t="str">
            <v>-</v>
          </cell>
        </row>
      </sheetData>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нструкция"/>
      <sheetName val="Структура"/>
      <sheetName val="Содержание"/>
      <sheetName val="И1"/>
      <sheetName val="Инвест.об."/>
      <sheetName val="И2"/>
      <sheetName val="И2.1"/>
      <sheetName val="С1"/>
      <sheetName val="С1.1"/>
      <sheetName val="С1.2"/>
      <sheetName val="Data1.2"/>
      <sheetName val="С1.3"/>
      <sheetName val="Data1.3"/>
      <sheetName val="С2"/>
      <sheetName val="С2.1"/>
      <sheetName val="Data2.1"/>
      <sheetName val="С2.2"/>
      <sheetName val="С2.3"/>
      <sheetName val="С2.4"/>
      <sheetName val="Data2.4"/>
      <sheetName val="С2.5"/>
      <sheetName val="С2.6"/>
      <sheetName val="Data2.6"/>
      <sheetName val="С3"/>
      <sheetName val="С3.1"/>
      <sheetName val="С4"/>
      <sheetName val="С4.1"/>
      <sheetName val="С4.2"/>
      <sheetName val="С4.3"/>
      <sheetName val="С4.4"/>
      <sheetName val="С5"/>
      <sheetName val="С6"/>
      <sheetName val="И3"/>
      <sheetName val="Проверка"/>
      <sheetName val="ИПЦ_ИПГ"/>
      <sheetName val="АК_прогноз"/>
      <sheetName val="ПУЦ (п.67)"/>
      <sheetName val="АК_прогноз_j"/>
      <sheetName val="Гр&amp;ПУЦ_v1"/>
      <sheetName val="Заморозка"/>
      <sheetName val="ИПГ_мо"/>
      <sheetName val="ИПГ_рег"/>
      <sheetName val="Темп VS ИПГ"/>
      <sheetName val="МУ770_Т1"/>
      <sheetName val="Гр&amp;ПУЦ_v2"/>
      <sheetName val="Системный"/>
      <sheetName val="Шаблон ЦАК_уголь_2026_5эт Гусел"/>
    </sheetNames>
    <sheetDataSet>
      <sheetData sheetId="0"/>
      <sheetData sheetId="1"/>
      <sheetData sheetId="2"/>
      <sheetData sheetId="3">
        <row r="8">
          <cell r="D8" t="str">
            <v>Период регулирования (i)-й</v>
          </cell>
          <cell r="E8">
            <v>2026</v>
          </cell>
        </row>
        <row r="9">
          <cell r="D9" t="str">
            <v>Период регулирования (i-1)-й</v>
          </cell>
          <cell r="E9">
            <v>2025</v>
          </cell>
        </row>
        <row r="10">
          <cell r="D10" t="str">
            <v>Период регулирования (i-2)-й</v>
          </cell>
          <cell r="E10">
            <v>2024</v>
          </cell>
        </row>
        <row r="11">
          <cell r="D11" t="str">
            <v>Базовый год (б)</v>
          </cell>
          <cell r="E11">
            <v>2019</v>
          </cell>
        </row>
        <row r="13">
          <cell r="D13" t="str">
            <v>Субъект Российской Федерации</v>
          </cell>
          <cell r="E13" t="str">
            <v>Новосибирская область</v>
          </cell>
        </row>
        <row r="14">
          <cell r="D14" t="str">
            <v>Тип муниципального образования (выберите из списка)</v>
          </cell>
        </row>
        <row r="15">
          <cell r="D15" t="str">
            <v/>
          </cell>
          <cell r="E15">
            <v>0</v>
          </cell>
        </row>
        <row r="16">
          <cell r="D16" t="str">
            <v>Код ОКТМО</v>
          </cell>
        </row>
        <row r="17">
          <cell r="D17" t="str">
            <v>Система теплоснабжения</v>
          </cell>
          <cell r="E17">
            <v>0</v>
          </cell>
        </row>
        <row r="18">
          <cell r="D18" t="str">
            <v>Вид топлива, использование которого преобладает в системе теплоснабжения</v>
          </cell>
        </row>
      </sheetData>
      <sheetData sheetId="4"/>
      <sheetData sheetId="5"/>
      <sheetData sheetId="6"/>
      <sheetData sheetId="7">
        <row r="12">
          <cell r="F12">
            <v>720.34893333841308</v>
          </cell>
        </row>
        <row r="13">
          <cell r="F13">
            <v>176.4</v>
          </cell>
        </row>
        <row r="16">
          <cell r="F16">
            <v>7000</v>
          </cell>
        </row>
        <row r="17">
          <cell r="F17">
            <v>0.72857142857142854</v>
          </cell>
        </row>
        <row r="20">
          <cell r="F20">
            <v>21.588411179999994</v>
          </cell>
        </row>
        <row r="21">
          <cell r="F21">
            <v>20.818139999999996</v>
          </cell>
        </row>
        <row r="22">
          <cell r="F22">
            <v>1.0369999999999999</v>
          </cell>
        </row>
        <row r="23">
          <cell r="F23">
            <v>1.0469999999999999</v>
          </cell>
        </row>
      </sheetData>
      <sheetData sheetId="8">
        <row r="9">
          <cell r="I9" t="str">
            <v>цены (тарифы), подлежащие государственному регулированию, действовавшие на день окончания (i-2)-го расчетного периода в системе теплоснабжения</v>
          </cell>
        </row>
        <row r="13">
          <cell r="E13" t="str">
            <v>каменный уголь</v>
          </cell>
        </row>
        <row r="16">
          <cell r="E16">
            <v>5100</v>
          </cell>
        </row>
        <row r="19">
          <cell r="E19">
            <v>-0.11899999999999999</v>
          </cell>
        </row>
        <row r="20">
          <cell r="E20">
            <v>4.0000000000000001E-3</v>
          </cell>
        </row>
        <row r="27">
          <cell r="E27">
            <v>3098</v>
          </cell>
        </row>
      </sheetData>
      <sheetData sheetId="9"/>
      <sheetData sheetId="10"/>
      <sheetData sheetId="11">
        <row r="9">
          <cell r="G9">
            <v>0</v>
          </cell>
        </row>
      </sheetData>
      <sheetData sheetId="12"/>
      <sheetData sheetId="13">
        <row r="12">
          <cell r="F12">
            <v>3097.7824122172187</v>
          </cell>
        </row>
        <row r="13">
          <cell r="F13">
            <v>210571.60987470482</v>
          </cell>
        </row>
        <row r="14">
          <cell r="F14">
            <v>113455</v>
          </cell>
        </row>
        <row r="15">
          <cell r="F15">
            <v>1.071</v>
          </cell>
        </row>
        <row r="16">
          <cell r="F16">
            <v>1</v>
          </cell>
        </row>
        <row r="17">
          <cell r="F17">
            <v>1.01</v>
          </cell>
        </row>
        <row r="18">
          <cell r="F18">
            <v>40220.845230503684</v>
          </cell>
        </row>
        <row r="19">
          <cell r="F19">
            <v>0</v>
          </cell>
        </row>
        <row r="20">
          <cell r="F20">
            <v>23441.524932855718</v>
          </cell>
        </row>
        <row r="21">
          <cell r="F21">
            <v>1</v>
          </cell>
        </row>
        <row r="22">
          <cell r="F22">
            <v>4298.6978080550834</v>
          </cell>
        </row>
        <row r="23">
          <cell r="F23">
            <v>1990</v>
          </cell>
        </row>
        <row r="26">
          <cell r="F26">
            <v>3185.880383940208</v>
          </cell>
        </row>
        <row r="27">
          <cell r="F27">
            <v>0.44209422600000003</v>
          </cell>
        </row>
        <row r="28">
          <cell r="F28">
            <v>4200</v>
          </cell>
        </row>
        <row r="29">
          <cell r="F29">
            <v>0.21369165990259753</v>
          </cell>
        </row>
        <row r="30">
          <cell r="F30">
            <v>0.20047619047619047</v>
          </cell>
        </row>
        <row r="31">
          <cell r="F31">
            <v>0.13880000000000001</v>
          </cell>
        </row>
        <row r="32">
          <cell r="F32">
            <v>0.12640000000000001</v>
          </cell>
        </row>
        <row r="33">
          <cell r="F33">
            <v>10</v>
          </cell>
        </row>
        <row r="35">
          <cell r="F35">
            <v>1.7157947422665329</v>
          </cell>
        </row>
        <row r="37">
          <cell r="F37">
            <v>20.818139999999996</v>
          </cell>
        </row>
        <row r="38">
          <cell r="F38">
            <v>7</v>
          </cell>
        </row>
        <row r="40">
          <cell r="F40">
            <v>0.97</v>
          </cell>
        </row>
        <row r="42">
          <cell r="F42">
            <v>0.35</v>
          </cell>
        </row>
      </sheetData>
      <sheetData sheetId="14">
        <row r="12">
          <cell r="E12" t="str">
            <v>V</v>
          </cell>
        </row>
        <row r="13">
          <cell r="E13" t="str">
            <v>6 и менее баллов</v>
          </cell>
        </row>
        <row r="14">
          <cell r="E14" t="str">
            <v>от 200 до 500</v>
          </cell>
        </row>
        <row r="15">
          <cell r="E15" t="str">
            <v>нет</v>
          </cell>
        </row>
        <row r="19">
          <cell r="E19">
            <v>-38</v>
          </cell>
        </row>
        <row r="22">
          <cell r="E22" t="str">
            <v>нет</v>
          </cell>
        </row>
        <row r="27">
          <cell r="E27">
            <v>246.24401</v>
          </cell>
        </row>
        <row r="28">
          <cell r="E28">
            <v>269.12432000000001</v>
          </cell>
        </row>
      </sheetData>
      <sheetData sheetId="15"/>
      <sheetData sheetId="16">
        <row r="10">
          <cell r="E10">
            <v>1287</v>
          </cell>
        </row>
        <row r="12">
          <cell r="E12">
            <v>5.97</v>
          </cell>
        </row>
        <row r="13">
          <cell r="E13">
            <v>1</v>
          </cell>
        </row>
        <row r="14">
          <cell r="E14">
            <v>12104</v>
          </cell>
        </row>
        <row r="15">
          <cell r="E15">
            <v>4.8000000000000001E-2</v>
          </cell>
        </row>
        <row r="16">
          <cell r="E16">
            <v>1</v>
          </cell>
        </row>
      </sheetData>
      <sheetData sheetId="17">
        <row r="11">
          <cell r="E11">
            <v>9.89</v>
          </cell>
        </row>
        <row r="12">
          <cell r="E12">
            <v>0.56000000000000005</v>
          </cell>
        </row>
        <row r="13">
          <cell r="E13">
            <v>300</v>
          </cell>
        </row>
        <row r="14">
          <cell r="E14">
            <v>61211</v>
          </cell>
        </row>
        <row r="15">
          <cell r="E15">
            <v>45675</v>
          </cell>
        </row>
        <row r="16">
          <cell r="E16">
            <v>65637</v>
          </cell>
        </row>
        <row r="17">
          <cell r="E17">
            <v>31684</v>
          </cell>
        </row>
        <row r="21">
          <cell r="E21" t="str">
            <v>Муниципальное унитарное предприятие города Куйбышева Куйбышевского района Новосибирской области "Горводоканал"</v>
          </cell>
        </row>
        <row r="22">
          <cell r="E22">
            <v>8809</v>
          </cell>
        </row>
        <row r="23">
          <cell r="E23">
            <v>530.41</v>
          </cell>
        </row>
        <row r="25">
          <cell r="E25" t="str">
            <v>Муниципальное унитарное предприятие города Куйбышева Куйбышевского района Новосибирской области "Геострой"</v>
          </cell>
        </row>
        <row r="26">
          <cell r="E26">
            <v>21397</v>
          </cell>
        </row>
        <row r="27">
          <cell r="E27">
            <v>857.14</v>
          </cell>
        </row>
      </sheetData>
      <sheetData sheetId="18">
        <row r="12">
          <cell r="F12" t="str">
            <v>Постановление Правительства Новосибирской области от 29.11.2011 №535-п (ред. 14.04.2014) "Об утверждении результатов государственной кадастровой оценки земель населенных пунктов в новосибирской области и среднего уровня кадастровой стоимости земель населенных пунктов по муниципальным районам и городским округам Новосибирской области"</v>
          </cell>
        </row>
      </sheetData>
      <sheetData sheetId="19"/>
      <sheetData sheetId="20">
        <row r="11">
          <cell r="E11">
            <v>-2.9000000000000026E-2</v>
          </cell>
          <cell r="F11">
            <v>0.245</v>
          </cell>
          <cell r="G11">
            <v>0.114</v>
          </cell>
          <cell r="H11">
            <v>0.04</v>
          </cell>
          <cell r="I11">
            <v>0.121</v>
          </cell>
          <cell r="J11">
            <v>0.03</v>
          </cell>
          <cell r="K11">
            <v>6.0999999999999999E-2</v>
          </cell>
          <cell r="L11">
            <v>3.2682303599220003E-2</v>
          </cell>
          <cell r="M11">
            <v>0</v>
          </cell>
          <cell r="N11">
            <v>0</v>
          </cell>
          <cell r="O11">
            <v>0</v>
          </cell>
          <cell r="P11">
            <v>0</v>
          </cell>
          <cell r="Q11">
            <v>0</v>
          </cell>
          <cell r="R11">
            <v>0</v>
          </cell>
          <cell r="S11">
            <v>0</v>
          </cell>
          <cell r="T11">
            <v>0</v>
          </cell>
          <cell r="U11">
            <v>0</v>
          </cell>
          <cell r="V11">
            <v>0</v>
          </cell>
          <cell r="W11">
            <v>0</v>
          </cell>
          <cell r="X11">
            <v>0</v>
          </cell>
          <cell r="Y11">
            <v>0</v>
          </cell>
          <cell r="Z11">
            <v>0</v>
          </cell>
          <cell r="AA11">
            <v>0</v>
          </cell>
          <cell r="AB11">
            <v>0</v>
          </cell>
          <cell r="AC11">
            <v>0</v>
          </cell>
          <cell r="AD11">
            <v>0</v>
          </cell>
          <cell r="AE11">
            <v>0</v>
          </cell>
          <cell r="AF11">
            <v>0</v>
          </cell>
          <cell r="AG11">
            <v>0</v>
          </cell>
          <cell r="AH11">
            <v>0</v>
          </cell>
          <cell r="AI11">
            <v>0</v>
          </cell>
          <cell r="AJ11">
            <v>0</v>
          </cell>
          <cell r="AK11">
            <v>0</v>
          </cell>
          <cell r="AL11">
            <v>0</v>
          </cell>
          <cell r="AM11">
            <v>0</v>
          </cell>
          <cell r="AN11">
            <v>0</v>
          </cell>
          <cell r="AO11">
            <v>0</v>
          </cell>
          <cell r="AP11">
            <v>0</v>
          </cell>
          <cell r="AQ11">
            <v>0</v>
          </cell>
          <cell r="AR11">
            <v>0</v>
          </cell>
          <cell r="AS11">
            <v>0</v>
          </cell>
          <cell r="AT11">
            <v>0</v>
          </cell>
          <cell r="AU11">
            <v>0</v>
          </cell>
          <cell r="AV11">
            <v>0</v>
          </cell>
          <cell r="AW11">
            <v>0</v>
          </cell>
          <cell r="AX11">
            <v>0</v>
          </cell>
          <cell r="AY11">
            <v>0</v>
          </cell>
          <cell r="AZ11">
            <v>0</v>
          </cell>
          <cell r="BA11">
            <v>0</v>
          </cell>
          <cell r="BB11">
            <v>0</v>
          </cell>
          <cell r="BC11">
            <v>0</v>
          </cell>
          <cell r="BD11">
            <v>0</v>
          </cell>
          <cell r="BE11">
            <v>0</v>
          </cell>
          <cell r="BF11">
            <v>0</v>
          </cell>
          <cell r="BG11">
            <v>0</v>
          </cell>
          <cell r="BH11">
            <v>0</v>
          </cell>
          <cell r="BI11">
            <v>0</v>
          </cell>
          <cell r="BJ11">
            <v>0</v>
          </cell>
          <cell r="BK11">
            <v>0</v>
          </cell>
          <cell r="BL11">
            <v>0</v>
          </cell>
          <cell r="BM11">
            <v>0</v>
          </cell>
          <cell r="BN11">
            <v>0</v>
          </cell>
          <cell r="BO11">
            <v>0</v>
          </cell>
          <cell r="BP11">
            <v>0</v>
          </cell>
          <cell r="BQ11">
            <v>0</v>
          </cell>
          <cell r="BR11">
            <v>0</v>
          </cell>
          <cell r="BS11">
            <v>0</v>
          </cell>
          <cell r="BT11">
            <v>0</v>
          </cell>
          <cell r="BU11">
            <v>0</v>
          </cell>
          <cell r="BV11">
            <v>0</v>
          </cell>
          <cell r="BW11">
            <v>0</v>
          </cell>
          <cell r="BX11">
            <v>0</v>
          </cell>
          <cell r="BY11">
            <v>0</v>
          </cell>
          <cell r="BZ11">
            <v>0</v>
          </cell>
          <cell r="CA11">
            <v>0</v>
          </cell>
          <cell r="CB11">
            <v>0</v>
          </cell>
          <cell r="CC11">
            <v>0</v>
          </cell>
          <cell r="CD11">
            <v>0</v>
          </cell>
          <cell r="CE11">
            <v>0</v>
          </cell>
          <cell r="CF11">
            <v>0</v>
          </cell>
          <cell r="CG11">
            <v>0</v>
          </cell>
        </row>
      </sheetData>
      <sheetData sheetId="21">
        <row r="11">
          <cell r="G11" t="str">
            <v>Информация с официального сайта Банка России</v>
          </cell>
        </row>
      </sheetData>
      <sheetData sheetId="22"/>
      <sheetData sheetId="23">
        <row r="12">
          <cell r="F12">
            <v>940.47266370947932</v>
          </cell>
        </row>
        <row r="14">
          <cell r="F14">
            <v>15827.997028730506</v>
          </cell>
        </row>
        <row r="15">
          <cell r="F15">
            <v>0.25</v>
          </cell>
        </row>
        <row r="18">
          <cell r="F18">
            <v>15</v>
          </cell>
        </row>
        <row r="19">
          <cell r="F19">
            <v>3741.3369093945325</v>
          </cell>
        </row>
        <row r="20">
          <cell r="F20">
            <v>2.1999999999999999E-2</v>
          </cell>
        </row>
        <row r="21">
          <cell r="F21">
            <v>10</v>
          </cell>
        </row>
        <row r="22">
          <cell r="F22">
            <v>9.5576411518206239</v>
          </cell>
        </row>
        <row r="23">
          <cell r="F23">
            <v>3.0000000000000001E-3</v>
          </cell>
        </row>
        <row r="24">
          <cell r="F24">
            <v>3185.880383940208</v>
          </cell>
        </row>
      </sheetData>
      <sheetData sheetId="24">
        <row r="12">
          <cell r="F12" t="str">
            <v>Налоговый кодекс РФ</v>
          </cell>
        </row>
      </sheetData>
      <sheetData sheetId="25">
        <row r="12">
          <cell r="F12">
            <v>519.51466291296811</v>
          </cell>
        </row>
        <row r="16">
          <cell r="F16">
            <v>1652.5</v>
          </cell>
        </row>
        <row r="17">
          <cell r="F17">
            <v>73547</v>
          </cell>
        </row>
        <row r="18">
          <cell r="F18">
            <v>0.02</v>
          </cell>
        </row>
        <row r="19">
          <cell r="F19">
            <v>12104</v>
          </cell>
        </row>
        <row r="20">
          <cell r="F20">
            <v>1.4999999999999999E-2</v>
          </cell>
        </row>
        <row r="21">
          <cell r="F21">
            <v>1933.1949342509995</v>
          </cell>
        </row>
        <row r="22">
          <cell r="F22">
            <v>3.6112641666666665</v>
          </cell>
        </row>
        <row r="23">
          <cell r="F23">
            <v>180</v>
          </cell>
        </row>
        <row r="24">
          <cell r="F24">
            <v>8497.1999999999989</v>
          </cell>
        </row>
        <row r="25">
          <cell r="F25">
            <v>0.35</v>
          </cell>
        </row>
        <row r="26">
          <cell r="F26">
            <v>81.757919999999999</v>
          </cell>
        </row>
        <row r="27">
          <cell r="F27">
            <v>1291.2863994686898</v>
          </cell>
        </row>
        <row r="28">
          <cell r="F28">
            <v>991.77142816335618</v>
          </cell>
        </row>
        <row r="29">
          <cell r="F29">
            <v>299.51497130533357</v>
          </cell>
        </row>
        <row r="30">
          <cell r="F30">
            <v>2307.1502447720632</v>
          </cell>
        </row>
        <row r="33">
          <cell r="F33">
            <v>1068.6450140162826</v>
          </cell>
        </row>
        <row r="35">
          <cell r="F35">
            <v>18.902267999999999</v>
          </cell>
        </row>
        <row r="36">
          <cell r="F36">
            <v>14319.9</v>
          </cell>
        </row>
        <row r="37">
          <cell r="F37">
            <v>1.32</v>
          </cell>
        </row>
      </sheetData>
      <sheetData sheetId="26">
        <row r="12">
          <cell r="F12" t="str">
            <v>Постановление Правительства Российской Федерации от 17.04.2024 № 492</v>
          </cell>
        </row>
      </sheetData>
      <sheetData sheetId="27">
        <row r="8">
          <cell r="F8" t="str">
            <v>нет</v>
          </cell>
        </row>
        <row r="15">
          <cell r="D15" t="str">
            <v>АО "Новосибирскэнергосбыт"</v>
          </cell>
        </row>
        <row r="21">
          <cell r="D21">
            <v>0</v>
          </cell>
        </row>
      </sheetData>
      <sheetData sheetId="28">
        <row r="11">
          <cell r="E11">
            <v>1871</v>
          </cell>
        </row>
        <row r="12">
          <cell r="E12">
            <v>1636</v>
          </cell>
        </row>
        <row r="13">
          <cell r="E13">
            <v>204</v>
          </cell>
        </row>
        <row r="16">
          <cell r="E16">
            <v>0</v>
          </cell>
        </row>
        <row r="17">
          <cell r="E17">
            <v>21.52</v>
          </cell>
        </row>
        <row r="18">
          <cell r="E18">
            <v>0</v>
          </cell>
        </row>
        <row r="19">
          <cell r="E19">
            <v>30.82</v>
          </cell>
        </row>
      </sheetData>
      <sheetData sheetId="29"/>
      <sheetData sheetId="30">
        <row r="12">
          <cell r="F12">
            <v>105.5623734435616</v>
          </cell>
        </row>
        <row r="17">
          <cell r="F17">
            <v>0.02</v>
          </cell>
        </row>
      </sheetData>
      <sheetData sheetId="31">
        <row r="12">
          <cell r="F12" t="str">
            <v>-</v>
          </cell>
        </row>
      </sheetData>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26"/>
  <sheetViews>
    <sheetView tabSelected="1" workbookViewId="0">
      <selection activeCell="C7" sqref="C7"/>
    </sheetView>
  </sheetViews>
  <sheetFormatPr defaultRowHeight="12.75" x14ac:dyDescent="0.2"/>
  <cols>
    <col min="1" max="1" width="9.140625" style="2" customWidth="1"/>
    <col min="2" max="2" width="100.5703125" style="2" customWidth="1"/>
    <col min="3" max="3" width="20.85546875" style="7" customWidth="1"/>
    <col min="4" max="246" width="9.140625" style="2"/>
    <col min="247" max="247" width="3.5703125" style="2" customWidth="1"/>
    <col min="248" max="248" width="96.85546875" style="2" customWidth="1"/>
    <col min="249" max="249" width="30.85546875" style="2" customWidth="1"/>
    <col min="250" max="250" width="12.5703125" style="2" customWidth="1"/>
    <col min="251" max="251" width="5.140625" style="2" customWidth="1"/>
    <col min="252" max="252" width="9.140625" style="2"/>
    <col min="253" max="253" width="4.85546875" style="2" customWidth="1"/>
    <col min="254" max="254" width="30.5703125" style="2" customWidth="1"/>
    <col min="255" max="255" width="33.85546875" style="2" customWidth="1"/>
    <col min="256" max="256" width="5.140625" style="2" customWidth="1"/>
    <col min="257" max="258" width="17.5703125" style="2" customWidth="1"/>
    <col min="259" max="502" width="9.140625" style="2"/>
    <col min="503" max="503" width="3.5703125" style="2" customWidth="1"/>
    <col min="504" max="504" width="96.85546875" style="2" customWidth="1"/>
    <col min="505" max="505" width="30.85546875" style="2" customWidth="1"/>
    <col min="506" max="506" width="12.5703125" style="2" customWidth="1"/>
    <col min="507" max="507" width="5.140625" style="2" customWidth="1"/>
    <col min="508" max="508" width="9.140625" style="2"/>
    <col min="509" max="509" width="4.85546875" style="2" customWidth="1"/>
    <col min="510" max="510" width="30.5703125" style="2" customWidth="1"/>
    <col min="511" max="511" width="33.85546875" style="2" customWidth="1"/>
    <col min="512" max="512" width="5.140625" style="2" customWidth="1"/>
    <col min="513" max="514" width="17.5703125" style="2" customWidth="1"/>
    <col min="515" max="758" width="9.140625" style="2"/>
    <col min="759" max="759" width="3.5703125" style="2" customWidth="1"/>
    <col min="760" max="760" width="96.85546875" style="2" customWidth="1"/>
    <col min="761" max="761" width="30.85546875" style="2" customWidth="1"/>
    <col min="762" max="762" width="12.5703125" style="2" customWidth="1"/>
    <col min="763" max="763" width="5.140625" style="2" customWidth="1"/>
    <col min="764" max="764" width="9.140625" style="2"/>
    <col min="765" max="765" width="4.85546875" style="2" customWidth="1"/>
    <col min="766" max="766" width="30.5703125" style="2" customWidth="1"/>
    <col min="767" max="767" width="33.85546875" style="2" customWidth="1"/>
    <col min="768" max="768" width="5.140625" style="2" customWidth="1"/>
    <col min="769" max="770" width="17.5703125" style="2" customWidth="1"/>
    <col min="771" max="1014" width="9.140625" style="2"/>
    <col min="1015" max="1015" width="3.5703125" style="2" customWidth="1"/>
    <col min="1016" max="1016" width="96.85546875" style="2" customWidth="1"/>
    <col min="1017" max="1017" width="30.85546875" style="2" customWidth="1"/>
    <col min="1018" max="1018" width="12.5703125" style="2" customWidth="1"/>
    <col min="1019" max="1019" width="5.140625" style="2" customWidth="1"/>
    <col min="1020" max="1020" width="9.140625" style="2"/>
    <col min="1021" max="1021" width="4.85546875" style="2" customWidth="1"/>
    <col min="1022" max="1022" width="30.5703125" style="2" customWidth="1"/>
    <col min="1023" max="1023" width="33.85546875" style="2" customWidth="1"/>
    <col min="1024" max="1024" width="5.140625" style="2" customWidth="1"/>
    <col min="1025" max="1026" width="17.5703125" style="2" customWidth="1"/>
    <col min="1027" max="1270" width="9.140625" style="2"/>
    <col min="1271" max="1271" width="3.5703125" style="2" customWidth="1"/>
    <col min="1272" max="1272" width="96.85546875" style="2" customWidth="1"/>
    <col min="1273" max="1273" width="30.85546875" style="2" customWidth="1"/>
    <col min="1274" max="1274" width="12.5703125" style="2" customWidth="1"/>
    <col min="1275" max="1275" width="5.140625" style="2" customWidth="1"/>
    <col min="1276" max="1276" width="9.140625" style="2"/>
    <col min="1277" max="1277" width="4.85546875" style="2" customWidth="1"/>
    <col min="1278" max="1278" width="30.5703125" style="2" customWidth="1"/>
    <col min="1279" max="1279" width="33.85546875" style="2" customWidth="1"/>
    <col min="1280" max="1280" width="5.140625" style="2" customWidth="1"/>
    <col min="1281" max="1282" width="17.5703125" style="2" customWidth="1"/>
    <col min="1283" max="1526" width="9.140625" style="2"/>
    <col min="1527" max="1527" width="3.5703125" style="2" customWidth="1"/>
    <col min="1528" max="1528" width="96.85546875" style="2" customWidth="1"/>
    <col min="1529" max="1529" width="30.85546875" style="2" customWidth="1"/>
    <col min="1530" max="1530" width="12.5703125" style="2" customWidth="1"/>
    <col min="1531" max="1531" width="5.140625" style="2" customWidth="1"/>
    <col min="1532" max="1532" width="9.140625" style="2"/>
    <col min="1533" max="1533" width="4.85546875" style="2" customWidth="1"/>
    <col min="1534" max="1534" width="30.5703125" style="2" customWidth="1"/>
    <col min="1535" max="1535" width="33.85546875" style="2" customWidth="1"/>
    <col min="1536" max="1536" width="5.140625" style="2" customWidth="1"/>
    <col min="1537" max="1538" width="17.5703125" style="2" customWidth="1"/>
    <col min="1539" max="1782" width="9.140625" style="2"/>
    <col min="1783" max="1783" width="3.5703125" style="2" customWidth="1"/>
    <col min="1784" max="1784" width="96.85546875" style="2" customWidth="1"/>
    <col min="1785" max="1785" width="30.85546875" style="2" customWidth="1"/>
    <col min="1786" max="1786" width="12.5703125" style="2" customWidth="1"/>
    <col min="1787" max="1787" width="5.140625" style="2" customWidth="1"/>
    <col min="1788" max="1788" width="9.140625" style="2"/>
    <col min="1789" max="1789" width="4.85546875" style="2" customWidth="1"/>
    <col min="1790" max="1790" width="30.5703125" style="2" customWidth="1"/>
    <col min="1791" max="1791" width="33.85546875" style="2" customWidth="1"/>
    <col min="1792" max="1792" width="5.140625" style="2" customWidth="1"/>
    <col min="1793" max="1794" width="17.5703125" style="2" customWidth="1"/>
    <col min="1795" max="2038" width="9.140625" style="2"/>
    <col min="2039" max="2039" width="3.5703125" style="2" customWidth="1"/>
    <col min="2040" max="2040" width="96.85546875" style="2" customWidth="1"/>
    <col min="2041" max="2041" width="30.85546875" style="2" customWidth="1"/>
    <col min="2042" max="2042" width="12.5703125" style="2" customWidth="1"/>
    <col min="2043" max="2043" width="5.140625" style="2" customWidth="1"/>
    <col min="2044" max="2044" width="9.140625" style="2"/>
    <col min="2045" max="2045" width="4.85546875" style="2" customWidth="1"/>
    <col min="2046" max="2046" width="30.5703125" style="2" customWidth="1"/>
    <col min="2047" max="2047" width="33.85546875" style="2" customWidth="1"/>
    <col min="2048" max="2048" width="5.140625" style="2" customWidth="1"/>
    <col min="2049" max="2050" width="17.5703125" style="2" customWidth="1"/>
    <col min="2051" max="2294" width="9.140625" style="2"/>
    <col min="2295" max="2295" width="3.5703125" style="2" customWidth="1"/>
    <col min="2296" max="2296" width="96.85546875" style="2" customWidth="1"/>
    <col min="2297" max="2297" width="30.85546875" style="2" customWidth="1"/>
    <col min="2298" max="2298" width="12.5703125" style="2" customWidth="1"/>
    <col min="2299" max="2299" width="5.140625" style="2" customWidth="1"/>
    <col min="2300" max="2300" width="9.140625" style="2"/>
    <col min="2301" max="2301" width="4.85546875" style="2" customWidth="1"/>
    <col min="2302" max="2302" width="30.5703125" style="2" customWidth="1"/>
    <col min="2303" max="2303" width="33.85546875" style="2" customWidth="1"/>
    <col min="2304" max="2304" width="5.140625" style="2" customWidth="1"/>
    <col min="2305" max="2306" width="17.5703125" style="2" customWidth="1"/>
    <col min="2307" max="2550" width="9.140625" style="2"/>
    <col min="2551" max="2551" width="3.5703125" style="2" customWidth="1"/>
    <col min="2552" max="2552" width="96.85546875" style="2" customWidth="1"/>
    <col min="2553" max="2553" width="30.85546875" style="2" customWidth="1"/>
    <col min="2554" max="2554" width="12.5703125" style="2" customWidth="1"/>
    <col min="2555" max="2555" width="5.140625" style="2" customWidth="1"/>
    <col min="2556" max="2556" width="9.140625" style="2"/>
    <col min="2557" max="2557" width="4.85546875" style="2" customWidth="1"/>
    <col min="2558" max="2558" width="30.5703125" style="2" customWidth="1"/>
    <col min="2559" max="2559" width="33.85546875" style="2" customWidth="1"/>
    <col min="2560" max="2560" width="5.140625" style="2" customWidth="1"/>
    <col min="2561" max="2562" width="17.5703125" style="2" customWidth="1"/>
    <col min="2563" max="2806" width="9.140625" style="2"/>
    <col min="2807" max="2807" width="3.5703125" style="2" customWidth="1"/>
    <col min="2808" max="2808" width="96.85546875" style="2" customWidth="1"/>
    <col min="2809" max="2809" width="30.85546875" style="2" customWidth="1"/>
    <col min="2810" max="2810" width="12.5703125" style="2" customWidth="1"/>
    <col min="2811" max="2811" width="5.140625" style="2" customWidth="1"/>
    <col min="2812" max="2812" width="9.140625" style="2"/>
    <col min="2813" max="2813" width="4.85546875" style="2" customWidth="1"/>
    <col min="2814" max="2814" width="30.5703125" style="2" customWidth="1"/>
    <col min="2815" max="2815" width="33.85546875" style="2" customWidth="1"/>
    <col min="2816" max="2816" width="5.140625" style="2" customWidth="1"/>
    <col min="2817" max="2818" width="17.5703125" style="2" customWidth="1"/>
    <col min="2819" max="3062" width="9.140625" style="2"/>
    <col min="3063" max="3063" width="3.5703125" style="2" customWidth="1"/>
    <col min="3064" max="3064" width="96.85546875" style="2" customWidth="1"/>
    <col min="3065" max="3065" width="30.85546875" style="2" customWidth="1"/>
    <col min="3066" max="3066" width="12.5703125" style="2" customWidth="1"/>
    <col min="3067" max="3067" width="5.140625" style="2" customWidth="1"/>
    <col min="3068" max="3068" width="9.140625" style="2"/>
    <col min="3069" max="3069" width="4.85546875" style="2" customWidth="1"/>
    <col min="3070" max="3070" width="30.5703125" style="2" customWidth="1"/>
    <col min="3071" max="3071" width="33.85546875" style="2" customWidth="1"/>
    <col min="3072" max="3072" width="5.140625" style="2" customWidth="1"/>
    <col min="3073" max="3074" width="17.5703125" style="2" customWidth="1"/>
    <col min="3075" max="3318" width="9.140625" style="2"/>
    <col min="3319" max="3319" width="3.5703125" style="2" customWidth="1"/>
    <col min="3320" max="3320" width="96.85546875" style="2" customWidth="1"/>
    <col min="3321" max="3321" width="30.85546875" style="2" customWidth="1"/>
    <col min="3322" max="3322" width="12.5703125" style="2" customWidth="1"/>
    <col min="3323" max="3323" width="5.140625" style="2" customWidth="1"/>
    <col min="3324" max="3324" width="9.140625" style="2"/>
    <col min="3325" max="3325" width="4.85546875" style="2" customWidth="1"/>
    <col min="3326" max="3326" width="30.5703125" style="2" customWidth="1"/>
    <col min="3327" max="3327" width="33.85546875" style="2" customWidth="1"/>
    <col min="3328" max="3328" width="5.140625" style="2" customWidth="1"/>
    <col min="3329" max="3330" width="17.5703125" style="2" customWidth="1"/>
    <col min="3331" max="3574" width="9.140625" style="2"/>
    <col min="3575" max="3575" width="3.5703125" style="2" customWidth="1"/>
    <col min="3576" max="3576" width="96.85546875" style="2" customWidth="1"/>
    <col min="3577" max="3577" width="30.85546875" style="2" customWidth="1"/>
    <col min="3578" max="3578" width="12.5703125" style="2" customWidth="1"/>
    <col min="3579" max="3579" width="5.140625" style="2" customWidth="1"/>
    <col min="3580" max="3580" width="9.140625" style="2"/>
    <col min="3581" max="3581" width="4.85546875" style="2" customWidth="1"/>
    <col min="3582" max="3582" width="30.5703125" style="2" customWidth="1"/>
    <col min="3583" max="3583" width="33.85546875" style="2" customWidth="1"/>
    <col min="3584" max="3584" width="5.140625" style="2" customWidth="1"/>
    <col min="3585" max="3586" width="17.5703125" style="2" customWidth="1"/>
    <col min="3587" max="3830" width="9.140625" style="2"/>
    <col min="3831" max="3831" width="3.5703125" style="2" customWidth="1"/>
    <col min="3832" max="3832" width="96.85546875" style="2" customWidth="1"/>
    <col min="3833" max="3833" width="30.85546875" style="2" customWidth="1"/>
    <col min="3834" max="3834" width="12.5703125" style="2" customWidth="1"/>
    <col min="3835" max="3835" width="5.140625" style="2" customWidth="1"/>
    <col min="3836" max="3836" width="9.140625" style="2"/>
    <col min="3837" max="3837" width="4.85546875" style="2" customWidth="1"/>
    <col min="3838" max="3838" width="30.5703125" style="2" customWidth="1"/>
    <col min="3839" max="3839" width="33.85546875" style="2" customWidth="1"/>
    <col min="3840" max="3840" width="5.140625" style="2" customWidth="1"/>
    <col min="3841" max="3842" width="17.5703125" style="2" customWidth="1"/>
    <col min="3843" max="4086" width="9.140625" style="2"/>
    <col min="4087" max="4087" width="3.5703125" style="2" customWidth="1"/>
    <col min="4088" max="4088" width="96.85546875" style="2" customWidth="1"/>
    <col min="4089" max="4089" width="30.85546875" style="2" customWidth="1"/>
    <col min="4090" max="4090" width="12.5703125" style="2" customWidth="1"/>
    <col min="4091" max="4091" width="5.140625" style="2" customWidth="1"/>
    <col min="4092" max="4092" width="9.140625" style="2"/>
    <col min="4093" max="4093" width="4.85546875" style="2" customWidth="1"/>
    <col min="4094" max="4094" width="30.5703125" style="2" customWidth="1"/>
    <col min="4095" max="4095" width="33.85546875" style="2" customWidth="1"/>
    <col min="4096" max="4096" width="5.140625" style="2" customWidth="1"/>
    <col min="4097" max="4098" width="17.5703125" style="2" customWidth="1"/>
    <col min="4099" max="4342" width="9.140625" style="2"/>
    <col min="4343" max="4343" width="3.5703125" style="2" customWidth="1"/>
    <col min="4344" max="4344" width="96.85546875" style="2" customWidth="1"/>
    <col min="4345" max="4345" width="30.85546875" style="2" customWidth="1"/>
    <col min="4346" max="4346" width="12.5703125" style="2" customWidth="1"/>
    <col min="4347" max="4347" width="5.140625" style="2" customWidth="1"/>
    <col min="4348" max="4348" width="9.140625" style="2"/>
    <col min="4349" max="4349" width="4.85546875" style="2" customWidth="1"/>
    <col min="4350" max="4350" width="30.5703125" style="2" customWidth="1"/>
    <col min="4351" max="4351" width="33.85546875" style="2" customWidth="1"/>
    <col min="4352" max="4352" width="5.140625" style="2" customWidth="1"/>
    <col min="4353" max="4354" width="17.5703125" style="2" customWidth="1"/>
    <col min="4355" max="4598" width="9.140625" style="2"/>
    <col min="4599" max="4599" width="3.5703125" style="2" customWidth="1"/>
    <col min="4600" max="4600" width="96.85546875" style="2" customWidth="1"/>
    <col min="4601" max="4601" width="30.85546875" style="2" customWidth="1"/>
    <col min="4602" max="4602" width="12.5703125" style="2" customWidth="1"/>
    <col min="4603" max="4603" width="5.140625" style="2" customWidth="1"/>
    <col min="4604" max="4604" width="9.140625" style="2"/>
    <col min="4605" max="4605" width="4.85546875" style="2" customWidth="1"/>
    <col min="4606" max="4606" width="30.5703125" style="2" customWidth="1"/>
    <col min="4607" max="4607" width="33.85546875" style="2" customWidth="1"/>
    <col min="4608" max="4608" width="5.140625" style="2" customWidth="1"/>
    <col min="4609" max="4610" width="17.5703125" style="2" customWidth="1"/>
    <col min="4611" max="4854" width="9.140625" style="2"/>
    <col min="4855" max="4855" width="3.5703125" style="2" customWidth="1"/>
    <col min="4856" max="4856" width="96.85546875" style="2" customWidth="1"/>
    <col min="4857" max="4857" width="30.85546875" style="2" customWidth="1"/>
    <col min="4858" max="4858" width="12.5703125" style="2" customWidth="1"/>
    <col min="4859" max="4859" width="5.140625" style="2" customWidth="1"/>
    <col min="4860" max="4860" width="9.140625" style="2"/>
    <col min="4861" max="4861" width="4.85546875" style="2" customWidth="1"/>
    <col min="4862" max="4862" width="30.5703125" style="2" customWidth="1"/>
    <col min="4863" max="4863" width="33.85546875" style="2" customWidth="1"/>
    <col min="4864" max="4864" width="5.140625" style="2" customWidth="1"/>
    <col min="4865" max="4866" width="17.5703125" style="2" customWidth="1"/>
    <col min="4867" max="5110" width="9.140625" style="2"/>
    <col min="5111" max="5111" width="3.5703125" style="2" customWidth="1"/>
    <col min="5112" max="5112" width="96.85546875" style="2" customWidth="1"/>
    <col min="5113" max="5113" width="30.85546875" style="2" customWidth="1"/>
    <col min="5114" max="5114" width="12.5703125" style="2" customWidth="1"/>
    <col min="5115" max="5115" width="5.140625" style="2" customWidth="1"/>
    <col min="5116" max="5116" width="9.140625" style="2"/>
    <col min="5117" max="5117" width="4.85546875" style="2" customWidth="1"/>
    <col min="5118" max="5118" width="30.5703125" style="2" customWidth="1"/>
    <col min="5119" max="5119" width="33.85546875" style="2" customWidth="1"/>
    <col min="5120" max="5120" width="5.140625" style="2" customWidth="1"/>
    <col min="5121" max="5122" width="17.5703125" style="2" customWidth="1"/>
    <col min="5123" max="5366" width="9.140625" style="2"/>
    <col min="5367" max="5367" width="3.5703125" style="2" customWidth="1"/>
    <col min="5368" max="5368" width="96.85546875" style="2" customWidth="1"/>
    <col min="5369" max="5369" width="30.85546875" style="2" customWidth="1"/>
    <col min="5370" max="5370" width="12.5703125" style="2" customWidth="1"/>
    <col min="5371" max="5371" width="5.140625" style="2" customWidth="1"/>
    <col min="5372" max="5372" width="9.140625" style="2"/>
    <col min="5373" max="5373" width="4.85546875" style="2" customWidth="1"/>
    <col min="5374" max="5374" width="30.5703125" style="2" customWidth="1"/>
    <col min="5375" max="5375" width="33.85546875" style="2" customWidth="1"/>
    <col min="5376" max="5376" width="5.140625" style="2" customWidth="1"/>
    <col min="5377" max="5378" width="17.5703125" style="2" customWidth="1"/>
    <col min="5379" max="5622" width="9.140625" style="2"/>
    <col min="5623" max="5623" width="3.5703125" style="2" customWidth="1"/>
    <col min="5624" max="5624" width="96.85546875" style="2" customWidth="1"/>
    <col min="5625" max="5625" width="30.85546875" style="2" customWidth="1"/>
    <col min="5626" max="5626" width="12.5703125" style="2" customWidth="1"/>
    <col min="5627" max="5627" width="5.140625" style="2" customWidth="1"/>
    <col min="5628" max="5628" width="9.140625" style="2"/>
    <col min="5629" max="5629" width="4.85546875" style="2" customWidth="1"/>
    <col min="5630" max="5630" width="30.5703125" style="2" customWidth="1"/>
    <col min="5631" max="5631" width="33.85546875" style="2" customWidth="1"/>
    <col min="5632" max="5632" width="5.140625" style="2" customWidth="1"/>
    <col min="5633" max="5634" width="17.5703125" style="2" customWidth="1"/>
    <col min="5635" max="5878" width="9.140625" style="2"/>
    <col min="5879" max="5879" width="3.5703125" style="2" customWidth="1"/>
    <col min="5880" max="5880" width="96.85546875" style="2" customWidth="1"/>
    <col min="5881" max="5881" width="30.85546875" style="2" customWidth="1"/>
    <col min="5882" max="5882" width="12.5703125" style="2" customWidth="1"/>
    <col min="5883" max="5883" width="5.140625" style="2" customWidth="1"/>
    <col min="5884" max="5884" width="9.140625" style="2"/>
    <col min="5885" max="5885" width="4.85546875" style="2" customWidth="1"/>
    <col min="5886" max="5886" width="30.5703125" style="2" customWidth="1"/>
    <col min="5887" max="5887" width="33.85546875" style="2" customWidth="1"/>
    <col min="5888" max="5888" width="5.140625" style="2" customWidth="1"/>
    <col min="5889" max="5890" width="17.5703125" style="2" customWidth="1"/>
    <col min="5891" max="6134" width="9.140625" style="2"/>
    <col min="6135" max="6135" width="3.5703125" style="2" customWidth="1"/>
    <col min="6136" max="6136" width="96.85546875" style="2" customWidth="1"/>
    <col min="6137" max="6137" width="30.85546875" style="2" customWidth="1"/>
    <col min="6138" max="6138" width="12.5703125" style="2" customWidth="1"/>
    <col min="6139" max="6139" width="5.140625" style="2" customWidth="1"/>
    <col min="6140" max="6140" width="9.140625" style="2"/>
    <col min="6141" max="6141" width="4.85546875" style="2" customWidth="1"/>
    <col min="6142" max="6142" width="30.5703125" style="2" customWidth="1"/>
    <col min="6143" max="6143" width="33.85546875" style="2" customWidth="1"/>
    <col min="6144" max="6144" width="5.140625" style="2" customWidth="1"/>
    <col min="6145" max="6146" width="17.5703125" style="2" customWidth="1"/>
    <col min="6147" max="6390" width="9.140625" style="2"/>
    <col min="6391" max="6391" width="3.5703125" style="2" customWidth="1"/>
    <col min="6392" max="6392" width="96.85546875" style="2" customWidth="1"/>
    <col min="6393" max="6393" width="30.85546875" style="2" customWidth="1"/>
    <col min="6394" max="6394" width="12.5703125" style="2" customWidth="1"/>
    <col min="6395" max="6395" width="5.140625" style="2" customWidth="1"/>
    <col min="6396" max="6396" width="9.140625" style="2"/>
    <col min="6397" max="6397" width="4.85546875" style="2" customWidth="1"/>
    <col min="6398" max="6398" width="30.5703125" style="2" customWidth="1"/>
    <col min="6399" max="6399" width="33.85546875" style="2" customWidth="1"/>
    <col min="6400" max="6400" width="5.140625" style="2" customWidth="1"/>
    <col min="6401" max="6402" width="17.5703125" style="2" customWidth="1"/>
    <col min="6403" max="6646" width="9.140625" style="2"/>
    <col min="6647" max="6647" width="3.5703125" style="2" customWidth="1"/>
    <col min="6648" max="6648" width="96.85546875" style="2" customWidth="1"/>
    <col min="6649" max="6649" width="30.85546875" style="2" customWidth="1"/>
    <col min="6650" max="6650" width="12.5703125" style="2" customWidth="1"/>
    <col min="6651" max="6651" width="5.140625" style="2" customWidth="1"/>
    <col min="6652" max="6652" width="9.140625" style="2"/>
    <col min="6653" max="6653" width="4.85546875" style="2" customWidth="1"/>
    <col min="6654" max="6654" width="30.5703125" style="2" customWidth="1"/>
    <col min="6655" max="6655" width="33.85546875" style="2" customWidth="1"/>
    <col min="6656" max="6656" width="5.140625" style="2" customWidth="1"/>
    <col min="6657" max="6658" width="17.5703125" style="2" customWidth="1"/>
    <col min="6659" max="6902" width="9.140625" style="2"/>
    <col min="6903" max="6903" width="3.5703125" style="2" customWidth="1"/>
    <col min="6904" max="6904" width="96.85546875" style="2" customWidth="1"/>
    <col min="6905" max="6905" width="30.85546875" style="2" customWidth="1"/>
    <col min="6906" max="6906" width="12.5703125" style="2" customWidth="1"/>
    <col min="6907" max="6907" width="5.140625" style="2" customWidth="1"/>
    <col min="6908" max="6908" width="9.140625" style="2"/>
    <col min="6909" max="6909" width="4.85546875" style="2" customWidth="1"/>
    <col min="6910" max="6910" width="30.5703125" style="2" customWidth="1"/>
    <col min="6911" max="6911" width="33.85546875" style="2" customWidth="1"/>
    <col min="6912" max="6912" width="5.140625" style="2" customWidth="1"/>
    <col min="6913" max="6914" width="17.5703125" style="2" customWidth="1"/>
    <col min="6915" max="7158" width="9.140625" style="2"/>
    <col min="7159" max="7159" width="3.5703125" style="2" customWidth="1"/>
    <col min="7160" max="7160" width="96.85546875" style="2" customWidth="1"/>
    <col min="7161" max="7161" width="30.85546875" style="2" customWidth="1"/>
    <col min="7162" max="7162" width="12.5703125" style="2" customWidth="1"/>
    <col min="7163" max="7163" width="5.140625" style="2" customWidth="1"/>
    <col min="7164" max="7164" width="9.140625" style="2"/>
    <col min="7165" max="7165" width="4.85546875" style="2" customWidth="1"/>
    <col min="7166" max="7166" width="30.5703125" style="2" customWidth="1"/>
    <col min="7167" max="7167" width="33.85546875" style="2" customWidth="1"/>
    <col min="7168" max="7168" width="5.140625" style="2" customWidth="1"/>
    <col min="7169" max="7170" width="17.5703125" style="2" customWidth="1"/>
    <col min="7171" max="7414" width="9.140625" style="2"/>
    <col min="7415" max="7415" width="3.5703125" style="2" customWidth="1"/>
    <col min="7416" max="7416" width="96.85546875" style="2" customWidth="1"/>
    <col min="7417" max="7417" width="30.85546875" style="2" customWidth="1"/>
    <col min="7418" max="7418" width="12.5703125" style="2" customWidth="1"/>
    <col min="7419" max="7419" width="5.140625" style="2" customWidth="1"/>
    <col min="7420" max="7420" width="9.140625" style="2"/>
    <col min="7421" max="7421" width="4.85546875" style="2" customWidth="1"/>
    <col min="7422" max="7422" width="30.5703125" style="2" customWidth="1"/>
    <col min="7423" max="7423" width="33.85546875" style="2" customWidth="1"/>
    <col min="7424" max="7424" width="5.140625" style="2" customWidth="1"/>
    <col min="7425" max="7426" width="17.5703125" style="2" customWidth="1"/>
    <col min="7427" max="7670" width="9.140625" style="2"/>
    <col min="7671" max="7671" width="3.5703125" style="2" customWidth="1"/>
    <col min="7672" max="7672" width="96.85546875" style="2" customWidth="1"/>
    <col min="7673" max="7673" width="30.85546875" style="2" customWidth="1"/>
    <col min="7674" max="7674" width="12.5703125" style="2" customWidth="1"/>
    <col min="7675" max="7675" width="5.140625" style="2" customWidth="1"/>
    <col min="7676" max="7676" width="9.140625" style="2"/>
    <col min="7677" max="7677" width="4.85546875" style="2" customWidth="1"/>
    <col min="7678" max="7678" width="30.5703125" style="2" customWidth="1"/>
    <col min="7679" max="7679" width="33.85546875" style="2" customWidth="1"/>
    <col min="7680" max="7680" width="5.140625" style="2" customWidth="1"/>
    <col min="7681" max="7682" width="17.5703125" style="2" customWidth="1"/>
    <col min="7683" max="7926" width="9.140625" style="2"/>
    <col min="7927" max="7927" width="3.5703125" style="2" customWidth="1"/>
    <col min="7928" max="7928" width="96.85546875" style="2" customWidth="1"/>
    <col min="7929" max="7929" width="30.85546875" style="2" customWidth="1"/>
    <col min="7930" max="7930" width="12.5703125" style="2" customWidth="1"/>
    <col min="7931" max="7931" width="5.140625" style="2" customWidth="1"/>
    <col min="7932" max="7932" width="9.140625" style="2"/>
    <col min="7933" max="7933" width="4.85546875" style="2" customWidth="1"/>
    <col min="7934" max="7934" width="30.5703125" style="2" customWidth="1"/>
    <col min="7935" max="7935" width="33.85546875" style="2" customWidth="1"/>
    <col min="7936" max="7936" width="5.140625" style="2" customWidth="1"/>
    <col min="7937" max="7938" width="17.5703125" style="2" customWidth="1"/>
    <col min="7939" max="8182" width="9.140625" style="2"/>
    <col min="8183" max="8183" width="3.5703125" style="2" customWidth="1"/>
    <col min="8184" max="8184" width="96.85546875" style="2" customWidth="1"/>
    <col min="8185" max="8185" width="30.85546875" style="2" customWidth="1"/>
    <col min="8186" max="8186" width="12.5703125" style="2" customWidth="1"/>
    <col min="8187" max="8187" width="5.140625" style="2" customWidth="1"/>
    <col min="8188" max="8188" width="9.140625" style="2"/>
    <col min="8189" max="8189" width="4.85546875" style="2" customWidth="1"/>
    <col min="8190" max="8190" width="30.5703125" style="2" customWidth="1"/>
    <col min="8191" max="8191" width="33.85546875" style="2" customWidth="1"/>
    <col min="8192" max="8192" width="5.140625" style="2" customWidth="1"/>
    <col min="8193" max="8194" width="17.5703125" style="2" customWidth="1"/>
    <col min="8195" max="8438" width="9.140625" style="2"/>
    <col min="8439" max="8439" width="3.5703125" style="2" customWidth="1"/>
    <col min="8440" max="8440" width="96.85546875" style="2" customWidth="1"/>
    <col min="8441" max="8441" width="30.85546875" style="2" customWidth="1"/>
    <col min="8442" max="8442" width="12.5703125" style="2" customWidth="1"/>
    <col min="8443" max="8443" width="5.140625" style="2" customWidth="1"/>
    <col min="8444" max="8444" width="9.140625" style="2"/>
    <col min="8445" max="8445" width="4.85546875" style="2" customWidth="1"/>
    <col min="8446" max="8446" width="30.5703125" style="2" customWidth="1"/>
    <col min="8447" max="8447" width="33.85546875" style="2" customWidth="1"/>
    <col min="8448" max="8448" width="5.140625" style="2" customWidth="1"/>
    <col min="8449" max="8450" width="17.5703125" style="2" customWidth="1"/>
    <col min="8451" max="8694" width="9.140625" style="2"/>
    <col min="8695" max="8695" width="3.5703125" style="2" customWidth="1"/>
    <col min="8696" max="8696" width="96.85546875" style="2" customWidth="1"/>
    <col min="8697" max="8697" width="30.85546875" style="2" customWidth="1"/>
    <col min="8698" max="8698" width="12.5703125" style="2" customWidth="1"/>
    <col min="8699" max="8699" width="5.140625" style="2" customWidth="1"/>
    <col min="8700" max="8700" width="9.140625" style="2"/>
    <col min="8701" max="8701" width="4.85546875" style="2" customWidth="1"/>
    <col min="8702" max="8702" width="30.5703125" style="2" customWidth="1"/>
    <col min="8703" max="8703" width="33.85546875" style="2" customWidth="1"/>
    <col min="8704" max="8704" width="5.140625" style="2" customWidth="1"/>
    <col min="8705" max="8706" width="17.5703125" style="2" customWidth="1"/>
    <col min="8707" max="8950" width="9.140625" style="2"/>
    <col min="8951" max="8951" width="3.5703125" style="2" customWidth="1"/>
    <col min="8952" max="8952" width="96.85546875" style="2" customWidth="1"/>
    <col min="8953" max="8953" width="30.85546875" style="2" customWidth="1"/>
    <col min="8954" max="8954" width="12.5703125" style="2" customWidth="1"/>
    <col min="8955" max="8955" width="5.140625" style="2" customWidth="1"/>
    <col min="8956" max="8956" width="9.140625" style="2"/>
    <col min="8957" max="8957" width="4.85546875" style="2" customWidth="1"/>
    <col min="8958" max="8958" width="30.5703125" style="2" customWidth="1"/>
    <col min="8959" max="8959" width="33.85546875" style="2" customWidth="1"/>
    <col min="8960" max="8960" width="5.140625" style="2" customWidth="1"/>
    <col min="8961" max="8962" width="17.5703125" style="2" customWidth="1"/>
    <col min="8963" max="9206" width="9.140625" style="2"/>
    <col min="9207" max="9207" width="3.5703125" style="2" customWidth="1"/>
    <col min="9208" max="9208" width="96.85546875" style="2" customWidth="1"/>
    <col min="9209" max="9209" width="30.85546875" style="2" customWidth="1"/>
    <col min="9210" max="9210" width="12.5703125" style="2" customWidth="1"/>
    <col min="9211" max="9211" width="5.140625" style="2" customWidth="1"/>
    <col min="9212" max="9212" width="9.140625" style="2"/>
    <col min="9213" max="9213" width="4.85546875" style="2" customWidth="1"/>
    <col min="9214" max="9214" width="30.5703125" style="2" customWidth="1"/>
    <col min="9215" max="9215" width="33.85546875" style="2" customWidth="1"/>
    <col min="9216" max="9216" width="5.140625" style="2" customWidth="1"/>
    <col min="9217" max="9218" width="17.5703125" style="2" customWidth="1"/>
    <col min="9219" max="9462" width="9.140625" style="2"/>
    <col min="9463" max="9463" width="3.5703125" style="2" customWidth="1"/>
    <col min="9464" max="9464" width="96.85546875" style="2" customWidth="1"/>
    <col min="9465" max="9465" width="30.85546875" style="2" customWidth="1"/>
    <col min="9466" max="9466" width="12.5703125" style="2" customWidth="1"/>
    <col min="9467" max="9467" width="5.140625" style="2" customWidth="1"/>
    <col min="9468" max="9468" width="9.140625" style="2"/>
    <col min="9469" max="9469" width="4.85546875" style="2" customWidth="1"/>
    <col min="9470" max="9470" width="30.5703125" style="2" customWidth="1"/>
    <col min="9471" max="9471" width="33.85546875" style="2" customWidth="1"/>
    <col min="9472" max="9472" width="5.140625" style="2" customWidth="1"/>
    <col min="9473" max="9474" width="17.5703125" style="2" customWidth="1"/>
    <col min="9475" max="9718" width="9.140625" style="2"/>
    <col min="9719" max="9719" width="3.5703125" style="2" customWidth="1"/>
    <col min="9720" max="9720" width="96.85546875" style="2" customWidth="1"/>
    <col min="9721" max="9721" width="30.85546875" style="2" customWidth="1"/>
    <col min="9722" max="9722" width="12.5703125" style="2" customWidth="1"/>
    <col min="9723" max="9723" width="5.140625" style="2" customWidth="1"/>
    <col min="9724" max="9724" width="9.140625" style="2"/>
    <col min="9725" max="9725" width="4.85546875" style="2" customWidth="1"/>
    <col min="9726" max="9726" width="30.5703125" style="2" customWidth="1"/>
    <col min="9727" max="9727" width="33.85546875" style="2" customWidth="1"/>
    <col min="9728" max="9728" width="5.140625" style="2" customWidth="1"/>
    <col min="9729" max="9730" width="17.5703125" style="2" customWidth="1"/>
    <col min="9731" max="9974" width="9.140625" style="2"/>
    <col min="9975" max="9975" width="3.5703125" style="2" customWidth="1"/>
    <col min="9976" max="9976" width="96.85546875" style="2" customWidth="1"/>
    <col min="9977" max="9977" width="30.85546875" style="2" customWidth="1"/>
    <col min="9978" max="9978" width="12.5703125" style="2" customWidth="1"/>
    <col min="9979" max="9979" width="5.140625" style="2" customWidth="1"/>
    <col min="9980" max="9980" width="9.140625" style="2"/>
    <col min="9981" max="9981" width="4.85546875" style="2" customWidth="1"/>
    <col min="9982" max="9982" width="30.5703125" style="2" customWidth="1"/>
    <col min="9983" max="9983" width="33.85546875" style="2" customWidth="1"/>
    <col min="9984" max="9984" width="5.140625" style="2" customWidth="1"/>
    <col min="9985" max="9986" width="17.5703125" style="2" customWidth="1"/>
    <col min="9987" max="10230" width="9.140625" style="2"/>
    <col min="10231" max="10231" width="3.5703125" style="2" customWidth="1"/>
    <col min="10232" max="10232" width="96.85546875" style="2" customWidth="1"/>
    <col min="10233" max="10233" width="30.85546875" style="2" customWidth="1"/>
    <col min="10234" max="10234" width="12.5703125" style="2" customWidth="1"/>
    <col min="10235" max="10235" width="5.140625" style="2" customWidth="1"/>
    <col min="10236" max="10236" width="9.140625" style="2"/>
    <col min="10237" max="10237" width="4.85546875" style="2" customWidth="1"/>
    <col min="10238" max="10238" width="30.5703125" style="2" customWidth="1"/>
    <col min="10239" max="10239" width="33.85546875" style="2" customWidth="1"/>
    <col min="10240" max="10240" width="5.140625" style="2" customWidth="1"/>
    <col min="10241" max="10242" width="17.5703125" style="2" customWidth="1"/>
    <col min="10243" max="10486" width="9.140625" style="2"/>
    <col min="10487" max="10487" width="3.5703125" style="2" customWidth="1"/>
    <col min="10488" max="10488" width="96.85546875" style="2" customWidth="1"/>
    <col min="10489" max="10489" width="30.85546875" style="2" customWidth="1"/>
    <col min="10490" max="10490" width="12.5703125" style="2" customWidth="1"/>
    <col min="10491" max="10491" width="5.140625" style="2" customWidth="1"/>
    <col min="10492" max="10492" width="9.140625" style="2"/>
    <col min="10493" max="10493" width="4.85546875" style="2" customWidth="1"/>
    <col min="10494" max="10494" width="30.5703125" style="2" customWidth="1"/>
    <col min="10495" max="10495" width="33.85546875" style="2" customWidth="1"/>
    <col min="10496" max="10496" width="5.140625" style="2" customWidth="1"/>
    <col min="10497" max="10498" width="17.5703125" style="2" customWidth="1"/>
    <col min="10499" max="10742" width="9.140625" style="2"/>
    <col min="10743" max="10743" width="3.5703125" style="2" customWidth="1"/>
    <col min="10744" max="10744" width="96.85546875" style="2" customWidth="1"/>
    <col min="10745" max="10745" width="30.85546875" style="2" customWidth="1"/>
    <col min="10746" max="10746" width="12.5703125" style="2" customWidth="1"/>
    <col min="10747" max="10747" width="5.140625" style="2" customWidth="1"/>
    <col min="10748" max="10748" width="9.140625" style="2"/>
    <col min="10749" max="10749" width="4.85546875" style="2" customWidth="1"/>
    <col min="10750" max="10750" width="30.5703125" style="2" customWidth="1"/>
    <col min="10751" max="10751" width="33.85546875" style="2" customWidth="1"/>
    <col min="10752" max="10752" width="5.140625" style="2" customWidth="1"/>
    <col min="10753" max="10754" width="17.5703125" style="2" customWidth="1"/>
    <col min="10755" max="10998" width="9.140625" style="2"/>
    <col min="10999" max="10999" width="3.5703125" style="2" customWidth="1"/>
    <col min="11000" max="11000" width="96.85546875" style="2" customWidth="1"/>
    <col min="11001" max="11001" width="30.85546875" style="2" customWidth="1"/>
    <col min="11002" max="11002" width="12.5703125" style="2" customWidth="1"/>
    <col min="11003" max="11003" width="5.140625" style="2" customWidth="1"/>
    <col min="11004" max="11004" width="9.140625" style="2"/>
    <col min="11005" max="11005" width="4.85546875" style="2" customWidth="1"/>
    <col min="11006" max="11006" width="30.5703125" style="2" customWidth="1"/>
    <col min="11007" max="11007" width="33.85546875" style="2" customWidth="1"/>
    <col min="11008" max="11008" width="5.140625" style="2" customWidth="1"/>
    <col min="11009" max="11010" width="17.5703125" style="2" customWidth="1"/>
    <col min="11011" max="11254" width="9.140625" style="2"/>
    <col min="11255" max="11255" width="3.5703125" style="2" customWidth="1"/>
    <col min="11256" max="11256" width="96.85546875" style="2" customWidth="1"/>
    <col min="11257" max="11257" width="30.85546875" style="2" customWidth="1"/>
    <col min="11258" max="11258" width="12.5703125" style="2" customWidth="1"/>
    <col min="11259" max="11259" width="5.140625" style="2" customWidth="1"/>
    <col min="11260" max="11260" width="9.140625" style="2"/>
    <col min="11261" max="11261" width="4.85546875" style="2" customWidth="1"/>
    <col min="11262" max="11262" width="30.5703125" style="2" customWidth="1"/>
    <col min="11263" max="11263" width="33.85546875" style="2" customWidth="1"/>
    <col min="11264" max="11264" width="5.140625" style="2" customWidth="1"/>
    <col min="11265" max="11266" width="17.5703125" style="2" customWidth="1"/>
    <col min="11267" max="11510" width="9.140625" style="2"/>
    <col min="11511" max="11511" width="3.5703125" style="2" customWidth="1"/>
    <col min="11512" max="11512" width="96.85546875" style="2" customWidth="1"/>
    <col min="11513" max="11513" width="30.85546875" style="2" customWidth="1"/>
    <col min="11514" max="11514" width="12.5703125" style="2" customWidth="1"/>
    <col min="11515" max="11515" width="5.140625" style="2" customWidth="1"/>
    <col min="11516" max="11516" width="9.140625" style="2"/>
    <col min="11517" max="11517" width="4.85546875" style="2" customWidth="1"/>
    <col min="11518" max="11518" width="30.5703125" style="2" customWidth="1"/>
    <col min="11519" max="11519" width="33.85546875" style="2" customWidth="1"/>
    <col min="11520" max="11520" width="5.140625" style="2" customWidth="1"/>
    <col min="11521" max="11522" width="17.5703125" style="2" customWidth="1"/>
    <col min="11523" max="11766" width="9.140625" style="2"/>
    <col min="11767" max="11767" width="3.5703125" style="2" customWidth="1"/>
    <col min="11768" max="11768" width="96.85546875" style="2" customWidth="1"/>
    <col min="11769" max="11769" width="30.85546875" style="2" customWidth="1"/>
    <col min="11770" max="11770" width="12.5703125" style="2" customWidth="1"/>
    <col min="11771" max="11771" width="5.140625" style="2" customWidth="1"/>
    <col min="11772" max="11772" width="9.140625" style="2"/>
    <col min="11773" max="11773" width="4.85546875" style="2" customWidth="1"/>
    <col min="11774" max="11774" width="30.5703125" style="2" customWidth="1"/>
    <col min="11775" max="11775" width="33.85546875" style="2" customWidth="1"/>
    <col min="11776" max="11776" width="5.140625" style="2" customWidth="1"/>
    <col min="11777" max="11778" width="17.5703125" style="2" customWidth="1"/>
    <col min="11779" max="12022" width="9.140625" style="2"/>
    <col min="12023" max="12023" width="3.5703125" style="2" customWidth="1"/>
    <col min="12024" max="12024" width="96.85546875" style="2" customWidth="1"/>
    <col min="12025" max="12025" width="30.85546875" style="2" customWidth="1"/>
    <col min="12026" max="12026" width="12.5703125" style="2" customWidth="1"/>
    <col min="12027" max="12027" width="5.140625" style="2" customWidth="1"/>
    <col min="12028" max="12028" width="9.140625" style="2"/>
    <col min="12029" max="12029" width="4.85546875" style="2" customWidth="1"/>
    <col min="12030" max="12030" width="30.5703125" style="2" customWidth="1"/>
    <col min="12031" max="12031" width="33.85546875" style="2" customWidth="1"/>
    <col min="12032" max="12032" width="5.140625" style="2" customWidth="1"/>
    <col min="12033" max="12034" width="17.5703125" style="2" customWidth="1"/>
    <col min="12035" max="12278" width="9.140625" style="2"/>
    <col min="12279" max="12279" width="3.5703125" style="2" customWidth="1"/>
    <col min="12280" max="12280" width="96.85546875" style="2" customWidth="1"/>
    <col min="12281" max="12281" width="30.85546875" style="2" customWidth="1"/>
    <col min="12282" max="12282" width="12.5703125" style="2" customWidth="1"/>
    <col min="12283" max="12283" width="5.140625" style="2" customWidth="1"/>
    <col min="12284" max="12284" width="9.140625" style="2"/>
    <col min="12285" max="12285" width="4.85546875" style="2" customWidth="1"/>
    <col min="12286" max="12286" width="30.5703125" style="2" customWidth="1"/>
    <col min="12287" max="12287" width="33.85546875" style="2" customWidth="1"/>
    <col min="12288" max="12288" width="5.140625" style="2" customWidth="1"/>
    <col min="12289" max="12290" width="17.5703125" style="2" customWidth="1"/>
    <col min="12291" max="12534" width="9.140625" style="2"/>
    <col min="12535" max="12535" width="3.5703125" style="2" customWidth="1"/>
    <col min="12536" max="12536" width="96.85546875" style="2" customWidth="1"/>
    <col min="12537" max="12537" width="30.85546875" style="2" customWidth="1"/>
    <col min="12538" max="12538" width="12.5703125" style="2" customWidth="1"/>
    <col min="12539" max="12539" width="5.140625" style="2" customWidth="1"/>
    <col min="12540" max="12540" width="9.140625" style="2"/>
    <col min="12541" max="12541" width="4.85546875" style="2" customWidth="1"/>
    <col min="12542" max="12542" width="30.5703125" style="2" customWidth="1"/>
    <col min="12543" max="12543" width="33.85546875" style="2" customWidth="1"/>
    <col min="12544" max="12544" width="5.140625" style="2" customWidth="1"/>
    <col min="12545" max="12546" width="17.5703125" style="2" customWidth="1"/>
    <col min="12547" max="12790" width="9.140625" style="2"/>
    <col min="12791" max="12791" width="3.5703125" style="2" customWidth="1"/>
    <col min="12792" max="12792" width="96.85546875" style="2" customWidth="1"/>
    <col min="12793" max="12793" width="30.85546875" style="2" customWidth="1"/>
    <col min="12794" max="12794" width="12.5703125" style="2" customWidth="1"/>
    <col min="12795" max="12795" width="5.140625" style="2" customWidth="1"/>
    <col min="12796" max="12796" width="9.140625" style="2"/>
    <col min="12797" max="12797" width="4.85546875" style="2" customWidth="1"/>
    <col min="12798" max="12798" width="30.5703125" style="2" customWidth="1"/>
    <col min="12799" max="12799" width="33.85546875" style="2" customWidth="1"/>
    <col min="12800" max="12800" width="5.140625" style="2" customWidth="1"/>
    <col min="12801" max="12802" width="17.5703125" style="2" customWidth="1"/>
    <col min="12803" max="13046" width="9.140625" style="2"/>
    <col min="13047" max="13047" width="3.5703125" style="2" customWidth="1"/>
    <col min="13048" max="13048" width="96.85546875" style="2" customWidth="1"/>
    <col min="13049" max="13049" width="30.85546875" style="2" customWidth="1"/>
    <col min="13050" max="13050" width="12.5703125" style="2" customWidth="1"/>
    <col min="13051" max="13051" width="5.140625" style="2" customWidth="1"/>
    <col min="13052" max="13052" width="9.140625" style="2"/>
    <col min="13053" max="13053" width="4.85546875" style="2" customWidth="1"/>
    <col min="13054" max="13054" width="30.5703125" style="2" customWidth="1"/>
    <col min="13055" max="13055" width="33.85546875" style="2" customWidth="1"/>
    <col min="13056" max="13056" width="5.140625" style="2" customWidth="1"/>
    <col min="13057" max="13058" width="17.5703125" style="2" customWidth="1"/>
    <col min="13059" max="13302" width="9.140625" style="2"/>
    <col min="13303" max="13303" width="3.5703125" style="2" customWidth="1"/>
    <col min="13304" max="13304" width="96.85546875" style="2" customWidth="1"/>
    <col min="13305" max="13305" width="30.85546875" style="2" customWidth="1"/>
    <col min="13306" max="13306" width="12.5703125" style="2" customWidth="1"/>
    <col min="13307" max="13307" width="5.140625" style="2" customWidth="1"/>
    <col min="13308" max="13308" width="9.140625" style="2"/>
    <col min="13309" max="13309" width="4.85546875" style="2" customWidth="1"/>
    <col min="13310" max="13310" width="30.5703125" style="2" customWidth="1"/>
    <col min="13311" max="13311" width="33.85546875" style="2" customWidth="1"/>
    <col min="13312" max="13312" width="5.140625" style="2" customWidth="1"/>
    <col min="13313" max="13314" width="17.5703125" style="2" customWidth="1"/>
    <col min="13315" max="13558" width="9.140625" style="2"/>
    <col min="13559" max="13559" width="3.5703125" style="2" customWidth="1"/>
    <col min="13560" max="13560" width="96.85546875" style="2" customWidth="1"/>
    <col min="13561" max="13561" width="30.85546875" style="2" customWidth="1"/>
    <col min="13562" max="13562" width="12.5703125" style="2" customWidth="1"/>
    <col min="13563" max="13563" width="5.140625" style="2" customWidth="1"/>
    <col min="13564" max="13564" width="9.140625" style="2"/>
    <col min="13565" max="13565" width="4.85546875" style="2" customWidth="1"/>
    <col min="13566" max="13566" width="30.5703125" style="2" customWidth="1"/>
    <col min="13567" max="13567" width="33.85546875" style="2" customWidth="1"/>
    <col min="13568" max="13568" width="5.140625" style="2" customWidth="1"/>
    <col min="13569" max="13570" width="17.5703125" style="2" customWidth="1"/>
    <col min="13571" max="13814" width="9.140625" style="2"/>
    <col min="13815" max="13815" width="3.5703125" style="2" customWidth="1"/>
    <col min="13816" max="13816" width="96.85546875" style="2" customWidth="1"/>
    <col min="13817" max="13817" width="30.85546875" style="2" customWidth="1"/>
    <col min="13818" max="13818" width="12.5703125" style="2" customWidth="1"/>
    <col min="13819" max="13819" width="5.140625" style="2" customWidth="1"/>
    <col min="13820" max="13820" width="9.140625" style="2"/>
    <col min="13821" max="13821" width="4.85546875" style="2" customWidth="1"/>
    <col min="13822" max="13822" width="30.5703125" style="2" customWidth="1"/>
    <col min="13823" max="13823" width="33.85546875" style="2" customWidth="1"/>
    <col min="13824" max="13824" width="5.140625" style="2" customWidth="1"/>
    <col min="13825" max="13826" width="17.5703125" style="2" customWidth="1"/>
    <col min="13827" max="14070" width="9.140625" style="2"/>
    <col min="14071" max="14071" width="3.5703125" style="2" customWidth="1"/>
    <col min="14072" max="14072" width="96.85546875" style="2" customWidth="1"/>
    <col min="14073" max="14073" width="30.85546875" style="2" customWidth="1"/>
    <col min="14074" max="14074" width="12.5703125" style="2" customWidth="1"/>
    <col min="14075" max="14075" width="5.140625" style="2" customWidth="1"/>
    <col min="14076" max="14076" width="9.140625" style="2"/>
    <col min="14077" max="14077" width="4.85546875" style="2" customWidth="1"/>
    <col min="14078" max="14078" width="30.5703125" style="2" customWidth="1"/>
    <col min="14079" max="14079" width="33.85546875" style="2" customWidth="1"/>
    <col min="14080" max="14080" width="5.140625" style="2" customWidth="1"/>
    <col min="14081" max="14082" width="17.5703125" style="2" customWidth="1"/>
    <col min="14083" max="14326" width="9.140625" style="2"/>
    <col min="14327" max="14327" width="3.5703125" style="2" customWidth="1"/>
    <col min="14328" max="14328" width="96.85546875" style="2" customWidth="1"/>
    <col min="14329" max="14329" width="30.85546875" style="2" customWidth="1"/>
    <col min="14330" max="14330" width="12.5703125" style="2" customWidth="1"/>
    <col min="14331" max="14331" width="5.140625" style="2" customWidth="1"/>
    <col min="14332" max="14332" width="9.140625" style="2"/>
    <col min="14333" max="14333" width="4.85546875" style="2" customWidth="1"/>
    <col min="14334" max="14334" width="30.5703125" style="2" customWidth="1"/>
    <col min="14335" max="14335" width="33.85546875" style="2" customWidth="1"/>
    <col min="14336" max="14336" width="5.140625" style="2" customWidth="1"/>
    <col min="14337" max="14338" width="17.5703125" style="2" customWidth="1"/>
    <col min="14339" max="14582" width="9.140625" style="2"/>
    <col min="14583" max="14583" width="3.5703125" style="2" customWidth="1"/>
    <col min="14584" max="14584" width="96.85546875" style="2" customWidth="1"/>
    <col min="14585" max="14585" width="30.85546875" style="2" customWidth="1"/>
    <col min="14586" max="14586" width="12.5703125" style="2" customWidth="1"/>
    <col min="14587" max="14587" width="5.140625" style="2" customWidth="1"/>
    <col min="14588" max="14588" width="9.140625" style="2"/>
    <col min="14589" max="14589" width="4.85546875" style="2" customWidth="1"/>
    <col min="14590" max="14590" width="30.5703125" style="2" customWidth="1"/>
    <col min="14591" max="14591" width="33.85546875" style="2" customWidth="1"/>
    <col min="14592" max="14592" width="5.140625" style="2" customWidth="1"/>
    <col min="14593" max="14594" width="17.5703125" style="2" customWidth="1"/>
    <col min="14595" max="14838" width="9.140625" style="2"/>
    <col min="14839" max="14839" width="3.5703125" style="2" customWidth="1"/>
    <col min="14840" max="14840" width="96.85546875" style="2" customWidth="1"/>
    <col min="14841" max="14841" width="30.85546875" style="2" customWidth="1"/>
    <col min="14842" max="14842" width="12.5703125" style="2" customWidth="1"/>
    <col min="14843" max="14843" width="5.140625" style="2" customWidth="1"/>
    <col min="14844" max="14844" width="9.140625" style="2"/>
    <col min="14845" max="14845" width="4.85546875" style="2" customWidth="1"/>
    <col min="14846" max="14846" width="30.5703125" style="2" customWidth="1"/>
    <col min="14847" max="14847" width="33.85546875" style="2" customWidth="1"/>
    <col min="14848" max="14848" width="5.140625" style="2" customWidth="1"/>
    <col min="14849" max="14850" width="17.5703125" style="2" customWidth="1"/>
    <col min="14851" max="15094" width="9.140625" style="2"/>
    <col min="15095" max="15095" width="3.5703125" style="2" customWidth="1"/>
    <col min="15096" max="15096" width="96.85546875" style="2" customWidth="1"/>
    <col min="15097" max="15097" width="30.85546875" style="2" customWidth="1"/>
    <col min="15098" max="15098" width="12.5703125" style="2" customWidth="1"/>
    <col min="15099" max="15099" width="5.140625" style="2" customWidth="1"/>
    <col min="15100" max="15100" width="9.140625" style="2"/>
    <col min="15101" max="15101" width="4.85546875" style="2" customWidth="1"/>
    <col min="15102" max="15102" width="30.5703125" style="2" customWidth="1"/>
    <col min="15103" max="15103" width="33.85546875" style="2" customWidth="1"/>
    <col min="15104" max="15104" width="5.140625" style="2" customWidth="1"/>
    <col min="15105" max="15106" width="17.5703125" style="2" customWidth="1"/>
    <col min="15107" max="15350" width="9.140625" style="2"/>
    <col min="15351" max="15351" width="3.5703125" style="2" customWidth="1"/>
    <col min="15352" max="15352" width="96.85546875" style="2" customWidth="1"/>
    <col min="15353" max="15353" width="30.85546875" style="2" customWidth="1"/>
    <col min="15354" max="15354" width="12.5703125" style="2" customWidth="1"/>
    <col min="15355" max="15355" width="5.140625" style="2" customWidth="1"/>
    <col min="15356" max="15356" width="9.140625" style="2"/>
    <col min="15357" max="15357" width="4.85546875" style="2" customWidth="1"/>
    <col min="15358" max="15358" width="30.5703125" style="2" customWidth="1"/>
    <col min="15359" max="15359" width="33.85546875" style="2" customWidth="1"/>
    <col min="15360" max="15360" width="5.140625" style="2" customWidth="1"/>
    <col min="15361" max="15362" width="17.5703125" style="2" customWidth="1"/>
    <col min="15363" max="15606" width="9.140625" style="2"/>
    <col min="15607" max="15607" width="3.5703125" style="2" customWidth="1"/>
    <col min="15608" max="15608" width="96.85546875" style="2" customWidth="1"/>
    <col min="15609" max="15609" width="30.85546875" style="2" customWidth="1"/>
    <col min="15610" max="15610" width="12.5703125" style="2" customWidth="1"/>
    <col min="15611" max="15611" width="5.140625" style="2" customWidth="1"/>
    <col min="15612" max="15612" width="9.140625" style="2"/>
    <col min="15613" max="15613" width="4.85546875" style="2" customWidth="1"/>
    <col min="15614" max="15614" width="30.5703125" style="2" customWidth="1"/>
    <col min="15615" max="15615" width="33.85546875" style="2" customWidth="1"/>
    <col min="15616" max="15616" width="5.140625" style="2" customWidth="1"/>
    <col min="15617" max="15618" width="17.5703125" style="2" customWidth="1"/>
    <col min="15619" max="15862" width="9.140625" style="2"/>
    <col min="15863" max="15863" width="3.5703125" style="2" customWidth="1"/>
    <col min="15864" max="15864" width="96.85546875" style="2" customWidth="1"/>
    <col min="15865" max="15865" width="30.85546875" style="2" customWidth="1"/>
    <col min="15866" max="15866" width="12.5703125" style="2" customWidth="1"/>
    <col min="15867" max="15867" width="5.140625" style="2" customWidth="1"/>
    <col min="15868" max="15868" width="9.140625" style="2"/>
    <col min="15869" max="15869" width="4.85546875" style="2" customWidth="1"/>
    <col min="15870" max="15870" width="30.5703125" style="2" customWidth="1"/>
    <col min="15871" max="15871" width="33.85546875" style="2" customWidth="1"/>
    <col min="15872" max="15872" width="5.140625" style="2" customWidth="1"/>
    <col min="15873" max="15874" width="17.5703125" style="2" customWidth="1"/>
    <col min="15875" max="16118" width="9.140625" style="2"/>
    <col min="16119" max="16119" width="3.5703125" style="2" customWidth="1"/>
    <col min="16120" max="16120" width="96.85546875" style="2" customWidth="1"/>
    <col min="16121" max="16121" width="30.85546875" style="2" customWidth="1"/>
    <col min="16122" max="16122" width="12.5703125" style="2" customWidth="1"/>
    <col min="16123" max="16123" width="5.140625" style="2" customWidth="1"/>
    <col min="16124" max="16124" width="9.140625" style="2"/>
    <col min="16125" max="16125" width="4.85546875" style="2" customWidth="1"/>
    <col min="16126" max="16126" width="30.5703125" style="2" customWidth="1"/>
    <col min="16127" max="16127" width="33.85546875" style="2" customWidth="1"/>
    <col min="16128" max="16128" width="5.140625" style="2" customWidth="1"/>
    <col min="16129" max="16130" width="17.5703125" style="2" customWidth="1"/>
    <col min="16131" max="16384" width="9.140625" style="2"/>
  </cols>
  <sheetData>
    <row r="1" spans="1:3" ht="48" customHeight="1" x14ac:dyDescent="0.2">
      <c r="A1" s="1"/>
      <c r="B1" s="143" t="s">
        <v>0</v>
      </c>
      <c r="C1" s="143"/>
    </row>
    <row r="2" spans="1:3" x14ac:dyDescent="0.2">
      <c r="A2" s="3"/>
      <c r="B2" s="4" t="s">
        <v>1</v>
      </c>
      <c r="C2" s="5">
        <v>46052</v>
      </c>
    </row>
    <row r="3" spans="1:3" x14ac:dyDescent="0.2">
      <c r="A3" s="3"/>
      <c r="B3" s="6" t="s">
        <v>2</v>
      </c>
    </row>
    <row r="4" spans="1:3" ht="25.5" x14ac:dyDescent="0.2">
      <c r="A4" s="8"/>
      <c r="B4" s="9" t="str">
        <f>[1]И1!D13</f>
        <v>Субъект Российской Федерации</v>
      </c>
      <c r="C4" s="10" t="str">
        <f>[1]И1!E13</f>
        <v>Новосибирская область</v>
      </c>
    </row>
    <row r="5" spans="1:3" ht="51.75" customHeight="1" x14ac:dyDescent="0.2">
      <c r="A5" s="8"/>
      <c r="B5" s="9" t="str">
        <f>[1]И1!D14</f>
        <v>Тип муниципального образования (выберите из списка)</v>
      </c>
      <c r="C5" s="10" t="str">
        <f>[2]И1!E14</f>
        <v xml:space="preserve">деревня Бурмистрово, Искитимский муниципальный район </v>
      </c>
    </row>
    <row r="6" spans="1:3" x14ac:dyDescent="0.2">
      <c r="A6" s="8"/>
      <c r="B6" s="9" t="str">
        <f>IF([1]И1!E15="","",[1]И1!D15)</f>
        <v/>
      </c>
      <c r="C6" s="10">
        <f>IF([1]И1!E15="","",[1]И1!E15)</f>
        <v>0</v>
      </c>
    </row>
    <row r="7" spans="1:3" x14ac:dyDescent="0.2">
      <c r="A7" s="8"/>
      <c r="B7" s="9" t="str">
        <f>[1]И1!D16</f>
        <v>Код ОКТМО</v>
      </c>
      <c r="C7" s="11" t="str">
        <f>[2]И1!E16</f>
        <v>(50615401101)</v>
      </c>
    </row>
    <row r="8" spans="1:3" x14ac:dyDescent="0.2">
      <c r="A8" s="8"/>
      <c r="B8" s="12" t="str">
        <f>[1]И1!D17</f>
        <v>Система теплоснабжения</v>
      </c>
      <c r="C8" s="13">
        <f>[1]И1!E17</f>
        <v>0</v>
      </c>
    </row>
    <row r="9" spans="1:3" x14ac:dyDescent="0.2">
      <c r="A9" s="8"/>
      <c r="B9" s="9" t="str">
        <f>[1]И1!D8</f>
        <v>Период регулирования (i)-й</v>
      </c>
      <c r="C9" s="14">
        <f>[1]И1!E8</f>
        <v>2026</v>
      </c>
    </row>
    <row r="10" spans="1:3" x14ac:dyDescent="0.2">
      <c r="A10" s="8"/>
      <c r="B10" s="9" t="str">
        <f>[1]И1!D9</f>
        <v>Период регулирования (i-1)-й</v>
      </c>
      <c r="C10" s="14">
        <f>[1]И1!E9</f>
        <v>2025</v>
      </c>
    </row>
    <row r="11" spans="1:3" x14ac:dyDescent="0.2">
      <c r="A11" s="8"/>
      <c r="B11" s="9" t="str">
        <f>[1]И1!D10</f>
        <v>Период регулирования (i-2)-й</v>
      </c>
      <c r="C11" s="14">
        <f>[1]И1!E10</f>
        <v>2024</v>
      </c>
    </row>
    <row r="12" spans="1:3" x14ac:dyDescent="0.2">
      <c r="A12" s="8"/>
      <c r="B12" s="9" t="str">
        <f>[1]И1!D11</f>
        <v>Базовый год (б)</v>
      </c>
      <c r="C12" s="14">
        <f>[1]И1!E11</f>
        <v>2019</v>
      </c>
    </row>
    <row r="13" spans="1:3" x14ac:dyDescent="0.2">
      <c r="A13" s="8"/>
      <c r="B13" s="9" t="str">
        <f>[1]И1!D18</f>
        <v>Вид топлива, использование которого преобладает в системе теплоснабжения</v>
      </c>
      <c r="C13" s="15" t="str">
        <f>[1]С1.1!E13</f>
        <v>каменный уголь</v>
      </c>
    </row>
    <row r="14" spans="1:3" ht="31.7" customHeight="1" thickBot="1" x14ac:dyDescent="0.25">
      <c r="A14" s="142" t="s">
        <v>3</v>
      </c>
      <c r="B14" s="142"/>
      <c r="C14" s="142"/>
    </row>
    <row r="15" spans="1:3" x14ac:dyDescent="0.2">
      <c r="A15" s="16" t="s">
        <v>4</v>
      </c>
      <c r="B15" s="17" t="s">
        <v>5</v>
      </c>
      <c r="C15" s="18" t="s">
        <v>6</v>
      </c>
    </row>
    <row r="16" spans="1:3" x14ac:dyDescent="0.2">
      <c r="A16" s="19">
        <v>1</v>
      </c>
      <c r="B16" s="20">
        <v>2</v>
      </c>
      <c r="C16" s="21">
        <v>3</v>
      </c>
    </row>
    <row r="17" spans="1:3" x14ac:dyDescent="0.2">
      <c r="A17" s="22">
        <v>1</v>
      </c>
      <c r="B17" s="23" t="s">
        <v>7</v>
      </c>
      <c r="C17" s="24">
        <f>SUM(C18:C22)</f>
        <v>5768.4946474721546</v>
      </c>
    </row>
    <row r="18" spans="1:3" ht="42.75" x14ac:dyDescent="0.2">
      <c r="A18" s="22" t="s">
        <v>8</v>
      </c>
      <c r="B18" s="25" t="s">
        <v>9</v>
      </c>
      <c r="C18" s="26">
        <f>[1]С1!F12</f>
        <v>1072.1735839339653</v>
      </c>
    </row>
    <row r="19" spans="1:3" ht="42.75" x14ac:dyDescent="0.2">
      <c r="A19" s="22" t="s">
        <v>10</v>
      </c>
      <c r="B19" s="25" t="s">
        <v>11</v>
      </c>
      <c r="C19" s="26">
        <f>[1]С2!F12</f>
        <v>3097.7824122172187</v>
      </c>
    </row>
    <row r="20" spans="1:3" ht="30" x14ac:dyDescent="0.2">
      <c r="A20" s="22" t="s">
        <v>12</v>
      </c>
      <c r="B20" s="25" t="s">
        <v>13</v>
      </c>
      <c r="C20" s="26">
        <f>[1]С3!F12</f>
        <v>940.47266370947932</v>
      </c>
    </row>
    <row r="21" spans="1:3" ht="42.75" x14ac:dyDescent="0.2">
      <c r="A21" s="22" t="s">
        <v>14</v>
      </c>
      <c r="B21" s="25" t="s">
        <v>15</v>
      </c>
      <c r="C21" s="26">
        <f>[1]С4!F12</f>
        <v>544.95824942576314</v>
      </c>
    </row>
    <row r="22" spans="1:3" ht="30" x14ac:dyDescent="0.2">
      <c r="A22" s="22" t="s">
        <v>16</v>
      </c>
      <c r="B22" s="25" t="s">
        <v>17</v>
      </c>
      <c r="C22" s="26">
        <f>[1]С5!F12</f>
        <v>113.10773818572852</v>
      </c>
    </row>
    <row r="23" spans="1:3" ht="43.5" thickBot="1" x14ac:dyDescent="0.25">
      <c r="A23" s="27" t="s">
        <v>18</v>
      </c>
      <c r="B23" s="140" t="s">
        <v>19</v>
      </c>
      <c r="C23" s="28" t="str">
        <f>[1]С6!F12</f>
        <v>-</v>
      </c>
    </row>
    <row r="24" spans="1:3" ht="13.5" thickBot="1" x14ac:dyDescent="0.25">
      <c r="A24" s="3"/>
    </row>
    <row r="25" spans="1:3" x14ac:dyDescent="0.2">
      <c r="A25" s="16" t="s">
        <v>4</v>
      </c>
      <c r="B25" s="29" t="s">
        <v>5</v>
      </c>
      <c r="C25" s="30" t="s">
        <v>6</v>
      </c>
    </row>
    <row r="26" spans="1:3" x14ac:dyDescent="0.2">
      <c r="A26" s="19">
        <v>1</v>
      </c>
      <c r="B26" s="31">
        <v>2</v>
      </c>
      <c r="C26" s="32">
        <v>3</v>
      </c>
    </row>
    <row r="27" spans="1:3" ht="39.75" customHeight="1" x14ac:dyDescent="0.2">
      <c r="A27" s="22">
        <v>1</v>
      </c>
      <c r="B27" s="144" t="s">
        <v>20</v>
      </c>
      <c r="C27" s="144"/>
    </row>
    <row r="28" spans="1:3" ht="128.25" customHeight="1" x14ac:dyDescent="0.2">
      <c r="A28" s="22" t="s">
        <v>8</v>
      </c>
      <c r="B28" s="33" t="s">
        <v>21</v>
      </c>
      <c r="C28" s="34">
        <f>[1]С1.1!E16</f>
        <v>5100</v>
      </c>
    </row>
    <row r="29" spans="1:3" ht="57.75" customHeight="1" x14ac:dyDescent="0.2">
      <c r="A29" s="22" t="s">
        <v>10</v>
      </c>
      <c r="B29" s="33" t="s">
        <v>22</v>
      </c>
      <c r="C29" s="34">
        <f>[1]С1.1!E27</f>
        <v>4611.09</v>
      </c>
    </row>
    <row r="30" spans="1:3" ht="261.75" customHeight="1" x14ac:dyDescent="0.2">
      <c r="A30" s="22" t="s">
        <v>12</v>
      </c>
      <c r="B30" s="33" t="s">
        <v>23</v>
      </c>
      <c r="C30" s="35">
        <f>[1]С1.1!E19</f>
        <v>-0.11899999999999999</v>
      </c>
    </row>
    <row r="31" spans="1:3" ht="17.25" x14ac:dyDescent="0.2">
      <c r="A31" s="22" t="s">
        <v>14</v>
      </c>
      <c r="B31" s="33" t="s">
        <v>24</v>
      </c>
      <c r="C31" s="35">
        <f>[1]С1.1!E20</f>
        <v>4.0000000000000001E-3</v>
      </c>
    </row>
    <row r="32" spans="1:3" ht="30" x14ac:dyDescent="0.2">
      <c r="A32" s="22" t="s">
        <v>16</v>
      </c>
      <c r="B32" s="36" t="s">
        <v>25</v>
      </c>
      <c r="C32" s="37">
        <f>[1]С1!F13</f>
        <v>176.4</v>
      </c>
    </row>
    <row r="33" spans="1:3" x14ac:dyDescent="0.2">
      <c r="A33" s="22" t="s">
        <v>18</v>
      </c>
      <c r="B33" s="36" t="s">
        <v>26</v>
      </c>
      <c r="C33" s="38">
        <f>[1]С1!F16</f>
        <v>7000</v>
      </c>
    </row>
    <row r="34" spans="1:3" ht="14.25" x14ac:dyDescent="0.2">
      <c r="A34" s="22" t="s">
        <v>27</v>
      </c>
      <c r="B34" s="39" t="s">
        <v>28</v>
      </c>
      <c r="C34" s="40">
        <f>[1]С1!F17</f>
        <v>0.72857142857142854</v>
      </c>
    </row>
    <row r="35" spans="1:3" ht="15.75" x14ac:dyDescent="0.2">
      <c r="A35" s="41" t="s">
        <v>29</v>
      </c>
      <c r="B35" s="42" t="s">
        <v>30</v>
      </c>
      <c r="C35" s="40">
        <f>[1]С1!F20</f>
        <v>21.588411179999994</v>
      </c>
    </row>
    <row r="36" spans="1:3" ht="15.75" x14ac:dyDescent="0.2">
      <c r="A36" s="41" t="s">
        <v>31</v>
      </c>
      <c r="B36" s="43" t="s">
        <v>32</v>
      </c>
      <c r="C36" s="40">
        <f>[1]С1!F21</f>
        <v>20.818139999999996</v>
      </c>
    </row>
    <row r="37" spans="1:3" ht="14.25" x14ac:dyDescent="0.2">
      <c r="A37" s="41" t="s">
        <v>33</v>
      </c>
      <c r="B37" s="44" t="s">
        <v>34</v>
      </c>
      <c r="C37" s="40">
        <f>[1]С1!F22</f>
        <v>1.0369999999999999</v>
      </c>
    </row>
    <row r="38" spans="1:3" ht="53.25" thickBot="1" x14ac:dyDescent="0.25">
      <c r="A38" s="27" t="s">
        <v>35</v>
      </c>
      <c r="B38" s="45" t="s">
        <v>36</v>
      </c>
      <c r="C38" s="46">
        <f>[1]С1!F23</f>
        <v>1.0469999999999999</v>
      </c>
    </row>
    <row r="39" spans="1:3" ht="13.5" thickBot="1" x14ac:dyDescent="0.25">
      <c r="A39" s="47"/>
      <c r="B39" s="48"/>
      <c r="C39" s="49"/>
    </row>
    <row r="40" spans="1:3" ht="30" customHeight="1" x14ac:dyDescent="0.2">
      <c r="A40" s="50" t="s">
        <v>37</v>
      </c>
      <c r="B40" s="145" t="s">
        <v>38</v>
      </c>
      <c r="C40" s="145"/>
    </row>
    <row r="41" spans="1:3" ht="25.5" x14ac:dyDescent="0.2">
      <c r="A41" s="22" t="s">
        <v>39</v>
      </c>
      <c r="B41" s="36" t="s">
        <v>40</v>
      </c>
      <c r="C41" s="51" t="str">
        <f>[1]С2.1!E12</f>
        <v>V</v>
      </c>
    </row>
    <row r="42" spans="1:3" ht="233.25" customHeight="1" x14ac:dyDescent="0.2">
      <c r="A42" s="22" t="s">
        <v>41</v>
      </c>
      <c r="B42" s="33" t="s">
        <v>42</v>
      </c>
      <c r="C42" s="51" t="str">
        <f>[1]С2.1!E13</f>
        <v>6 и менее баллов</v>
      </c>
    </row>
    <row r="43" spans="1:3" ht="144.75" customHeight="1" x14ac:dyDescent="0.2">
      <c r="A43" s="22" t="s">
        <v>43</v>
      </c>
      <c r="B43" s="33" t="s">
        <v>44</v>
      </c>
      <c r="C43" s="51" t="str">
        <f>[1]С2.1!E14</f>
        <v>от 200 до 500</v>
      </c>
    </row>
    <row r="44" spans="1:3" ht="25.5" x14ac:dyDescent="0.2">
      <c r="A44" s="22" t="s">
        <v>45</v>
      </c>
      <c r="B44" s="33" t="s">
        <v>46</v>
      </c>
      <c r="C44" s="52" t="str">
        <f>[1]С2.1!E15</f>
        <v>нет</v>
      </c>
    </row>
    <row r="45" spans="1:3" ht="30" x14ac:dyDescent="0.2">
      <c r="A45" s="22" t="s">
        <v>47</v>
      </c>
      <c r="B45" s="33" t="s">
        <v>48</v>
      </c>
      <c r="C45" s="34">
        <f>[1]С2!F18</f>
        <v>40220.845230503684</v>
      </c>
    </row>
    <row r="46" spans="1:3" ht="30" x14ac:dyDescent="0.2">
      <c r="A46" s="22" t="s">
        <v>49</v>
      </c>
      <c r="B46" s="53" t="s">
        <v>50</v>
      </c>
      <c r="C46" s="34">
        <f>IF([1]С2!F19&gt;0,[1]С2!F19,[1]С2!F20)</f>
        <v>23441.524932855718</v>
      </c>
    </row>
    <row r="47" spans="1:3" ht="46.5" customHeight="1" x14ac:dyDescent="0.2">
      <c r="A47" s="22" t="s">
        <v>51</v>
      </c>
      <c r="B47" s="54" t="s">
        <v>52</v>
      </c>
      <c r="C47" s="34">
        <f>[1]С2.1!E19</f>
        <v>-38</v>
      </c>
    </row>
    <row r="48" spans="1:3" ht="25.5" x14ac:dyDescent="0.2">
      <c r="A48" s="22" t="s">
        <v>53</v>
      </c>
      <c r="B48" s="54" t="s">
        <v>54</v>
      </c>
      <c r="C48" s="34" t="str">
        <f>[1]С2.1!E22</f>
        <v>нет</v>
      </c>
    </row>
    <row r="49" spans="1:3" ht="38.25" x14ac:dyDescent="0.2">
      <c r="A49" s="22" t="s">
        <v>55</v>
      </c>
      <c r="B49" s="55" t="s">
        <v>56</v>
      </c>
      <c r="C49" s="34">
        <f>[1]С2.2!E10</f>
        <v>1287</v>
      </c>
    </row>
    <row r="50" spans="1:3" ht="25.5" x14ac:dyDescent="0.2">
      <c r="A50" s="22" t="s">
        <v>57</v>
      </c>
      <c r="B50" s="56" t="s">
        <v>58</v>
      </c>
      <c r="C50" s="34">
        <f>[1]С2.2!E12</f>
        <v>5.97</v>
      </c>
    </row>
    <row r="51" spans="1:3" ht="52.5" x14ac:dyDescent="0.2">
      <c r="A51" s="22" t="s">
        <v>59</v>
      </c>
      <c r="B51" s="57" t="s">
        <v>60</v>
      </c>
      <c r="C51" s="34">
        <f>[1]С2.2!E13</f>
        <v>1</v>
      </c>
    </row>
    <row r="52" spans="1:3" ht="27.75" x14ac:dyDescent="0.2">
      <c r="A52" s="22" t="s">
        <v>61</v>
      </c>
      <c r="B52" s="56" t="s">
        <v>62</v>
      </c>
      <c r="C52" s="34">
        <f>[1]С2.2!E14</f>
        <v>12104</v>
      </c>
    </row>
    <row r="53" spans="1:3" ht="79.5" customHeight="1" x14ac:dyDescent="0.2">
      <c r="A53" s="22" t="s">
        <v>63</v>
      </c>
      <c r="B53" s="57" t="s">
        <v>64</v>
      </c>
      <c r="C53" s="35">
        <f>[1]С2.2!E15</f>
        <v>4.8000000000000001E-2</v>
      </c>
    </row>
    <row r="54" spans="1:3" x14ac:dyDescent="0.2">
      <c r="A54" s="22" t="s">
        <v>65</v>
      </c>
      <c r="B54" s="57" t="s">
        <v>66</v>
      </c>
      <c r="C54" s="34">
        <f>[1]С2.2!E16</f>
        <v>1</v>
      </c>
    </row>
    <row r="55" spans="1:3" ht="15.75" x14ac:dyDescent="0.2">
      <c r="A55" s="22" t="s">
        <v>67</v>
      </c>
      <c r="B55" s="58" t="s">
        <v>68</v>
      </c>
      <c r="C55" s="34">
        <f>[1]С2!F21</f>
        <v>1</v>
      </c>
    </row>
    <row r="56" spans="1:3" ht="30" x14ac:dyDescent="0.2">
      <c r="A56" s="59" t="s">
        <v>69</v>
      </c>
      <c r="B56" s="33" t="s">
        <v>70</v>
      </c>
      <c r="C56" s="34">
        <f>[1]С2!F13</f>
        <v>210571.60987470482</v>
      </c>
    </row>
    <row r="57" spans="1:3" ht="30" x14ac:dyDescent="0.2">
      <c r="A57" s="59" t="s">
        <v>71</v>
      </c>
      <c r="B57" s="58" t="s">
        <v>72</v>
      </c>
      <c r="C57" s="34">
        <f>[1]С2!F14</f>
        <v>113455</v>
      </c>
    </row>
    <row r="58" spans="1:3" ht="15.75" x14ac:dyDescent="0.2">
      <c r="A58" s="59" t="s">
        <v>73</v>
      </c>
      <c r="B58" s="60" t="s">
        <v>74</v>
      </c>
      <c r="C58" s="40">
        <f>[1]С2!F15</f>
        <v>1.071</v>
      </c>
    </row>
    <row r="59" spans="1:3" ht="15.75" x14ac:dyDescent="0.2">
      <c r="A59" s="59" t="s">
        <v>75</v>
      </c>
      <c r="B59" s="60" t="s">
        <v>76</v>
      </c>
      <c r="C59" s="40">
        <f>[1]С2!F16</f>
        <v>1</v>
      </c>
    </row>
    <row r="60" spans="1:3" ht="17.25" x14ac:dyDescent="0.2">
      <c r="A60" s="59" t="s">
        <v>77</v>
      </c>
      <c r="B60" s="58" t="s">
        <v>78</v>
      </c>
      <c r="C60" s="34">
        <f>[1]С2!F17</f>
        <v>1.01</v>
      </c>
    </row>
    <row r="61" spans="1:3" s="63" customFormat="1" ht="14.25" x14ac:dyDescent="0.2">
      <c r="A61" s="59" t="s">
        <v>79</v>
      </c>
      <c r="B61" s="61" t="s">
        <v>80</v>
      </c>
      <c r="C61" s="62">
        <f>[1]С2!F33</f>
        <v>10</v>
      </c>
    </row>
    <row r="62" spans="1:3" ht="30" x14ac:dyDescent="0.2">
      <c r="A62" s="59" t="s">
        <v>81</v>
      </c>
      <c r="B62" s="64" t="s">
        <v>82</v>
      </c>
      <c r="C62" s="34">
        <f>[1]С2!F26</f>
        <v>3185.880383940208</v>
      </c>
    </row>
    <row r="63" spans="1:3" ht="168" customHeight="1" x14ac:dyDescent="0.2">
      <c r="A63" s="59" t="s">
        <v>83</v>
      </c>
      <c r="B63" s="53" t="s">
        <v>84</v>
      </c>
      <c r="C63" s="34">
        <f>[1]С2!F27</f>
        <v>0.44209422600000003</v>
      </c>
    </row>
    <row r="64" spans="1:3" ht="17.25" x14ac:dyDescent="0.2">
      <c r="A64" s="59" t="s">
        <v>85</v>
      </c>
      <c r="B64" s="58" t="s">
        <v>86</v>
      </c>
      <c r="C64" s="62">
        <f>[1]С2!F28</f>
        <v>4200</v>
      </c>
    </row>
    <row r="65" spans="1:3" ht="42.75" x14ac:dyDescent="0.2">
      <c r="A65" s="59" t="s">
        <v>87</v>
      </c>
      <c r="B65" s="33" t="s">
        <v>88</v>
      </c>
      <c r="C65" s="34">
        <f>[1]С2!F22</f>
        <v>4298.6978080550834</v>
      </c>
    </row>
    <row r="66" spans="1:3" ht="30" x14ac:dyDescent="0.2">
      <c r="A66" s="59" t="s">
        <v>89</v>
      </c>
      <c r="B66" s="60" t="s">
        <v>90</v>
      </c>
      <c r="C66" s="34">
        <f>[1]С2!F23</f>
        <v>1990</v>
      </c>
    </row>
    <row r="67" spans="1:3" ht="30" x14ac:dyDescent="0.2">
      <c r="A67" s="59" t="s">
        <v>91</v>
      </c>
      <c r="B67" s="53" t="s">
        <v>92</v>
      </c>
      <c r="C67" s="34">
        <f>[1]С2.1!E27</f>
        <v>246.24401</v>
      </c>
    </row>
    <row r="68" spans="1:3" ht="73.5" customHeight="1" x14ac:dyDescent="0.2">
      <c r="A68" s="59" t="s">
        <v>93</v>
      </c>
      <c r="B68" s="65" t="s">
        <v>94</v>
      </c>
      <c r="C68" s="52" t="str">
        <f>[1]С2.3!E21</f>
        <v>Муниципальное унитарное предприятие города Куйбышева Куйбышевского района Новосибирской области "Горводоканал"</v>
      </c>
    </row>
    <row r="69" spans="1:3" ht="25.5" x14ac:dyDescent="0.2">
      <c r="A69" s="59" t="s">
        <v>95</v>
      </c>
      <c r="B69" s="66" t="s">
        <v>96</v>
      </c>
      <c r="C69" s="67">
        <f>[1]С2.3!E11</f>
        <v>9.89</v>
      </c>
    </row>
    <row r="70" spans="1:3" ht="25.5" x14ac:dyDescent="0.2">
      <c r="A70" s="59" t="s">
        <v>97</v>
      </c>
      <c r="B70" s="66" t="s">
        <v>98</v>
      </c>
      <c r="C70" s="62">
        <f>[1]С2.3!E13</f>
        <v>300</v>
      </c>
    </row>
    <row r="71" spans="1:3" ht="192.75" customHeight="1" x14ac:dyDescent="0.2">
      <c r="A71" s="59" t="s">
        <v>99</v>
      </c>
      <c r="B71" s="65" t="s">
        <v>100</v>
      </c>
      <c r="C71" s="68">
        <f>IF([1]С2.3!E22&gt;0,[1]С2.3!E22,[1]С2.3!E14)</f>
        <v>8809</v>
      </c>
    </row>
    <row r="72" spans="1:3" ht="192.75" customHeight="1" x14ac:dyDescent="0.2">
      <c r="A72" s="59" t="s">
        <v>101</v>
      </c>
      <c r="B72" s="65" t="s">
        <v>102</v>
      </c>
      <c r="C72" s="68">
        <f>IF([1]С2.3!E23&gt;0,[1]С2.3!E23,[1]С2.3!E15)</f>
        <v>530.41</v>
      </c>
    </row>
    <row r="73" spans="1:3" ht="30" x14ac:dyDescent="0.2">
      <c r="A73" s="59" t="s">
        <v>103</v>
      </c>
      <c r="B73" s="53" t="s">
        <v>104</v>
      </c>
      <c r="C73" s="34">
        <f>[1]С2.1!E28</f>
        <v>269.12432000000001</v>
      </c>
    </row>
    <row r="74" spans="1:3" ht="87" customHeight="1" x14ac:dyDescent="0.2">
      <c r="A74" s="59" t="s">
        <v>105</v>
      </c>
      <c r="B74" s="65" t="s">
        <v>106</v>
      </c>
      <c r="C74" s="52" t="str">
        <f>[1]С2.3!E25</f>
        <v>Муниципальное унитарное предприятие города Куйбышева Куйбышевского района Новосибирской области "Геострой"</v>
      </c>
    </row>
    <row r="75" spans="1:3" ht="25.5" x14ac:dyDescent="0.2">
      <c r="A75" s="59" t="s">
        <v>107</v>
      </c>
      <c r="B75" s="66" t="s">
        <v>108</v>
      </c>
      <c r="C75" s="67">
        <f>[1]С2.3!E12</f>
        <v>0.56000000000000005</v>
      </c>
    </row>
    <row r="76" spans="1:3" ht="25.5" x14ac:dyDescent="0.2">
      <c r="A76" s="59" t="s">
        <v>109</v>
      </c>
      <c r="B76" s="66" t="s">
        <v>98</v>
      </c>
      <c r="C76" s="62">
        <f>[1]С2.3!E13</f>
        <v>300</v>
      </c>
    </row>
    <row r="77" spans="1:3" ht="183" customHeight="1" x14ac:dyDescent="0.2">
      <c r="A77" s="59" t="s">
        <v>110</v>
      </c>
      <c r="B77" s="69" t="s">
        <v>111</v>
      </c>
      <c r="C77" s="68">
        <f>IF([1]С2.3!E26&gt;0,[1]С2.3!E26,[1]С2.3!E16)</f>
        <v>21397</v>
      </c>
    </row>
    <row r="78" spans="1:3" ht="186.75" customHeight="1" x14ac:dyDescent="0.2">
      <c r="A78" s="59" t="s">
        <v>112</v>
      </c>
      <c r="B78" s="69" t="s">
        <v>113</v>
      </c>
      <c r="C78" s="68">
        <f>IF([1]С2.3!E27&gt;0,[1]С2.3!E27,[1]С2.3!E17)</f>
        <v>857.14</v>
      </c>
    </row>
    <row r="79" spans="1:3" ht="17.25" x14ac:dyDescent="0.2">
      <c r="A79" s="59" t="s">
        <v>114</v>
      </c>
      <c r="B79" s="33" t="s">
        <v>115</v>
      </c>
      <c r="C79" s="35">
        <f>[1]С2!F29</f>
        <v>0.21369165990259753</v>
      </c>
    </row>
    <row r="80" spans="1:3" ht="30" x14ac:dyDescent="0.2">
      <c r="A80" s="59" t="s">
        <v>116</v>
      </c>
      <c r="B80" s="53" t="s">
        <v>117</v>
      </c>
      <c r="C80" s="70">
        <f>[1]С2!F30</f>
        <v>0.20047619047619047</v>
      </c>
    </row>
    <row r="81" spans="1:3" ht="17.25" x14ac:dyDescent="0.2">
      <c r="A81" s="59" t="s">
        <v>118</v>
      </c>
      <c r="B81" s="71" t="s">
        <v>119</v>
      </c>
      <c r="C81" s="35">
        <f>[1]С2!F31</f>
        <v>0.13880000000000001</v>
      </c>
    </row>
    <row r="82" spans="1:3" s="63" customFormat="1" ht="18" thickBot="1" x14ac:dyDescent="0.25">
      <c r="A82" s="72" t="s">
        <v>120</v>
      </c>
      <c r="B82" s="73" t="s">
        <v>121</v>
      </c>
      <c r="C82" s="74">
        <f>[1]С2!F32</f>
        <v>0.12640000000000001</v>
      </c>
    </row>
    <row r="83" spans="1:3" ht="13.5" thickBot="1" x14ac:dyDescent="0.25">
      <c r="A83" s="47"/>
      <c r="B83" s="75"/>
      <c r="C83" s="15"/>
    </row>
    <row r="84" spans="1:3" s="63" customFormat="1" ht="30" customHeight="1" x14ac:dyDescent="0.2">
      <c r="A84" s="76" t="s">
        <v>122</v>
      </c>
      <c r="B84" s="145" t="s">
        <v>123</v>
      </c>
      <c r="C84" s="145"/>
    </row>
    <row r="85" spans="1:3" s="63" customFormat="1" ht="30" x14ac:dyDescent="0.2">
      <c r="A85" s="77" t="s">
        <v>124</v>
      </c>
      <c r="B85" s="33" t="s">
        <v>125</v>
      </c>
      <c r="C85" s="34">
        <f>[1]С3!F14</f>
        <v>15827.997028730506</v>
      </c>
    </row>
    <row r="86" spans="1:3" s="63" customFormat="1" ht="42.75" x14ac:dyDescent="0.2">
      <c r="A86" s="77" t="s">
        <v>126</v>
      </c>
      <c r="B86" s="53" t="s">
        <v>127</v>
      </c>
      <c r="C86" s="78">
        <f>[1]С3!F15</f>
        <v>0.25</v>
      </c>
    </row>
    <row r="87" spans="1:3" s="63" customFormat="1" ht="14.25" x14ac:dyDescent="0.2">
      <c r="A87" s="77" t="s">
        <v>128</v>
      </c>
      <c r="B87" s="79" t="s">
        <v>129</v>
      </c>
      <c r="C87" s="62">
        <f>[1]С3!F18</f>
        <v>15</v>
      </c>
    </row>
    <row r="88" spans="1:3" s="63" customFormat="1" ht="17.25" x14ac:dyDescent="0.2">
      <c r="A88" s="77" t="s">
        <v>130</v>
      </c>
      <c r="B88" s="33" t="s">
        <v>131</v>
      </c>
      <c r="C88" s="34">
        <f>[1]С3!F19</f>
        <v>3741.3369093945325</v>
      </c>
    </row>
    <row r="89" spans="1:3" s="63" customFormat="1" ht="55.5" x14ac:dyDescent="0.2">
      <c r="A89" s="77" t="s">
        <v>132</v>
      </c>
      <c r="B89" s="53" t="s">
        <v>133</v>
      </c>
      <c r="C89" s="80">
        <f>[1]С3!F20</f>
        <v>2.1999999999999999E-2</v>
      </c>
    </row>
    <row r="90" spans="1:3" s="63" customFormat="1" ht="14.25" x14ac:dyDescent="0.2">
      <c r="A90" s="77" t="s">
        <v>134</v>
      </c>
      <c r="B90" s="58" t="s">
        <v>80</v>
      </c>
      <c r="C90" s="62">
        <f>[1]С3!F21</f>
        <v>10</v>
      </c>
    </row>
    <row r="91" spans="1:3" s="63" customFormat="1" ht="17.25" x14ac:dyDescent="0.2">
      <c r="A91" s="77" t="s">
        <v>135</v>
      </c>
      <c r="B91" s="33" t="s">
        <v>136</v>
      </c>
      <c r="C91" s="34">
        <f>[1]С3!F22</f>
        <v>9.5576411518206239</v>
      </c>
    </row>
    <row r="92" spans="1:3" s="63" customFormat="1" ht="57" customHeight="1" x14ac:dyDescent="0.2">
      <c r="A92" s="77" t="s">
        <v>137</v>
      </c>
      <c r="B92" s="53" t="s">
        <v>138</v>
      </c>
      <c r="C92" s="80">
        <f>[1]С3!F23</f>
        <v>3.0000000000000001E-3</v>
      </c>
    </row>
    <row r="93" spans="1:3" s="63" customFormat="1" ht="27.75" thickBot="1" x14ac:dyDescent="0.25">
      <c r="A93" s="81" t="s">
        <v>139</v>
      </c>
      <c r="B93" s="82" t="s">
        <v>140</v>
      </c>
      <c r="C93" s="83">
        <f>[1]С3!F24</f>
        <v>3185.880383940208</v>
      </c>
    </row>
    <row r="94" spans="1:3" ht="13.5" thickBot="1" x14ac:dyDescent="0.25">
      <c r="A94" s="47"/>
      <c r="B94" s="75"/>
      <c r="C94" s="15"/>
    </row>
    <row r="95" spans="1:3" ht="30" customHeight="1" x14ac:dyDescent="0.2">
      <c r="A95" s="84" t="s">
        <v>141</v>
      </c>
      <c r="B95" s="145" t="s">
        <v>142</v>
      </c>
      <c r="C95" s="145"/>
    </row>
    <row r="96" spans="1:3" ht="30" x14ac:dyDescent="0.2">
      <c r="A96" s="59" t="s">
        <v>143</v>
      </c>
      <c r="B96" s="33" t="s">
        <v>144</v>
      </c>
      <c r="C96" s="34">
        <f>[1]С4!F16</f>
        <v>1652.5</v>
      </c>
    </row>
    <row r="97" spans="1:3" ht="30" x14ac:dyDescent="0.2">
      <c r="A97" s="59" t="s">
        <v>145</v>
      </c>
      <c r="B97" s="58" t="s">
        <v>146</v>
      </c>
      <c r="C97" s="34">
        <f>[1]С4!F17</f>
        <v>73547</v>
      </c>
    </row>
    <row r="98" spans="1:3" ht="17.25" x14ac:dyDescent="0.2">
      <c r="A98" s="59" t="s">
        <v>147</v>
      </c>
      <c r="B98" s="58" t="s">
        <v>148</v>
      </c>
      <c r="C98" s="40">
        <f>[1]С4!F18</f>
        <v>0.02</v>
      </c>
    </row>
    <row r="99" spans="1:3" ht="30" x14ac:dyDescent="0.2">
      <c r="A99" s="59" t="s">
        <v>149</v>
      </c>
      <c r="B99" s="58" t="s">
        <v>150</v>
      </c>
      <c r="C99" s="34">
        <f>[1]С4!F19</f>
        <v>12104</v>
      </c>
    </row>
    <row r="100" spans="1:3" ht="31.5" x14ac:dyDescent="0.2">
      <c r="A100" s="59" t="s">
        <v>151</v>
      </c>
      <c r="B100" s="58" t="s">
        <v>152</v>
      </c>
      <c r="C100" s="40">
        <f>[1]С4!F20</f>
        <v>1.4999999999999999E-2</v>
      </c>
    </row>
    <row r="101" spans="1:3" ht="30" x14ac:dyDescent="0.2">
      <c r="A101" s="59" t="s">
        <v>153</v>
      </c>
      <c r="B101" s="33" t="s">
        <v>154</v>
      </c>
      <c r="C101" s="34">
        <f>[1]С4!F21</f>
        <v>1933.1949342509995</v>
      </c>
    </row>
    <row r="102" spans="1:3" ht="35.25" customHeight="1" x14ac:dyDescent="0.2">
      <c r="A102" s="59" t="s">
        <v>155</v>
      </c>
      <c r="B102" s="53" t="s">
        <v>156</v>
      </c>
      <c r="C102" s="85" t="str">
        <f>IF([1]С4.2!F8="да",[1]С4.2!D21,[1]С4.2!D15)</f>
        <v>АО "Новосибирскэнергосбыт"</v>
      </c>
    </row>
    <row r="103" spans="1:3" ht="68.25" x14ac:dyDescent="0.2">
      <c r="A103" s="59" t="s">
        <v>157</v>
      </c>
      <c r="B103" s="53" t="s">
        <v>158</v>
      </c>
      <c r="C103" s="34">
        <f>[1]С4!F22</f>
        <v>3.6112641666666665</v>
      </c>
    </row>
    <row r="104" spans="1:3" ht="30" x14ac:dyDescent="0.2">
      <c r="A104" s="59" t="s">
        <v>159</v>
      </c>
      <c r="B104" s="58" t="s">
        <v>160</v>
      </c>
      <c r="C104" s="34">
        <f>[1]С4!F23</f>
        <v>180</v>
      </c>
    </row>
    <row r="105" spans="1:3" ht="14.25" x14ac:dyDescent="0.2">
      <c r="A105" s="59" t="s">
        <v>161</v>
      </c>
      <c r="B105" s="53" t="s">
        <v>162</v>
      </c>
      <c r="C105" s="34">
        <f>[1]С4!F24</f>
        <v>8497.1999999999989</v>
      </c>
    </row>
    <row r="106" spans="1:3" ht="14.25" x14ac:dyDescent="0.2">
      <c r="A106" s="59" t="s">
        <v>163</v>
      </c>
      <c r="B106" s="58" t="s">
        <v>164</v>
      </c>
      <c r="C106" s="40">
        <f>[1]С4!F25</f>
        <v>0.35</v>
      </c>
    </row>
    <row r="107" spans="1:3" ht="17.25" x14ac:dyDescent="0.2">
      <c r="A107" s="59" t="s">
        <v>165</v>
      </c>
      <c r="B107" s="33" t="s">
        <v>166</v>
      </c>
      <c r="C107" s="34">
        <f>[1]С4!F26</f>
        <v>91.185569999999998</v>
      </c>
    </row>
    <row r="108" spans="1:3" ht="75.75" customHeight="1" x14ac:dyDescent="0.2">
      <c r="A108" s="59" t="s">
        <v>167</v>
      </c>
      <c r="B108" s="53" t="s">
        <v>94</v>
      </c>
      <c r="C108" s="85">
        <f>[1]С4.3!E16</f>
        <v>0</v>
      </c>
    </row>
    <row r="109" spans="1:3" ht="25.5" x14ac:dyDescent="0.2">
      <c r="A109" s="59" t="s">
        <v>168</v>
      </c>
      <c r="B109" s="53" t="s">
        <v>169</v>
      </c>
      <c r="C109" s="34">
        <f>[1]С4.3!E17</f>
        <v>25.15</v>
      </c>
    </row>
    <row r="110" spans="1:3" ht="79.5" customHeight="1" x14ac:dyDescent="0.2">
      <c r="A110" s="59" t="s">
        <v>170</v>
      </c>
      <c r="B110" s="53" t="s">
        <v>106</v>
      </c>
      <c r="C110" s="85">
        <f>[1]С4.3!E18</f>
        <v>0</v>
      </c>
    </row>
    <row r="111" spans="1:3" x14ac:dyDescent="0.2">
      <c r="A111" s="59" t="s">
        <v>171</v>
      </c>
      <c r="B111" s="53" t="s">
        <v>172</v>
      </c>
      <c r="C111" s="34">
        <f>[1]С4.3!E19</f>
        <v>14.63</v>
      </c>
    </row>
    <row r="112" spans="1:3" x14ac:dyDescent="0.2">
      <c r="A112" s="59" t="s">
        <v>173</v>
      </c>
      <c r="B112" s="58" t="s">
        <v>174</v>
      </c>
      <c r="C112" s="34">
        <f>[1]С4.3!E11</f>
        <v>1871</v>
      </c>
    </row>
    <row r="113" spans="1:3" x14ac:dyDescent="0.2">
      <c r="A113" s="59" t="s">
        <v>175</v>
      </c>
      <c r="B113" s="58" t="s">
        <v>176</v>
      </c>
      <c r="C113" s="52">
        <f>[1]С4.3!E12</f>
        <v>1636</v>
      </c>
    </row>
    <row r="114" spans="1:3" x14ac:dyDescent="0.2">
      <c r="A114" s="59" t="s">
        <v>177</v>
      </c>
      <c r="B114" s="58" t="s">
        <v>178</v>
      </c>
      <c r="C114" s="52">
        <f>[1]С4.3!E13</f>
        <v>204</v>
      </c>
    </row>
    <row r="115" spans="1:3" ht="30" x14ac:dyDescent="0.2">
      <c r="A115" s="59" t="s">
        <v>179</v>
      </c>
      <c r="B115" s="33" t="s">
        <v>180</v>
      </c>
      <c r="C115" s="34">
        <f>[1]С4!F27</f>
        <v>1291.2863994686898</v>
      </c>
    </row>
    <row r="116" spans="1:3" ht="25.5" x14ac:dyDescent="0.2">
      <c r="A116" s="59" t="s">
        <v>181</v>
      </c>
      <c r="B116" s="53" t="s">
        <v>182</v>
      </c>
      <c r="C116" s="34">
        <f>[1]С4!F28</f>
        <v>991.77142816335618</v>
      </c>
    </row>
    <row r="117" spans="1:3" ht="42.75" x14ac:dyDescent="0.2">
      <c r="A117" s="59" t="s">
        <v>183</v>
      </c>
      <c r="B117" s="53" t="s">
        <v>184</v>
      </c>
      <c r="C117" s="34">
        <f>[1]С4!F29</f>
        <v>299.51497130533357</v>
      </c>
    </row>
    <row r="118" spans="1:3" ht="30" x14ac:dyDescent="0.2">
      <c r="A118" s="59" t="s">
        <v>185</v>
      </c>
      <c r="B118" s="39" t="s">
        <v>186</v>
      </c>
      <c r="C118" s="34">
        <f>[1]С4!F30</f>
        <v>2820.6624785956101</v>
      </c>
    </row>
    <row r="119" spans="1:3" ht="42.75" x14ac:dyDescent="0.2">
      <c r="A119" s="59" t="s">
        <v>187</v>
      </c>
      <c r="B119" s="86" t="s">
        <v>188</v>
      </c>
      <c r="C119" s="34">
        <f>[1]С4!F33</f>
        <v>1581.3484522247327</v>
      </c>
    </row>
    <row r="120" spans="1:3" ht="30" x14ac:dyDescent="0.2">
      <c r="A120" s="59" t="s">
        <v>189</v>
      </c>
      <c r="B120" s="87" t="s">
        <v>190</v>
      </c>
      <c r="C120" s="34">
        <f>[1]С4!F35</f>
        <v>18.902267999999999</v>
      </c>
    </row>
    <row r="121" spans="1:3" ht="14.25" x14ac:dyDescent="0.2">
      <c r="A121" s="59" t="s">
        <v>191</v>
      </c>
      <c r="B121" s="56" t="s">
        <v>192</v>
      </c>
      <c r="C121" s="34">
        <f>[1]С4!F36</f>
        <v>14319.9</v>
      </c>
    </row>
    <row r="122" spans="1:3" ht="43.5" customHeight="1" thickBot="1" x14ac:dyDescent="0.25">
      <c r="A122" s="72" t="s">
        <v>193</v>
      </c>
      <c r="B122" s="88" t="s">
        <v>194</v>
      </c>
      <c r="C122" s="83">
        <f>[1]С4!F37</f>
        <v>1.32</v>
      </c>
    </row>
    <row r="123" spans="1:3" s="89" customFormat="1" ht="13.5" thickBot="1" x14ac:dyDescent="0.25">
      <c r="A123" s="47"/>
      <c r="B123" s="75"/>
      <c r="C123" s="15"/>
    </row>
    <row r="124" spans="1:3" s="63" customFormat="1" ht="30" customHeight="1" x14ac:dyDescent="0.2">
      <c r="A124" s="76" t="s">
        <v>195</v>
      </c>
      <c r="B124" s="145" t="s">
        <v>196</v>
      </c>
      <c r="C124" s="145"/>
    </row>
    <row r="125" spans="1:3" ht="16.5" thickBot="1" x14ac:dyDescent="0.25">
      <c r="A125" s="27" t="s">
        <v>197</v>
      </c>
      <c r="B125" s="90" t="s">
        <v>198</v>
      </c>
      <c r="C125" s="83">
        <f>[1]С5!F17</f>
        <v>0.02</v>
      </c>
    </row>
    <row r="126" spans="1:3" s="89" customFormat="1" ht="13.5" thickBot="1" x14ac:dyDescent="0.25">
      <c r="A126" s="47"/>
      <c r="B126" s="75"/>
      <c r="C126" s="15"/>
    </row>
    <row r="127" spans="1:3" ht="42.75" customHeight="1" x14ac:dyDescent="0.2">
      <c r="A127" s="84" t="s">
        <v>199</v>
      </c>
      <c r="B127" s="146" t="s">
        <v>200</v>
      </c>
      <c r="C127" s="146"/>
    </row>
    <row r="128" spans="1:3" ht="68.25" x14ac:dyDescent="0.2">
      <c r="A128" s="59" t="s">
        <v>201</v>
      </c>
      <c r="B128" s="91" t="s">
        <v>202</v>
      </c>
      <c r="C128" s="34" t="s">
        <v>203</v>
      </c>
    </row>
    <row r="129" spans="1:3" ht="42.75" hidden="1" x14ac:dyDescent="0.2">
      <c r="A129" s="59" t="s">
        <v>204</v>
      </c>
      <c r="B129" s="86" t="s">
        <v>205</v>
      </c>
      <c r="C129" s="92"/>
    </row>
    <row r="130" spans="1:3" ht="69" thickBot="1" x14ac:dyDescent="0.25">
      <c r="A130" s="72" t="s">
        <v>206</v>
      </c>
      <c r="B130" s="93" t="s">
        <v>207</v>
      </c>
      <c r="C130" s="94" t="s">
        <v>203</v>
      </c>
    </row>
    <row r="131" spans="1:3" ht="62.25" hidden="1" customHeight="1" x14ac:dyDescent="0.2">
      <c r="A131" s="95" t="s">
        <v>208</v>
      </c>
      <c r="B131" s="96" t="s">
        <v>209</v>
      </c>
      <c r="C131" s="97"/>
    </row>
    <row r="132" spans="1:3" ht="68.25" hidden="1" x14ac:dyDescent="0.2">
      <c r="A132" s="59" t="s">
        <v>210</v>
      </c>
      <c r="B132" s="86" t="s">
        <v>211</v>
      </c>
      <c r="C132" s="35"/>
    </row>
    <row r="133" spans="1:3" ht="69" hidden="1" thickBot="1" x14ac:dyDescent="0.25">
      <c r="A133" s="72" t="s">
        <v>212</v>
      </c>
      <c r="B133" s="98" t="s">
        <v>213</v>
      </c>
      <c r="C133" s="74"/>
    </row>
    <row r="134" spans="1:3" s="89" customFormat="1" ht="13.5" thickBot="1" x14ac:dyDescent="0.25">
      <c r="A134" s="47"/>
      <c r="B134" s="75"/>
      <c r="C134" s="15"/>
    </row>
    <row r="135" spans="1:3" ht="26.25" customHeight="1" x14ac:dyDescent="0.2">
      <c r="A135" s="84" t="s">
        <v>214</v>
      </c>
      <c r="B135" s="99" t="s">
        <v>215</v>
      </c>
      <c r="C135" s="100">
        <f>[1]С2!F37</f>
        <v>20.818139999999996</v>
      </c>
    </row>
    <row r="136" spans="1:3" ht="14.25" x14ac:dyDescent="0.2">
      <c r="A136" s="59" t="s">
        <v>216</v>
      </c>
      <c r="B136" s="101" t="s">
        <v>217</v>
      </c>
      <c r="C136" s="34">
        <f>[1]С2!F38</f>
        <v>7</v>
      </c>
    </row>
    <row r="137" spans="1:3" ht="17.25" x14ac:dyDescent="0.2">
      <c r="A137" s="59" t="s">
        <v>218</v>
      </c>
      <c r="B137" s="101" t="s">
        <v>219</v>
      </c>
      <c r="C137" s="34">
        <f>[1]С2!F40</f>
        <v>0.97</v>
      </c>
    </row>
    <row r="138" spans="1:3" ht="15" thickBot="1" x14ac:dyDescent="0.25">
      <c r="A138" s="72" t="s">
        <v>220</v>
      </c>
      <c r="B138" s="102" t="s">
        <v>221</v>
      </c>
      <c r="C138" s="46">
        <f>[1]С2!F42</f>
        <v>0.35</v>
      </c>
    </row>
    <row r="139" spans="1:3" s="89" customFormat="1" ht="13.5" thickBot="1" x14ac:dyDescent="0.25">
      <c r="A139" s="47"/>
      <c r="B139" s="75"/>
      <c r="C139" s="15"/>
    </row>
    <row r="140" spans="1:3" ht="30" x14ac:dyDescent="0.2">
      <c r="A140" s="84" t="s">
        <v>222</v>
      </c>
      <c r="B140" s="103" t="s">
        <v>223</v>
      </c>
      <c r="C140" s="104">
        <f>[1]С2!F35</f>
        <v>1.7157947422665329</v>
      </c>
    </row>
    <row r="141" spans="1:3" ht="22.7" customHeight="1" thickBot="1" x14ac:dyDescent="0.25">
      <c r="A141" s="72" t="s">
        <v>224</v>
      </c>
      <c r="B141" s="141" t="s">
        <v>225</v>
      </c>
      <c r="C141" s="141"/>
    </row>
    <row r="142" spans="1:3" ht="13.5" thickBot="1" x14ac:dyDescent="0.25">
      <c r="A142" s="105"/>
      <c r="B142" s="106" t="s">
        <v>226</v>
      </c>
      <c r="C142" s="107"/>
    </row>
    <row r="143" spans="1:3" x14ac:dyDescent="0.2">
      <c r="A143" s="105"/>
      <c r="B143" s="108">
        <v>2020</v>
      </c>
      <c r="C143" s="109">
        <f>[1]С2.5!$E$11</f>
        <v>-2.9000000000000026E-2</v>
      </c>
    </row>
    <row r="144" spans="1:3" x14ac:dyDescent="0.2">
      <c r="A144" s="105"/>
      <c r="B144" s="110">
        <f>B143+1</f>
        <v>2021</v>
      </c>
      <c r="C144" s="111">
        <f>[1]С2.5!$F$11</f>
        <v>0.245</v>
      </c>
    </row>
    <row r="145" spans="1:3" x14ac:dyDescent="0.2">
      <c r="A145" s="105"/>
      <c r="B145" s="110">
        <f t="shared" ref="B145:B208" si="0">B144+1</f>
        <v>2022</v>
      </c>
      <c r="C145" s="111">
        <f>[1]С2.5!$G$11</f>
        <v>0.114</v>
      </c>
    </row>
    <row r="146" spans="1:3" ht="13.5" thickBot="1" x14ac:dyDescent="0.25">
      <c r="A146" s="105"/>
      <c r="B146" s="112">
        <f t="shared" si="0"/>
        <v>2023</v>
      </c>
      <c r="C146" s="113">
        <f>[1]С2.5!$H$11</f>
        <v>0.04</v>
      </c>
    </row>
    <row r="147" spans="1:3" x14ac:dyDescent="0.2">
      <c r="A147" s="105"/>
      <c r="B147" s="114">
        <f t="shared" si="0"/>
        <v>2024</v>
      </c>
      <c r="C147" s="115">
        <f>[1]С2.5!$I$11</f>
        <v>0.121</v>
      </c>
    </row>
    <row r="148" spans="1:3" x14ac:dyDescent="0.2">
      <c r="A148" s="105"/>
      <c r="B148" s="110">
        <f t="shared" si="0"/>
        <v>2025</v>
      </c>
      <c r="C148" s="111">
        <f>[1]С2.5!$J$11</f>
        <v>0.03</v>
      </c>
    </row>
    <row r="149" spans="1:3" x14ac:dyDescent="0.2">
      <c r="A149" s="105"/>
      <c r="B149" s="110">
        <f t="shared" si="0"/>
        <v>2026</v>
      </c>
      <c r="C149" s="111">
        <f>[1]С2.5!$K$11</f>
        <v>6.0999999999999999E-2</v>
      </c>
    </row>
    <row r="150" spans="1:3" hidden="1" x14ac:dyDescent="0.2">
      <c r="A150" s="105"/>
      <c r="B150" s="110">
        <f t="shared" si="0"/>
        <v>2027</v>
      </c>
      <c r="C150" s="111">
        <f>[1]С2.5!$L$11</f>
        <v>3.2682303599220003E-2</v>
      </c>
    </row>
    <row r="151" spans="1:3" hidden="1" x14ac:dyDescent="0.2">
      <c r="A151" s="105"/>
      <c r="B151" s="110">
        <f t="shared" si="0"/>
        <v>2028</v>
      </c>
      <c r="C151" s="111">
        <f>[1]С2.5!$M$11</f>
        <v>0</v>
      </c>
    </row>
    <row r="152" spans="1:3" hidden="1" x14ac:dyDescent="0.2">
      <c r="A152" s="105"/>
      <c r="B152" s="110">
        <f t="shared" si="0"/>
        <v>2029</v>
      </c>
      <c r="C152" s="111">
        <f>[1]С2.5!$N$11</f>
        <v>0</v>
      </c>
    </row>
    <row r="153" spans="1:3" hidden="1" x14ac:dyDescent="0.2">
      <c r="A153" s="105"/>
      <c r="B153" s="110">
        <f t="shared" si="0"/>
        <v>2030</v>
      </c>
      <c r="C153" s="111">
        <f>[1]С2.5!$O$11</f>
        <v>0</v>
      </c>
    </row>
    <row r="154" spans="1:3" hidden="1" x14ac:dyDescent="0.2">
      <c r="A154" s="105"/>
      <c r="B154" s="110">
        <f t="shared" si="0"/>
        <v>2031</v>
      </c>
      <c r="C154" s="111">
        <f>[1]С2.5!$P$11</f>
        <v>0</v>
      </c>
    </row>
    <row r="155" spans="1:3" hidden="1" x14ac:dyDescent="0.2">
      <c r="A155" s="89"/>
      <c r="B155" s="110">
        <f t="shared" si="0"/>
        <v>2032</v>
      </c>
      <c r="C155" s="111">
        <f>[1]С2.5!$Q$11</f>
        <v>0</v>
      </c>
    </row>
    <row r="156" spans="1:3" hidden="1" x14ac:dyDescent="0.2">
      <c r="A156" s="89"/>
      <c r="B156" s="110">
        <f t="shared" si="0"/>
        <v>2033</v>
      </c>
      <c r="C156" s="111">
        <f>[1]С2.5!$R$11</f>
        <v>0</v>
      </c>
    </row>
    <row r="157" spans="1:3" hidden="1" x14ac:dyDescent="0.2">
      <c r="B157" s="110">
        <f t="shared" si="0"/>
        <v>2034</v>
      </c>
      <c r="C157" s="111">
        <f>[1]С2.5!$S$11</f>
        <v>0</v>
      </c>
    </row>
    <row r="158" spans="1:3" hidden="1" x14ac:dyDescent="0.2">
      <c r="B158" s="110">
        <f t="shared" si="0"/>
        <v>2035</v>
      </c>
      <c r="C158" s="111">
        <f>[1]С2.5!$T$11</f>
        <v>0</v>
      </c>
    </row>
    <row r="159" spans="1:3" hidden="1" x14ac:dyDescent="0.2">
      <c r="B159" s="110">
        <f t="shared" si="0"/>
        <v>2036</v>
      </c>
      <c r="C159" s="111">
        <f>[1]С2.5!$U$11</f>
        <v>0</v>
      </c>
    </row>
    <row r="160" spans="1:3" hidden="1" x14ac:dyDescent="0.2">
      <c r="B160" s="110">
        <f t="shared" si="0"/>
        <v>2037</v>
      </c>
      <c r="C160" s="111">
        <f>[1]С2.5!$V$11</f>
        <v>0</v>
      </c>
    </row>
    <row r="161" spans="2:3" hidden="1" x14ac:dyDescent="0.2">
      <c r="B161" s="110">
        <f t="shared" si="0"/>
        <v>2038</v>
      </c>
      <c r="C161" s="111">
        <f>[1]С2.5!$W$11</f>
        <v>0</v>
      </c>
    </row>
    <row r="162" spans="2:3" hidden="1" x14ac:dyDescent="0.2">
      <c r="B162" s="110">
        <f t="shared" si="0"/>
        <v>2039</v>
      </c>
      <c r="C162" s="111">
        <f>[1]С2.5!$X$11</f>
        <v>0</v>
      </c>
    </row>
    <row r="163" spans="2:3" hidden="1" x14ac:dyDescent="0.2">
      <c r="B163" s="110">
        <f t="shared" si="0"/>
        <v>2040</v>
      </c>
      <c r="C163" s="111">
        <f>[1]С2.5!$Y$11</f>
        <v>0</v>
      </c>
    </row>
    <row r="164" spans="2:3" hidden="1" x14ac:dyDescent="0.2">
      <c r="B164" s="110">
        <f t="shared" si="0"/>
        <v>2041</v>
      </c>
      <c r="C164" s="111">
        <f>[1]С2.5!$Z$11</f>
        <v>0</v>
      </c>
    </row>
    <row r="165" spans="2:3" hidden="1" x14ac:dyDescent="0.2">
      <c r="B165" s="110">
        <f t="shared" si="0"/>
        <v>2042</v>
      </c>
      <c r="C165" s="111">
        <f>[1]С2.5!$AA$11</f>
        <v>0</v>
      </c>
    </row>
    <row r="166" spans="2:3" hidden="1" x14ac:dyDescent="0.2">
      <c r="B166" s="110">
        <f t="shared" si="0"/>
        <v>2043</v>
      </c>
      <c r="C166" s="111">
        <f>[1]С2.5!$AB$11</f>
        <v>0</v>
      </c>
    </row>
    <row r="167" spans="2:3" hidden="1" x14ac:dyDescent="0.2">
      <c r="B167" s="110">
        <f t="shared" si="0"/>
        <v>2044</v>
      </c>
      <c r="C167" s="111">
        <f>[1]С2.5!$AC$11</f>
        <v>0</v>
      </c>
    </row>
    <row r="168" spans="2:3" hidden="1" x14ac:dyDescent="0.2">
      <c r="B168" s="110">
        <f t="shared" si="0"/>
        <v>2045</v>
      </c>
      <c r="C168" s="111">
        <f>[1]С2.5!$AD$11</f>
        <v>0</v>
      </c>
    </row>
    <row r="169" spans="2:3" hidden="1" x14ac:dyDescent="0.2">
      <c r="B169" s="110">
        <f t="shared" si="0"/>
        <v>2046</v>
      </c>
      <c r="C169" s="111">
        <f>[1]С2.5!$AE$11</f>
        <v>0</v>
      </c>
    </row>
    <row r="170" spans="2:3" hidden="1" x14ac:dyDescent="0.2">
      <c r="B170" s="110">
        <f t="shared" si="0"/>
        <v>2047</v>
      </c>
      <c r="C170" s="111">
        <f>[1]С2.5!$AF$11</f>
        <v>0</v>
      </c>
    </row>
    <row r="171" spans="2:3" hidden="1" x14ac:dyDescent="0.2">
      <c r="B171" s="110">
        <f t="shared" si="0"/>
        <v>2048</v>
      </c>
      <c r="C171" s="111">
        <f>[1]С2.5!$AG$11</f>
        <v>0</v>
      </c>
    </row>
    <row r="172" spans="2:3" hidden="1" x14ac:dyDescent="0.2">
      <c r="B172" s="110">
        <f t="shared" si="0"/>
        <v>2049</v>
      </c>
      <c r="C172" s="111">
        <f>[1]С2.5!$AH$11</f>
        <v>0</v>
      </c>
    </row>
    <row r="173" spans="2:3" hidden="1" x14ac:dyDescent="0.2">
      <c r="B173" s="110">
        <f t="shared" si="0"/>
        <v>2050</v>
      </c>
      <c r="C173" s="111">
        <f>[1]С2.5!$AI$11</f>
        <v>0</v>
      </c>
    </row>
    <row r="174" spans="2:3" hidden="1" x14ac:dyDescent="0.2">
      <c r="B174" s="110">
        <f t="shared" si="0"/>
        <v>2051</v>
      </c>
      <c r="C174" s="111">
        <f>[1]С2.5!$AJ$11</f>
        <v>0</v>
      </c>
    </row>
    <row r="175" spans="2:3" hidden="1" x14ac:dyDescent="0.2">
      <c r="B175" s="110">
        <f t="shared" si="0"/>
        <v>2052</v>
      </c>
      <c r="C175" s="111">
        <f>[1]С2.5!$AK$11</f>
        <v>0</v>
      </c>
    </row>
    <row r="176" spans="2:3" hidden="1" x14ac:dyDescent="0.2">
      <c r="B176" s="110">
        <f t="shared" si="0"/>
        <v>2053</v>
      </c>
      <c r="C176" s="111">
        <f>[1]С2.5!$AL$11</f>
        <v>0</v>
      </c>
    </row>
    <row r="177" spans="2:3" hidden="1" x14ac:dyDescent="0.2">
      <c r="B177" s="110">
        <f t="shared" si="0"/>
        <v>2054</v>
      </c>
      <c r="C177" s="111">
        <f>[1]С2.5!$AM$11</f>
        <v>0</v>
      </c>
    </row>
    <row r="178" spans="2:3" hidden="1" x14ac:dyDescent="0.2">
      <c r="B178" s="110">
        <f t="shared" si="0"/>
        <v>2055</v>
      </c>
      <c r="C178" s="111">
        <f>[1]С2.5!$AN$11</f>
        <v>0</v>
      </c>
    </row>
    <row r="179" spans="2:3" hidden="1" x14ac:dyDescent="0.2">
      <c r="B179" s="110">
        <f t="shared" si="0"/>
        <v>2056</v>
      </c>
      <c r="C179" s="111">
        <f>[1]С2.5!$AO$11</f>
        <v>0</v>
      </c>
    </row>
    <row r="180" spans="2:3" hidden="1" x14ac:dyDescent="0.2">
      <c r="B180" s="110">
        <f t="shared" si="0"/>
        <v>2057</v>
      </c>
      <c r="C180" s="111">
        <f>[1]С2.5!$AP$11</f>
        <v>0</v>
      </c>
    </row>
    <row r="181" spans="2:3" hidden="1" x14ac:dyDescent="0.2">
      <c r="B181" s="110">
        <f t="shared" si="0"/>
        <v>2058</v>
      </c>
      <c r="C181" s="111">
        <f>[1]С2.5!$AQ$11</f>
        <v>0</v>
      </c>
    </row>
    <row r="182" spans="2:3" hidden="1" x14ac:dyDescent="0.2">
      <c r="B182" s="110">
        <f t="shared" si="0"/>
        <v>2059</v>
      </c>
      <c r="C182" s="111">
        <f>[1]С2.5!$AR$11</f>
        <v>0</v>
      </c>
    </row>
    <row r="183" spans="2:3" hidden="1" x14ac:dyDescent="0.2">
      <c r="B183" s="110">
        <f t="shared" si="0"/>
        <v>2060</v>
      </c>
      <c r="C183" s="111">
        <f>[1]С2.5!$AS$11</f>
        <v>0</v>
      </c>
    </row>
    <row r="184" spans="2:3" hidden="1" x14ac:dyDescent="0.2">
      <c r="B184" s="110">
        <f t="shared" si="0"/>
        <v>2061</v>
      </c>
      <c r="C184" s="111">
        <f>[1]С2.5!$AT$11</f>
        <v>0</v>
      </c>
    </row>
    <row r="185" spans="2:3" hidden="1" x14ac:dyDescent="0.2">
      <c r="B185" s="110">
        <f t="shared" si="0"/>
        <v>2062</v>
      </c>
      <c r="C185" s="111">
        <f>[1]С2.5!$AU$11</f>
        <v>0</v>
      </c>
    </row>
    <row r="186" spans="2:3" hidden="1" x14ac:dyDescent="0.2">
      <c r="B186" s="110">
        <f t="shared" si="0"/>
        <v>2063</v>
      </c>
      <c r="C186" s="111">
        <f>[1]С2.5!$AV$11</f>
        <v>0</v>
      </c>
    </row>
    <row r="187" spans="2:3" hidden="1" x14ac:dyDescent="0.2">
      <c r="B187" s="110">
        <f t="shared" si="0"/>
        <v>2064</v>
      </c>
      <c r="C187" s="111">
        <f>[1]С2.5!$AW$11</f>
        <v>0</v>
      </c>
    </row>
    <row r="188" spans="2:3" hidden="1" x14ac:dyDescent="0.2">
      <c r="B188" s="110">
        <f t="shared" si="0"/>
        <v>2065</v>
      </c>
      <c r="C188" s="111">
        <f>[1]С2.5!$AX$11</f>
        <v>0</v>
      </c>
    </row>
    <row r="189" spans="2:3" hidden="1" x14ac:dyDescent="0.2">
      <c r="B189" s="110">
        <f t="shared" si="0"/>
        <v>2066</v>
      </c>
      <c r="C189" s="111">
        <f>[1]С2.5!$AY$11</f>
        <v>0</v>
      </c>
    </row>
    <row r="190" spans="2:3" hidden="1" x14ac:dyDescent="0.2">
      <c r="B190" s="110">
        <f t="shared" si="0"/>
        <v>2067</v>
      </c>
      <c r="C190" s="111">
        <f>[1]С2.5!$AZ$11</f>
        <v>0</v>
      </c>
    </row>
    <row r="191" spans="2:3" hidden="1" x14ac:dyDescent="0.2">
      <c r="B191" s="110">
        <f t="shared" si="0"/>
        <v>2068</v>
      </c>
      <c r="C191" s="111">
        <f>[1]С2.5!$BA$11</f>
        <v>0</v>
      </c>
    </row>
    <row r="192" spans="2:3" hidden="1" x14ac:dyDescent="0.2">
      <c r="B192" s="110">
        <f t="shared" si="0"/>
        <v>2069</v>
      </c>
      <c r="C192" s="111">
        <f>[1]С2.5!$BB$11</f>
        <v>0</v>
      </c>
    </row>
    <row r="193" spans="2:3" hidden="1" x14ac:dyDescent="0.2">
      <c r="B193" s="110">
        <f t="shared" si="0"/>
        <v>2070</v>
      </c>
      <c r="C193" s="111">
        <f>[1]С2.5!$BC$11</f>
        <v>0</v>
      </c>
    </row>
    <row r="194" spans="2:3" hidden="1" x14ac:dyDescent="0.2">
      <c r="B194" s="110">
        <f t="shared" si="0"/>
        <v>2071</v>
      </c>
      <c r="C194" s="111">
        <f>[1]С2.5!$BD$11</f>
        <v>0</v>
      </c>
    </row>
    <row r="195" spans="2:3" hidden="1" x14ac:dyDescent="0.2">
      <c r="B195" s="110">
        <f t="shared" si="0"/>
        <v>2072</v>
      </c>
      <c r="C195" s="111">
        <f>[1]С2.5!$BE$11</f>
        <v>0</v>
      </c>
    </row>
    <row r="196" spans="2:3" hidden="1" x14ac:dyDescent="0.2">
      <c r="B196" s="110">
        <f t="shared" si="0"/>
        <v>2073</v>
      </c>
      <c r="C196" s="111">
        <f>[1]С2.5!$BF$11</f>
        <v>0</v>
      </c>
    </row>
    <row r="197" spans="2:3" hidden="1" x14ac:dyDescent="0.2">
      <c r="B197" s="110">
        <f t="shared" si="0"/>
        <v>2074</v>
      </c>
      <c r="C197" s="111">
        <f>[1]С2.5!$BG$11</f>
        <v>0</v>
      </c>
    </row>
    <row r="198" spans="2:3" hidden="1" x14ac:dyDescent="0.2">
      <c r="B198" s="110">
        <f t="shared" si="0"/>
        <v>2075</v>
      </c>
      <c r="C198" s="111">
        <f>[1]С2.5!$BH$11</f>
        <v>0</v>
      </c>
    </row>
    <row r="199" spans="2:3" hidden="1" x14ac:dyDescent="0.2">
      <c r="B199" s="110">
        <f t="shared" si="0"/>
        <v>2076</v>
      </c>
      <c r="C199" s="111">
        <f>[1]С2.5!$BI$11</f>
        <v>0</v>
      </c>
    </row>
    <row r="200" spans="2:3" hidden="1" x14ac:dyDescent="0.2">
      <c r="B200" s="110">
        <f t="shared" si="0"/>
        <v>2077</v>
      </c>
      <c r="C200" s="111">
        <f>[1]С2.5!$BJ$11</f>
        <v>0</v>
      </c>
    </row>
    <row r="201" spans="2:3" hidden="1" x14ac:dyDescent="0.2">
      <c r="B201" s="110">
        <f t="shared" si="0"/>
        <v>2078</v>
      </c>
      <c r="C201" s="111">
        <f>[1]С2.5!$BK$11</f>
        <v>0</v>
      </c>
    </row>
    <row r="202" spans="2:3" hidden="1" x14ac:dyDescent="0.2">
      <c r="B202" s="110">
        <f t="shared" si="0"/>
        <v>2079</v>
      </c>
      <c r="C202" s="111">
        <f>[1]С2.5!$BL$11</f>
        <v>0</v>
      </c>
    </row>
    <row r="203" spans="2:3" hidden="1" x14ac:dyDescent="0.2">
      <c r="B203" s="110">
        <f t="shared" si="0"/>
        <v>2080</v>
      </c>
      <c r="C203" s="111">
        <f>[1]С2.5!$BM$11</f>
        <v>0</v>
      </c>
    </row>
    <row r="204" spans="2:3" hidden="1" x14ac:dyDescent="0.2">
      <c r="B204" s="110">
        <f t="shared" si="0"/>
        <v>2081</v>
      </c>
      <c r="C204" s="111">
        <f>[1]С2.5!$BN$11</f>
        <v>0</v>
      </c>
    </row>
    <row r="205" spans="2:3" hidden="1" x14ac:dyDescent="0.2">
      <c r="B205" s="110">
        <f t="shared" si="0"/>
        <v>2082</v>
      </c>
      <c r="C205" s="111">
        <f>[1]С2.5!$BO$11</f>
        <v>0</v>
      </c>
    </row>
    <row r="206" spans="2:3" hidden="1" x14ac:dyDescent="0.2">
      <c r="B206" s="110">
        <f t="shared" si="0"/>
        <v>2083</v>
      </c>
      <c r="C206" s="111">
        <f>[1]С2.5!$BP$11</f>
        <v>0</v>
      </c>
    </row>
    <row r="207" spans="2:3" hidden="1" x14ac:dyDescent="0.2">
      <c r="B207" s="110">
        <f t="shared" si="0"/>
        <v>2084</v>
      </c>
      <c r="C207" s="111">
        <f>[1]С2.5!$BQ$11</f>
        <v>0</v>
      </c>
    </row>
    <row r="208" spans="2:3" hidden="1" x14ac:dyDescent="0.2">
      <c r="B208" s="110">
        <f t="shared" si="0"/>
        <v>2085</v>
      </c>
      <c r="C208" s="111">
        <f>[1]С2.5!$BR$11</f>
        <v>0</v>
      </c>
    </row>
    <row r="209" spans="2:3" hidden="1" x14ac:dyDescent="0.2">
      <c r="B209" s="110">
        <f t="shared" ref="B209:B223" si="1">B208+1</f>
        <v>2086</v>
      </c>
      <c r="C209" s="111">
        <f>[1]С2.5!$BS$11</f>
        <v>0</v>
      </c>
    </row>
    <row r="210" spans="2:3" hidden="1" x14ac:dyDescent="0.2">
      <c r="B210" s="110">
        <f t="shared" si="1"/>
        <v>2087</v>
      </c>
      <c r="C210" s="111">
        <f>[1]С2.5!$BT$11</f>
        <v>0</v>
      </c>
    </row>
    <row r="211" spans="2:3" hidden="1" x14ac:dyDescent="0.2">
      <c r="B211" s="110">
        <f t="shared" si="1"/>
        <v>2088</v>
      </c>
      <c r="C211" s="111">
        <f>[1]С2.5!$BU$11</f>
        <v>0</v>
      </c>
    </row>
    <row r="212" spans="2:3" hidden="1" x14ac:dyDescent="0.2">
      <c r="B212" s="110">
        <f t="shared" si="1"/>
        <v>2089</v>
      </c>
      <c r="C212" s="111">
        <f>[1]С2.5!$BV$11</f>
        <v>0</v>
      </c>
    </row>
    <row r="213" spans="2:3" hidden="1" x14ac:dyDescent="0.2">
      <c r="B213" s="110">
        <f t="shared" si="1"/>
        <v>2090</v>
      </c>
      <c r="C213" s="111">
        <f>[1]С2.5!$BW$11</f>
        <v>0</v>
      </c>
    </row>
    <row r="214" spans="2:3" hidden="1" x14ac:dyDescent="0.2">
      <c r="B214" s="110">
        <f t="shared" si="1"/>
        <v>2091</v>
      </c>
      <c r="C214" s="111">
        <f>[1]С2.5!$BX$11</f>
        <v>0</v>
      </c>
    </row>
    <row r="215" spans="2:3" hidden="1" x14ac:dyDescent="0.2">
      <c r="B215" s="110">
        <f t="shared" si="1"/>
        <v>2092</v>
      </c>
      <c r="C215" s="111">
        <f>[1]С2.5!$BY$11</f>
        <v>0</v>
      </c>
    </row>
    <row r="216" spans="2:3" hidden="1" x14ac:dyDescent="0.2">
      <c r="B216" s="110">
        <f t="shared" si="1"/>
        <v>2093</v>
      </c>
      <c r="C216" s="111">
        <f>[1]С2.5!$BZ$11</f>
        <v>0</v>
      </c>
    </row>
    <row r="217" spans="2:3" hidden="1" x14ac:dyDescent="0.2">
      <c r="B217" s="110">
        <f t="shared" si="1"/>
        <v>2094</v>
      </c>
      <c r="C217" s="111">
        <f>[1]С2.5!$CA$11</f>
        <v>0</v>
      </c>
    </row>
    <row r="218" spans="2:3" hidden="1" x14ac:dyDescent="0.2">
      <c r="B218" s="110">
        <f t="shared" si="1"/>
        <v>2095</v>
      </c>
      <c r="C218" s="111">
        <f>[1]С2.5!$CB$11</f>
        <v>0</v>
      </c>
    </row>
    <row r="219" spans="2:3" hidden="1" x14ac:dyDescent="0.2">
      <c r="B219" s="110">
        <f t="shared" si="1"/>
        <v>2096</v>
      </c>
      <c r="C219" s="111">
        <f>[1]С2.5!$CC$11</f>
        <v>0</v>
      </c>
    </row>
    <row r="220" spans="2:3" hidden="1" x14ac:dyDescent="0.2">
      <c r="B220" s="110">
        <f t="shared" si="1"/>
        <v>2097</v>
      </c>
      <c r="C220" s="111">
        <f>[1]С2.5!$CD$11</f>
        <v>0</v>
      </c>
    </row>
    <row r="221" spans="2:3" hidden="1" x14ac:dyDescent="0.2">
      <c r="B221" s="110">
        <f t="shared" si="1"/>
        <v>2098</v>
      </c>
      <c r="C221" s="111">
        <f>[1]С2.5!$CE$11</f>
        <v>0</v>
      </c>
    </row>
    <row r="222" spans="2:3" hidden="1" x14ac:dyDescent="0.2">
      <c r="B222" s="110">
        <f t="shared" si="1"/>
        <v>2099</v>
      </c>
      <c r="C222" s="111">
        <f>[1]С2.5!$CF$11</f>
        <v>0</v>
      </c>
    </row>
    <row r="223" spans="2:3" ht="13.5" hidden="1" thickBot="1" x14ac:dyDescent="0.25">
      <c r="B223" s="112">
        <f t="shared" si="1"/>
        <v>2100</v>
      </c>
      <c r="C223" s="113">
        <f>[1]С2.5!$CG$11</f>
        <v>0</v>
      </c>
    </row>
    <row r="224" spans="2:3" hidden="1" x14ac:dyDescent="0.2">
      <c r="C224" s="116"/>
    </row>
    <row r="225" spans="3:3" hidden="1" x14ac:dyDescent="0.2">
      <c r="C225" s="116"/>
    </row>
    <row r="226" spans="3:3" x14ac:dyDescent="0.2">
      <c r="C226" s="116"/>
    </row>
  </sheetData>
  <mergeCells count="9">
    <mergeCell ref="B141:C141"/>
    <mergeCell ref="A14:C14"/>
    <mergeCell ref="B1:C1"/>
    <mergeCell ref="B27:C27"/>
    <mergeCell ref="B40:C40"/>
    <mergeCell ref="B84:C84"/>
    <mergeCell ref="B95:C95"/>
    <mergeCell ref="B124:C124"/>
    <mergeCell ref="B127:C127"/>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26"/>
  <sheetViews>
    <sheetView workbookViewId="0">
      <selection activeCell="C7" sqref="C7"/>
    </sheetView>
  </sheetViews>
  <sheetFormatPr defaultRowHeight="12.75" x14ac:dyDescent="0.2"/>
  <cols>
    <col min="1" max="1" width="7.28515625" style="2" customWidth="1"/>
    <col min="2" max="2" width="100.7109375" style="2" customWidth="1"/>
    <col min="3" max="3" width="20.85546875" style="139" customWidth="1"/>
    <col min="4" max="154" width="9.140625" style="2"/>
    <col min="155" max="236" width="0" style="2" hidden="1" customWidth="1"/>
    <col min="237" max="245" width="9.140625" style="2"/>
    <col min="246" max="246" width="3.7109375" style="2" customWidth="1"/>
    <col min="247" max="247" width="96.85546875" style="2" customWidth="1"/>
    <col min="248" max="248" width="30.85546875" style="2" customWidth="1"/>
    <col min="249" max="249" width="12.5703125" style="2" customWidth="1"/>
    <col min="250" max="250" width="5.140625" style="2" customWidth="1"/>
    <col min="251" max="251" width="9.140625" style="2"/>
    <col min="252" max="252" width="4.85546875" style="2" customWidth="1"/>
    <col min="253" max="253" width="30.5703125" style="2" customWidth="1"/>
    <col min="254" max="254" width="33.85546875" style="2" customWidth="1"/>
    <col min="255" max="255" width="5.140625" style="2" customWidth="1"/>
    <col min="256" max="257" width="17.5703125" style="2" customWidth="1"/>
    <col min="258" max="501" width="9.140625" style="2"/>
    <col min="502" max="502" width="3.7109375" style="2" customWidth="1"/>
    <col min="503" max="503" width="96.85546875" style="2" customWidth="1"/>
    <col min="504" max="504" width="30.85546875" style="2" customWidth="1"/>
    <col min="505" max="505" width="12.5703125" style="2" customWidth="1"/>
    <col min="506" max="506" width="5.140625" style="2" customWidth="1"/>
    <col min="507" max="507" width="9.140625" style="2"/>
    <col min="508" max="508" width="4.85546875" style="2" customWidth="1"/>
    <col min="509" max="509" width="30.5703125" style="2" customWidth="1"/>
    <col min="510" max="510" width="33.85546875" style="2" customWidth="1"/>
    <col min="511" max="511" width="5.140625" style="2" customWidth="1"/>
    <col min="512" max="513" width="17.5703125" style="2" customWidth="1"/>
    <col min="514" max="757" width="9.140625" style="2"/>
    <col min="758" max="758" width="3.7109375" style="2" customWidth="1"/>
    <col min="759" max="759" width="96.85546875" style="2" customWidth="1"/>
    <col min="760" max="760" width="30.85546875" style="2" customWidth="1"/>
    <col min="761" max="761" width="12.5703125" style="2" customWidth="1"/>
    <col min="762" max="762" width="5.140625" style="2" customWidth="1"/>
    <col min="763" max="763" width="9.140625" style="2"/>
    <col min="764" max="764" width="4.85546875" style="2" customWidth="1"/>
    <col min="765" max="765" width="30.5703125" style="2" customWidth="1"/>
    <col min="766" max="766" width="33.85546875" style="2" customWidth="1"/>
    <col min="767" max="767" width="5.140625" style="2" customWidth="1"/>
    <col min="768" max="769" width="17.5703125" style="2" customWidth="1"/>
    <col min="770" max="1013" width="9.140625" style="2"/>
    <col min="1014" max="1014" width="3.7109375" style="2" customWidth="1"/>
    <col min="1015" max="1015" width="96.85546875" style="2" customWidth="1"/>
    <col min="1016" max="1016" width="30.85546875" style="2" customWidth="1"/>
    <col min="1017" max="1017" width="12.5703125" style="2" customWidth="1"/>
    <col min="1018" max="1018" width="5.140625" style="2" customWidth="1"/>
    <col min="1019" max="1019" width="9.140625" style="2"/>
    <col min="1020" max="1020" width="4.85546875" style="2" customWidth="1"/>
    <col min="1021" max="1021" width="30.5703125" style="2" customWidth="1"/>
    <col min="1022" max="1022" width="33.85546875" style="2" customWidth="1"/>
    <col min="1023" max="1023" width="5.140625" style="2" customWidth="1"/>
    <col min="1024" max="1025" width="17.5703125" style="2" customWidth="1"/>
    <col min="1026" max="1269" width="9.140625" style="2"/>
    <col min="1270" max="1270" width="3.7109375" style="2" customWidth="1"/>
    <col min="1271" max="1271" width="96.85546875" style="2" customWidth="1"/>
    <col min="1272" max="1272" width="30.85546875" style="2" customWidth="1"/>
    <col min="1273" max="1273" width="12.5703125" style="2" customWidth="1"/>
    <col min="1274" max="1274" width="5.140625" style="2" customWidth="1"/>
    <col min="1275" max="1275" width="9.140625" style="2"/>
    <col min="1276" max="1276" width="4.85546875" style="2" customWidth="1"/>
    <col min="1277" max="1277" width="30.5703125" style="2" customWidth="1"/>
    <col min="1278" max="1278" width="33.85546875" style="2" customWidth="1"/>
    <col min="1279" max="1279" width="5.140625" style="2" customWidth="1"/>
    <col min="1280" max="1281" width="17.5703125" style="2" customWidth="1"/>
    <col min="1282" max="1525" width="9.140625" style="2"/>
    <col min="1526" max="1526" width="3.7109375" style="2" customWidth="1"/>
    <col min="1527" max="1527" width="96.85546875" style="2" customWidth="1"/>
    <col min="1528" max="1528" width="30.85546875" style="2" customWidth="1"/>
    <col min="1529" max="1529" width="12.5703125" style="2" customWidth="1"/>
    <col min="1530" max="1530" width="5.140625" style="2" customWidth="1"/>
    <col min="1531" max="1531" width="9.140625" style="2"/>
    <col min="1532" max="1532" width="4.85546875" style="2" customWidth="1"/>
    <col min="1533" max="1533" width="30.5703125" style="2" customWidth="1"/>
    <col min="1534" max="1534" width="33.85546875" style="2" customWidth="1"/>
    <col min="1535" max="1535" width="5.140625" style="2" customWidth="1"/>
    <col min="1536" max="1537" width="17.5703125" style="2" customWidth="1"/>
    <col min="1538" max="1781" width="9.140625" style="2"/>
    <col min="1782" max="1782" width="3.7109375" style="2" customWidth="1"/>
    <col min="1783" max="1783" width="96.85546875" style="2" customWidth="1"/>
    <col min="1784" max="1784" width="30.85546875" style="2" customWidth="1"/>
    <col min="1785" max="1785" width="12.5703125" style="2" customWidth="1"/>
    <col min="1786" max="1786" width="5.140625" style="2" customWidth="1"/>
    <col min="1787" max="1787" width="9.140625" style="2"/>
    <col min="1788" max="1788" width="4.85546875" style="2" customWidth="1"/>
    <col min="1789" max="1789" width="30.5703125" style="2" customWidth="1"/>
    <col min="1790" max="1790" width="33.85546875" style="2" customWidth="1"/>
    <col min="1791" max="1791" width="5.140625" style="2" customWidth="1"/>
    <col min="1792" max="1793" width="17.5703125" style="2" customWidth="1"/>
    <col min="1794" max="2037" width="9.140625" style="2"/>
    <col min="2038" max="2038" width="3.7109375" style="2" customWidth="1"/>
    <col min="2039" max="2039" width="96.85546875" style="2" customWidth="1"/>
    <col min="2040" max="2040" width="30.85546875" style="2" customWidth="1"/>
    <col min="2041" max="2041" width="12.5703125" style="2" customWidth="1"/>
    <col min="2042" max="2042" width="5.140625" style="2" customWidth="1"/>
    <col min="2043" max="2043" width="9.140625" style="2"/>
    <col min="2044" max="2044" width="4.85546875" style="2" customWidth="1"/>
    <col min="2045" max="2045" width="30.5703125" style="2" customWidth="1"/>
    <col min="2046" max="2046" width="33.85546875" style="2" customWidth="1"/>
    <col min="2047" max="2047" width="5.140625" style="2" customWidth="1"/>
    <col min="2048" max="2049" width="17.5703125" style="2" customWidth="1"/>
    <col min="2050" max="2293" width="9.140625" style="2"/>
    <col min="2294" max="2294" width="3.7109375" style="2" customWidth="1"/>
    <col min="2295" max="2295" width="96.85546875" style="2" customWidth="1"/>
    <col min="2296" max="2296" width="30.85546875" style="2" customWidth="1"/>
    <col min="2297" max="2297" width="12.5703125" style="2" customWidth="1"/>
    <col min="2298" max="2298" width="5.140625" style="2" customWidth="1"/>
    <col min="2299" max="2299" width="9.140625" style="2"/>
    <col min="2300" max="2300" width="4.85546875" style="2" customWidth="1"/>
    <col min="2301" max="2301" width="30.5703125" style="2" customWidth="1"/>
    <col min="2302" max="2302" width="33.85546875" style="2" customWidth="1"/>
    <col min="2303" max="2303" width="5.140625" style="2" customWidth="1"/>
    <col min="2304" max="2305" width="17.5703125" style="2" customWidth="1"/>
    <col min="2306" max="2549" width="9.140625" style="2"/>
    <col min="2550" max="2550" width="3.7109375" style="2" customWidth="1"/>
    <col min="2551" max="2551" width="96.85546875" style="2" customWidth="1"/>
    <col min="2552" max="2552" width="30.85546875" style="2" customWidth="1"/>
    <col min="2553" max="2553" width="12.5703125" style="2" customWidth="1"/>
    <col min="2554" max="2554" width="5.140625" style="2" customWidth="1"/>
    <col min="2555" max="2555" width="9.140625" style="2"/>
    <col min="2556" max="2556" width="4.85546875" style="2" customWidth="1"/>
    <col min="2557" max="2557" width="30.5703125" style="2" customWidth="1"/>
    <col min="2558" max="2558" width="33.85546875" style="2" customWidth="1"/>
    <col min="2559" max="2559" width="5.140625" style="2" customWidth="1"/>
    <col min="2560" max="2561" width="17.5703125" style="2" customWidth="1"/>
    <col min="2562" max="2805" width="9.140625" style="2"/>
    <col min="2806" max="2806" width="3.7109375" style="2" customWidth="1"/>
    <col min="2807" max="2807" width="96.85546875" style="2" customWidth="1"/>
    <col min="2808" max="2808" width="30.85546875" style="2" customWidth="1"/>
    <col min="2809" max="2809" width="12.5703125" style="2" customWidth="1"/>
    <col min="2810" max="2810" width="5.140625" style="2" customWidth="1"/>
    <col min="2811" max="2811" width="9.140625" style="2"/>
    <col min="2812" max="2812" width="4.85546875" style="2" customWidth="1"/>
    <col min="2813" max="2813" width="30.5703125" style="2" customWidth="1"/>
    <col min="2814" max="2814" width="33.85546875" style="2" customWidth="1"/>
    <col min="2815" max="2815" width="5.140625" style="2" customWidth="1"/>
    <col min="2816" max="2817" width="17.5703125" style="2" customWidth="1"/>
    <col min="2818" max="3061" width="9.140625" style="2"/>
    <col min="3062" max="3062" width="3.7109375" style="2" customWidth="1"/>
    <col min="3063" max="3063" width="96.85546875" style="2" customWidth="1"/>
    <col min="3064" max="3064" width="30.85546875" style="2" customWidth="1"/>
    <col min="3065" max="3065" width="12.5703125" style="2" customWidth="1"/>
    <col min="3066" max="3066" width="5.140625" style="2" customWidth="1"/>
    <col min="3067" max="3067" width="9.140625" style="2"/>
    <col min="3068" max="3068" width="4.85546875" style="2" customWidth="1"/>
    <col min="3069" max="3069" width="30.5703125" style="2" customWidth="1"/>
    <col min="3070" max="3070" width="33.85546875" style="2" customWidth="1"/>
    <col min="3071" max="3071" width="5.140625" style="2" customWidth="1"/>
    <col min="3072" max="3073" width="17.5703125" style="2" customWidth="1"/>
    <col min="3074" max="3317" width="9.140625" style="2"/>
    <col min="3318" max="3318" width="3.7109375" style="2" customWidth="1"/>
    <col min="3319" max="3319" width="96.85546875" style="2" customWidth="1"/>
    <col min="3320" max="3320" width="30.85546875" style="2" customWidth="1"/>
    <col min="3321" max="3321" width="12.5703125" style="2" customWidth="1"/>
    <col min="3322" max="3322" width="5.140625" style="2" customWidth="1"/>
    <col min="3323" max="3323" width="9.140625" style="2"/>
    <col min="3324" max="3324" width="4.85546875" style="2" customWidth="1"/>
    <col min="3325" max="3325" width="30.5703125" style="2" customWidth="1"/>
    <col min="3326" max="3326" width="33.85546875" style="2" customWidth="1"/>
    <col min="3327" max="3327" width="5.140625" style="2" customWidth="1"/>
    <col min="3328" max="3329" width="17.5703125" style="2" customWidth="1"/>
    <col min="3330" max="3573" width="9.140625" style="2"/>
    <col min="3574" max="3574" width="3.7109375" style="2" customWidth="1"/>
    <col min="3575" max="3575" width="96.85546875" style="2" customWidth="1"/>
    <col min="3576" max="3576" width="30.85546875" style="2" customWidth="1"/>
    <col min="3577" max="3577" width="12.5703125" style="2" customWidth="1"/>
    <col min="3578" max="3578" width="5.140625" style="2" customWidth="1"/>
    <col min="3579" max="3579" width="9.140625" style="2"/>
    <col min="3580" max="3580" width="4.85546875" style="2" customWidth="1"/>
    <col min="3581" max="3581" width="30.5703125" style="2" customWidth="1"/>
    <col min="3582" max="3582" width="33.85546875" style="2" customWidth="1"/>
    <col min="3583" max="3583" width="5.140625" style="2" customWidth="1"/>
    <col min="3584" max="3585" width="17.5703125" style="2" customWidth="1"/>
    <col min="3586" max="3829" width="9.140625" style="2"/>
    <col min="3830" max="3830" width="3.7109375" style="2" customWidth="1"/>
    <col min="3831" max="3831" width="96.85546875" style="2" customWidth="1"/>
    <col min="3832" max="3832" width="30.85546875" style="2" customWidth="1"/>
    <col min="3833" max="3833" width="12.5703125" style="2" customWidth="1"/>
    <col min="3834" max="3834" width="5.140625" style="2" customWidth="1"/>
    <col min="3835" max="3835" width="9.140625" style="2"/>
    <col min="3836" max="3836" width="4.85546875" style="2" customWidth="1"/>
    <col min="3837" max="3837" width="30.5703125" style="2" customWidth="1"/>
    <col min="3838" max="3838" width="33.85546875" style="2" customWidth="1"/>
    <col min="3839" max="3839" width="5.140625" style="2" customWidth="1"/>
    <col min="3840" max="3841" width="17.5703125" style="2" customWidth="1"/>
    <col min="3842" max="4085" width="9.140625" style="2"/>
    <col min="4086" max="4086" width="3.7109375" style="2" customWidth="1"/>
    <col min="4087" max="4087" width="96.85546875" style="2" customWidth="1"/>
    <col min="4088" max="4088" width="30.85546875" style="2" customWidth="1"/>
    <col min="4089" max="4089" width="12.5703125" style="2" customWidth="1"/>
    <col min="4090" max="4090" width="5.140625" style="2" customWidth="1"/>
    <col min="4091" max="4091" width="9.140625" style="2"/>
    <col min="4092" max="4092" width="4.85546875" style="2" customWidth="1"/>
    <col min="4093" max="4093" width="30.5703125" style="2" customWidth="1"/>
    <col min="4094" max="4094" width="33.85546875" style="2" customWidth="1"/>
    <col min="4095" max="4095" width="5.140625" style="2" customWidth="1"/>
    <col min="4096" max="4097" width="17.5703125" style="2" customWidth="1"/>
    <col min="4098" max="4341" width="9.140625" style="2"/>
    <col min="4342" max="4342" width="3.7109375" style="2" customWidth="1"/>
    <col min="4343" max="4343" width="96.85546875" style="2" customWidth="1"/>
    <col min="4344" max="4344" width="30.85546875" style="2" customWidth="1"/>
    <col min="4345" max="4345" width="12.5703125" style="2" customWidth="1"/>
    <col min="4346" max="4346" width="5.140625" style="2" customWidth="1"/>
    <col min="4347" max="4347" width="9.140625" style="2"/>
    <col min="4348" max="4348" width="4.85546875" style="2" customWidth="1"/>
    <col min="4349" max="4349" width="30.5703125" style="2" customWidth="1"/>
    <col min="4350" max="4350" width="33.85546875" style="2" customWidth="1"/>
    <col min="4351" max="4351" width="5.140625" style="2" customWidth="1"/>
    <col min="4352" max="4353" width="17.5703125" style="2" customWidth="1"/>
    <col min="4354" max="4597" width="9.140625" style="2"/>
    <col min="4598" max="4598" width="3.7109375" style="2" customWidth="1"/>
    <col min="4599" max="4599" width="96.85546875" style="2" customWidth="1"/>
    <col min="4600" max="4600" width="30.85546875" style="2" customWidth="1"/>
    <col min="4601" max="4601" width="12.5703125" style="2" customWidth="1"/>
    <col min="4602" max="4602" width="5.140625" style="2" customWidth="1"/>
    <col min="4603" max="4603" width="9.140625" style="2"/>
    <col min="4604" max="4604" width="4.85546875" style="2" customWidth="1"/>
    <col min="4605" max="4605" width="30.5703125" style="2" customWidth="1"/>
    <col min="4606" max="4606" width="33.85546875" style="2" customWidth="1"/>
    <col min="4607" max="4607" width="5.140625" style="2" customWidth="1"/>
    <col min="4608" max="4609" width="17.5703125" style="2" customWidth="1"/>
    <col min="4610" max="4853" width="9.140625" style="2"/>
    <col min="4854" max="4854" width="3.7109375" style="2" customWidth="1"/>
    <col min="4855" max="4855" width="96.85546875" style="2" customWidth="1"/>
    <col min="4856" max="4856" width="30.85546875" style="2" customWidth="1"/>
    <col min="4857" max="4857" width="12.5703125" style="2" customWidth="1"/>
    <col min="4858" max="4858" width="5.140625" style="2" customWidth="1"/>
    <col min="4859" max="4859" width="9.140625" style="2"/>
    <col min="4860" max="4860" width="4.85546875" style="2" customWidth="1"/>
    <col min="4861" max="4861" width="30.5703125" style="2" customWidth="1"/>
    <col min="4862" max="4862" width="33.85546875" style="2" customWidth="1"/>
    <col min="4863" max="4863" width="5.140625" style="2" customWidth="1"/>
    <col min="4864" max="4865" width="17.5703125" style="2" customWidth="1"/>
    <col min="4866" max="5109" width="9.140625" style="2"/>
    <col min="5110" max="5110" width="3.7109375" style="2" customWidth="1"/>
    <col min="5111" max="5111" width="96.85546875" style="2" customWidth="1"/>
    <col min="5112" max="5112" width="30.85546875" style="2" customWidth="1"/>
    <col min="5113" max="5113" width="12.5703125" style="2" customWidth="1"/>
    <col min="5114" max="5114" width="5.140625" style="2" customWidth="1"/>
    <col min="5115" max="5115" width="9.140625" style="2"/>
    <col min="5116" max="5116" width="4.85546875" style="2" customWidth="1"/>
    <col min="5117" max="5117" width="30.5703125" style="2" customWidth="1"/>
    <col min="5118" max="5118" width="33.85546875" style="2" customWidth="1"/>
    <col min="5119" max="5119" width="5.140625" style="2" customWidth="1"/>
    <col min="5120" max="5121" width="17.5703125" style="2" customWidth="1"/>
    <col min="5122" max="5365" width="9.140625" style="2"/>
    <col min="5366" max="5366" width="3.7109375" style="2" customWidth="1"/>
    <col min="5367" max="5367" width="96.85546875" style="2" customWidth="1"/>
    <col min="5368" max="5368" width="30.85546875" style="2" customWidth="1"/>
    <col min="5369" max="5369" width="12.5703125" style="2" customWidth="1"/>
    <col min="5370" max="5370" width="5.140625" style="2" customWidth="1"/>
    <col min="5371" max="5371" width="9.140625" style="2"/>
    <col min="5372" max="5372" width="4.85546875" style="2" customWidth="1"/>
    <col min="5373" max="5373" width="30.5703125" style="2" customWidth="1"/>
    <col min="5374" max="5374" width="33.85546875" style="2" customWidth="1"/>
    <col min="5375" max="5375" width="5.140625" style="2" customWidth="1"/>
    <col min="5376" max="5377" width="17.5703125" style="2" customWidth="1"/>
    <col min="5378" max="5621" width="9.140625" style="2"/>
    <col min="5622" max="5622" width="3.7109375" style="2" customWidth="1"/>
    <col min="5623" max="5623" width="96.85546875" style="2" customWidth="1"/>
    <col min="5624" max="5624" width="30.85546875" style="2" customWidth="1"/>
    <col min="5625" max="5625" width="12.5703125" style="2" customWidth="1"/>
    <col min="5626" max="5626" width="5.140625" style="2" customWidth="1"/>
    <col min="5627" max="5627" width="9.140625" style="2"/>
    <col min="5628" max="5628" width="4.85546875" style="2" customWidth="1"/>
    <col min="5629" max="5629" width="30.5703125" style="2" customWidth="1"/>
    <col min="5630" max="5630" width="33.85546875" style="2" customWidth="1"/>
    <col min="5631" max="5631" width="5.140625" style="2" customWidth="1"/>
    <col min="5632" max="5633" width="17.5703125" style="2" customWidth="1"/>
    <col min="5634" max="5877" width="9.140625" style="2"/>
    <col min="5878" max="5878" width="3.7109375" style="2" customWidth="1"/>
    <col min="5879" max="5879" width="96.85546875" style="2" customWidth="1"/>
    <col min="5880" max="5880" width="30.85546875" style="2" customWidth="1"/>
    <col min="5881" max="5881" width="12.5703125" style="2" customWidth="1"/>
    <col min="5882" max="5882" width="5.140625" style="2" customWidth="1"/>
    <col min="5883" max="5883" width="9.140625" style="2"/>
    <col min="5884" max="5884" width="4.85546875" style="2" customWidth="1"/>
    <col min="5885" max="5885" width="30.5703125" style="2" customWidth="1"/>
    <col min="5886" max="5886" width="33.85546875" style="2" customWidth="1"/>
    <col min="5887" max="5887" width="5.140625" style="2" customWidth="1"/>
    <col min="5888" max="5889" width="17.5703125" style="2" customWidth="1"/>
    <col min="5890" max="6133" width="9.140625" style="2"/>
    <col min="6134" max="6134" width="3.7109375" style="2" customWidth="1"/>
    <col min="6135" max="6135" width="96.85546875" style="2" customWidth="1"/>
    <col min="6136" max="6136" width="30.85546875" style="2" customWidth="1"/>
    <col min="6137" max="6137" width="12.5703125" style="2" customWidth="1"/>
    <col min="6138" max="6138" width="5.140625" style="2" customWidth="1"/>
    <col min="6139" max="6139" width="9.140625" style="2"/>
    <col min="6140" max="6140" width="4.85546875" style="2" customWidth="1"/>
    <col min="6141" max="6141" width="30.5703125" style="2" customWidth="1"/>
    <col min="6142" max="6142" width="33.85546875" style="2" customWidth="1"/>
    <col min="6143" max="6143" width="5.140625" style="2" customWidth="1"/>
    <col min="6144" max="6145" width="17.5703125" style="2" customWidth="1"/>
    <col min="6146" max="6389" width="9.140625" style="2"/>
    <col min="6390" max="6390" width="3.7109375" style="2" customWidth="1"/>
    <col min="6391" max="6391" width="96.85546875" style="2" customWidth="1"/>
    <col min="6392" max="6392" width="30.85546875" style="2" customWidth="1"/>
    <col min="6393" max="6393" width="12.5703125" style="2" customWidth="1"/>
    <col min="6394" max="6394" width="5.140625" style="2" customWidth="1"/>
    <col min="6395" max="6395" width="9.140625" style="2"/>
    <col min="6396" max="6396" width="4.85546875" style="2" customWidth="1"/>
    <col min="6397" max="6397" width="30.5703125" style="2" customWidth="1"/>
    <col min="6398" max="6398" width="33.85546875" style="2" customWidth="1"/>
    <col min="6399" max="6399" width="5.140625" style="2" customWidth="1"/>
    <col min="6400" max="6401" width="17.5703125" style="2" customWidth="1"/>
    <col min="6402" max="6645" width="9.140625" style="2"/>
    <col min="6646" max="6646" width="3.7109375" style="2" customWidth="1"/>
    <col min="6647" max="6647" width="96.85546875" style="2" customWidth="1"/>
    <col min="6648" max="6648" width="30.85546875" style="2" customWidth="1"/>
    <col min="6649" max="6649" width="12.5703125" style="2" customWidth="1"/>
    <col min="6650" max="6650" width="5.140625" style="2" customWidth="1"/>
    <col min="6651" max="6651" width="9.140625" style="2"/>
    <col min="6652" max="6652" width="4.85546875" style="2" customWidth="1"/>
    <col min="6653" max="6653" width="30.5703125" style="2" customWidth="1"/>
    <col min="6654" max="6654" width="33.85546875" style="2" customWidth="1"/>
    <col min="6655" max="6655" width="5.140625" style="2" customWidth="1"/>
    <col min="6656" max="6657" width="17.5703125" style="2" customWidth="1"/>
    <col min="6658" max="6901" width="9.140625" style="2"/>
    <col min="6902" max="6902" width="3.7109375" style="2" customWidth="1"/>
    <col min="6903" max="6903" width="96.85546875" style="2" customWidth="1"/>
    <col min="6904" max="6904" width="30.85546875" style="2" customWidth="1"/>
    <col min="6905" max="6905" width="12.5703125" style="2" customWidth="1"/>
    <col min="6906" max="6906" width="5.140625" style="2" customWidth="1"/>
    <col min="6907" max="6907" width="9.140625" style="2"/>
    <col min="6908" max="6908" width="4.85546875" style="2" customWidth="1"/>
    <col min="6909" max="6909" width="30.5703125" style="2" customWidth="1"/>
    <col min="6910" max="6910" width="33.85546875" style="2" customWidth="1"/>
    <col min="6911" max="6911" width="5.140625" style="2" customWidth="1"/>
    <col min="6912" max="6913" width="17.5703125" style="2" customWidth="1"/>
    <col min="6914" max="7157" width="9.140625" style="2"/>
    <col min="7158" max="7158" width="3.7109375" style="2" customWidth="1"/>
    <col min="7159" max="7159" width="96.85546875" style="2" customWidth="1"/>
    <col min="7160" max="7160" width="30.85546875" style="2" customWidth="1"/>
    <col min="7161" max="7161" width="12.5703125" style="2" customWidth="1"/>
    <col min="7162" max="7162" width="5.140625" style="2" customWidth="1"/>
    <col min="7163" max="7163" width="9.140625" style="2"/>
    <col min="7164" max="7164" width="4.85546875" style="2" customWidth="1"/>
    <col min="7165" max="7165" width="30.5703125" style="2" customWidth="1"/>
    <col min="7166" max="7166" width="33.85546875" style="2" customWidth="1"/>
    <col min="7167" max="7167" width="5.140625" style="2" customWidth="1"/>
    <col min="7168" max="7169" width="17.5703125" style="2" customWidth="1"/>
    <col min="7170" max="7413" width="9.140625" style="2"/>
    <col min="7414" max="7414" width="3.7109375" style="2" customWidth="1"/>
    <col min="7415" max="7415" width="96.85546875" style="2" customWidth="1"/>
    <col min="7416" max="7416" width="30.85546875" style="2" customWidth="1"/>
    <col min="7417" max="7417" width="12.5703125" style="2" customWidth="1"/>
    <col min="7418" max="7418" width="5.140625" style="2" customWidth="1"/>
    <col min="7419" max="7419" width="9.140625" style="2"/>
    <col min="7420" max="7420" width="4.85546875" style="2" customWidth="1"/>
    <col min="7421" max="7421" width="30.5703125" style="2" customWidth="1"/>
    <col min="7422" max="7422" width="33.85546875" style="2" customWidth="1"/>
    <col min="7423" max="7423" width="5.140625" style="2" customWidth="1"/>
    <col min="7424" max="7425" width="17.5703125" style="2" customWidth="1"/>
    <col min="7426" max="7669" width="9.140625" style="2"/>
    <col min="7670" max="7670" width="3.7109375" style="2" customWidth="1"/>
    <col min="7671" max="7671" width="96.85546875" style="2" customWidth="1"/>
    <col min="7672" max="7672" width="30.85546875" style="2" customWidth="1"/>
    <col min="7673" max="7673" width="12.5703125" style="2" customWidth="1"/>
    <col min="7674" max="7674" width="5.140625" style="2" customWidth="1"/>
    <col min="7675" max="7675" width="9.140625" style="2"/>
    <col min="7676" max="7676" width="4.85546875" style="2" customWidth="1"/>
    <col min="7677" max="7677" width="30.5703125" style="2" customWidth="1"/>
    <col min="7678" max="7678" width="33.85546875" style="2" customWidth="1"/>
    <col min="7679" max="7679" width="5.140625" style="2" customWidth="1"/>
    <col min="7680" max="7681" width="17.5703125" style="2" customWidth="1"/>
    <col min="7682" max="7925" width="9.140625" style="2"/>
    <col min="7926" max="7926" width="3.7109375" style="2" customWidth="1"/>
    <col min="7927" max="7927" width="96.85546875" style="2" customWidth="1"/>
    <col min="7928" max="7928" width="30.85546875" style="2" customWidth="1"/>
    <col min="7929" max="7929" width="12.5703125" style="2" customWidth="1"/>
    <col min="7930" max="7930" width="5.140625" style="2" customWidth="1"/>
    <col min="7931" max="7931" width="9.140625" style="2"/>
    <col min="7932" max="7932" width="4.85546875" style="2" customWidth="1"/>
    <col min="7933" max="7933" width="30.5703125" style="2" customWidth="1"/>
    <col min="7934" max="7934" width="33.85546875" style="2" customWidth="1"/>
    <col min="7935" max="7935" width="5.140625" style="2" customWidth="1"/>
    <col min="7936" max="7937" width="17.5703125" style="2" customWidth="1"/>
    <col min="7938" max="8181" width="9.140625" style="2"/>
    <col min="8182" max="8182" width="3.7109375" style="2" customWidth="1"/>
    <col min="8183" max="8183" width="96.85546875" style="2" customWidth="1"/>
    <col min="8184" max="8184" width="30.85546875" style="2" customWidth="1"/>
    <col min="8185" max="8185" width="12.5703125" style="2" customWidth="1"/>
    <col min="8186" max="8186" width="5.140625" style="2" customWidth="1"/>
    <col min="8187" max="8187" width="9.140625" style="2"/>
    <col min="8188" max="8188" width="4.85546875" style="2" customWidth="1"/>
    <col min="8189" max="8189" width="30.5703125" style="2" customWidth="1"/>
    <col min="8190" max="8190" width="33.85546875" style="2" customWidth="1"/>
    <col min="8191" max="8191" width="5.140625" style="2" customWidth="1"/>
    <col min="8192" max="8193" width="17.5703125" style="2" customWidth="1"/>
    <col min="8194" max="8437" width="9.140625" style="2"/>
    <col min="8438" max="8438" width="3.7109375" style="2" customWidth="1"/>
    <col min="8439" max="8439" width="96.85546875" style="2" customWidth="1"/>
    <col min="8440" max="8440" width="30.85546875" style="2" customWidth="1"/>
    <col min="8441" max="8441" width="12.5703125" style="2" customWidth="1"/>
    <col min="8442" max="8442" width="5.140625" style="2" customWidth="1"/>
    <col min="8443" max="8443" width="9.140625" style="2"/>
    <col min="8444" max="8444" width="4.85546875" style="2" customWidth="1"/>
    <col min="8445" max="8445" width="30.5703125" style="2" customWidth="1"/>
    <col min="8446" max="8446" width="33.85546875" style="2" customWidth="1"/>
    <col min="8447" max="8447" width="5.140625" style="2" customWidth="1"/>
    <col min="8448" max="8449" width="17.5703125" style="2" customWidth="1"/>
    <col min="8450" max="8693" width="9.140625" style="2"/>
    <col min="8694" max="8694" width="3.7109375" style="2" customWidth="1"/>
    <col min="8695" max="8695" width="96.85546875" style="2" customWidth="1"/>
    <col min="8696" max="8696" width="30.85546875" style="2" customWidth="1"/>
    <col min="8697" max="8697" width="12.5703125" style="2" customWidth="1"/>
    <col min="8698" max="8698" width="5.140625" style="2" customWidth="1"/>
    <col min="8699" max="8699" width="9.140625" style="2"/>
    <col min="8700" max="8700" width="4.85546875" style="2" customWidth="1"/>
    <col min="8701" max="8701" width="30.5703125" style="2" customWidth="1"/>
    <col min="8702" max="8702" width="33.85546875" style="2" customWidth="1"/>
    <col min="8703" max="8703" width="5.140625" style="2" customWidth="1"/>
    <col min="8704" max="8705" width="17.5703125" style="2" customWidth="1"/>
    <col min="8706" max="8949" width="9.140625" style="2"/>
    <col min="8950" max="8950" width="3.7109375" style="2" customWidth="1"/>
    <col min="8951" max="8951" width="96.85546875" style="2" customWidth="1"/>
    <col min="8952" max="8952" width="30.85546875" style="2" customWidth="1"/>
    <col min="8953" max="8953" width="12.5703125" style="2" customWidth="1"/>
    <col min="8954" max="8954" width="5.140625" style="2" customWidth="1"/>
    <col min="8955" max="8955" width="9.140625" style="2"/>
    <col min="8956" max="8956" width="4.85546875" style="2" customWidth="1"/>
    <col min="8957" max="8957" width="30.5703125" style="2" customWidth="1"/>
    <col min="8958" max="8958" width="33.85546875" style="2" customWidth="1"/>
    <col min="8959" max="8959" width="5.140625" style="2" customWidth="1"/>
    <col min="8960" max="8961" width="17.5703125" style="2" customWidth="1"/>
    <col min="8962" max="9205" width="9.140625" style="2"/>
    <col min="9206" max="9206" width="3.7109375" style="2" customWidth="1"/>
    <col min="9207" max="9207" width="96.85546875" style="2" customWidth="1"/>
    <col min="9208" max="9208" width="30.85546875" style="2" customWidth="1"/>
    <col min="9209" max="9209" width="12.5703125" style="2" customWidth="1"/>
    <col min="9210" max="9210" width="5.140625" style="2" customWidth="1"/>
    <col min="9211" max="9211" width="9.140625" style="2"/>
    <col min="9212" max="9212" width="4.85546875" style="2" customWidth="1"/>
    <col min="9213" max="9213" width="30.5703125" style="2" customWidth="1"/>
    <col min="9214" max="9214" width="33.85546875" style="2" customWidth="1"/>
    <col min="9215" max="9215" width="5.140625" style="2" customWidth="1"/>
    <col min="9216" max="9217" width="17.5703125" style="2" customWidth="1"/>
    <col min="9218" max="9461" width="9.140625" style="2"/>
    <col min="9462" max="9462" width="3.7109375" style="2" customWidth="1"/>
    <col min="9463" max="9463" width="96.85546875" style="2" customWidth="1"/>
    <col min="9464" max="9464" width="30.85546875" style="2" customWidth="1"/>
    <col min="9465" max="9465" width="12.5703125" style="2" customWidth="1"/>
    <col min="9466" max="9466" width="5.140625" style="2" customWidth="1"/>
    <col min="9467" max="9467" width="9.140625" style="2"/>
    <col min="9468" max="9468" width="4.85546875" style="2" customWidth="1"/>
    <col min="9469" max="9469" width="30.5703125" style="2" customWidth="1"/>
    <col min="9470" max="9470" width="33.85546875" style="2" customWidth="1"/>
    <col min="9471" max="9471" width="5.140625" style="2" customWidth="1"/>
    <col min="9472" max="9473" width="17.5703125" style="2" customWidth="1"/>
    <col min="9474" max="9717" width="9.140625" style="2"/>
    <col min="9718" max="9718" width="3.7109375" style="2" customWidth="1"/>
    <col min="9719" max="9719" width="96.85546875" style="2" customWidth="1"/>
    <col min="9720" max="9720" width="30.85546875" style="2" customWidth="1"/>
    <col min="9721" max="9721" width="12.5703125" style="2" customWidth="1"/>
    <col min="9722" max="9722" width="5.140625" style="2" customWidth="1"/>
    <col min="9723" max="9723" width="9.140625" style="2"/>
    <col min="9724" max="9724" width="4.85546875" style="2" customWidth="1"/>
    <col min="9725" max="9725" width="30.5703125" style="2" customWidth="1"/>
    <col min="9726" max="9726" width="33.85546875" style="2" customWidth="1"/>
    <col min="9727" max="9727" width="5.140625" style="2" customWidth="1"/>
    <col min="9728" max="9729" width="17.5703125" style="2" customWidth="1"/>
    <col min="9730" max="9973" width="9.140625" style="2"/>
    <col min="9974" max="9974" width="3.7109375" style="2" customWidth="1"/>
    <col min="9975" max="9975" width="96.85546875" style="2" customWidth="1"/>
    <col min="9976" max="9976" width="30.85546875" style="2" customWidth="1"/>
    <col min="9977" max="9977" width="12.5703125" style="2" customWidth="1"/>
    <col min="9978" max="9978" width="5.140625" style="2" customWidth="1"/>
    <col min="9979" max="9979" width="9.140625" style="2"/>
    <col min="9980" max="9980" width="4.85546875" style="2" customWidth="1"/>
    <col min="9981" max="9981" width="30.5703125" style="2" customWidth="1"/>
    <col min="9982" max="9982" width="33.85546875" style="2" customWidth="1"/>
    <col min="9983" max="9983" width="5.140625" style="2" customWidth="1"/>
    <col min="9984" max="9985" width="17.5703125" style="2" customWidth="1"/>
    <col min="9986" max="10229" width="9.140625" style="2"/>
    <col min="10230" max="10230" width="3.7109375" style="2" customWidth="1"/>
    <col min="10231" max="10231" width="96.85546875" style="2" customWidth="1"/>
    <col min="10232" max="10232" width="30.85546875" style="2" customWidth="1"/>
    <col min="10233" max="10233" width="12.5703125" style="2" customWidth="1"/>
    <col min="10234" max="10234" width="5.140625" style="2" customWidth="1"/>
    <col min="10235" max="10235" width="9.140625" style="2"/>
    <col min="10236" max="10236" width="4.85546875" style="2" customWidth="1"/>
    <col min="10237" max="10237" width="30.5703125" style="2" customWidth="1"/>
    <col min="10238" max="10238" width="33.85546875" style="2" customWidth="1"/>
    <col min="10239" max="10239" width="5.140625" style="2" customWidth="1"/>
    <col min="10240" max="10241" width="17.5703125" style="2" customWidth="1"/>
    <col min="10242" max="10485" width="9.140625" style="2"/>
    <col min="10486" max="10486" width="3.7109375" style="2" customWidth="1"/>
    <col min="10487" max="10487" width="96.85546875" style="2" customWidth="1"/>
    <col min="10488" max="10488" width="30.85546875" style="2" customWidth="1"/>
    <col min="10489" max="10489" width="12.5703125" style="2" customWidth="1"/>
    <col min="10490" max="10490" width="5.140625" style="2" customWidth="1"/>
    <col min="10491" max="10491" width="9.140625" style="2"/>
    <col min="10492" max="10492" width="4.85546875" style="2" customWidth="1"/>
    <col min="10493" max="10493" width="30.5703125" style="2" customWidth="1"/>
    <col min="10494" max="10494" width="33.85546875" style="2" customWidth="1"/>
    <col min="10495" max="10495" width="5.140625" style="2" customWidth="1"/>
    <col min="10496" max="10497" width="17.5703125" style="2" customWidth="1"/>
    <col min="10498" max="10741" width="9.140625" style="2"/>
    <col min="10742" max="10742" width="3.7109375" style="2" customWidth="1"/>
    <col min="10743" max="10743" width="96.85546875" style="2" customWidth="1"/>
    <col min="10744" max="10744" width="30.85546875" style="2" customWidth="1"/>
    <col min="10745" max="10745" width="12.5703125" style="2" customWidth="1"/>
    <col min="10746" max="10746" width="5.140625" style="2" customWidth="1"/>
    <col min="10747" max="10747" width="9.140625" style="2"/>
    <col min="10748" max="10748" width="4.85546875" style="2" customWidth="1"/>
    <col min="10749" max="10749" width="30.5703125" style="2" customWidth="1"/>
    <col min="10750" max="10750" width="33.85546875" style="2" customWidth="1"/>
    <col min="10751" max="10751" width="5.140625" style="2" customWidth="1"/>
    <col min="10752" max="10753" width="17.5703125" style="2" customWidth="1"/>
    <col min="10754" max="10997" width="9.140625" style="2"/>
    <col min="10998" max="10998" width="3.7109375" style="2" customWidth="1"/>
    <col min="10999" max="10999" width="96.85546875" style="2" customWidth="1"/>
    <col min="11000" max="11000" width="30.85546875" style="2" customWidth="1"/>
    <col min="11001" max="11001" width="12.5703125" style="2" customWidth="1"/>
    <col min="11002" max="11002" width="5.140625" style="2" customWidth="1"/>
    <col min="11003" max="11003" width="9.140625" style="2"/>
    <col min="11004" max="11004" width="4.85546875" style="2" customWidth="1"/>
    <col min="11005" max="11005" width="30.5703125" style="2" customWidth="1"/>
    <col min="11006" max="11006" width="33.85546875" style="2" customWidth="1"/>
    <col min="11007" max="11007" width="5.140625" style="2" customWidth="1"/>
    <col min="11008" max="11009" width="17.5703125" style="2" customWidth="1"/>
    <col min="11010" max="11253" width="9.140625" style="2"/>
    <col min="11254" max="11254" width="3.7109375" style="2" customWidth="1"/>
    <col min="11255" max="11255" width="96.85546875" style="2" customWidth="1"/>
    <col min="11256" max="11256" width="30.85546875" style="2" customWidth="1"/>
    <col min="11257" max="11257" width="12.5703125" style="2" customWidth="1"/>
    <col min="11258" max="11258" width="5.140625" style="2" customWidth="1"/>
    <col min="11259" max="11259" width="9.140625" style="2"/>
    <col min="11260" max="11260" width="4.85546875" style="2" customWidth="1"/>
    <col min="11261" max="11261" width="30.5703125" style="2" customWidth="1"/>
    <col min="11262" max="11262" width="33.85546875" style="2" customWidth="1"/>
    <col min="11263" max="11263" width="5.140625" style="2" customWidth="1"/>
    <col min="11264" max="11265" width="17.5703125" style="2" customWidth="1"/>
    <col min="11266" max="11509" width="9.140625" style="2"/>
    <col min="11510" max="11510" width="3.7109375" style="2" customWidth="1"/>
    <col min="11511" max="11511" width="96.85546875" style="2" customWidth="1"/>
    <col min="11512" max="11512" width="30.85546875" style="2" customWidth="1"/>
    <col min="11513" max="11513" width="12.5703125" style="2" customWidth="1"/>
    <col min="11514" max="11514" width="5.140625" style="2" customWidth="1"/>
    <col min="11515" max="11515" width="9.140625" style="2"/>
    <col min="11516" max="11516" width="4.85546875" style="2" customWidth="1"/>
    <col min="11517" max="11517" width="30.5703125" style="2" customWidth="1"/>
    <col min="11518" max="11518" width="33.85546875" style="2" customWidth="1"/>
    <col min="11519" max="11519" width="5.140625" style="2" customWidth="1"/>
    <col min="11520" max="11521" width="17.5703125" style="2" customWidth="1"/>
    <col min="11522" max="11765" width="9.140625" style="2"/>
    <col min="11766" max="11766" width="3.7109375" style="2" customWidth="1"/>
    <col min="11767" max="11767" width="96.85546875" style="2" customWidth="1"/>
    <col min="11768" max="11768" width="30.85546875" style="2" customWidth="1"/>
    <col min="11769" max="11769" width="12.5703125" style="2" customWidth="1"/>
    <col min="11770" max="11770" width="5.140625" style="2" customWidth="1"/>
    <col min="11771" max="11771" width="9.140625" style="2"/>
    <col min="11772" max="11772" width="4.85546875" style="2" customWidth="1"/>
    <col min="11773" max="11773" width="30.5703125" style="2" customWidth="1"/>
    <col min="11774" max="11774" width="33.85546875" style="2" customWidth="1"/>
    <col min="11775" max="11775" width="5.140625" style="2" customWidth="1"/>
    <col min="11776" max="11777" width="17.5703125" style="2" customWidth="1"/>
    <col min="11778" max="12021" width="9.140625" style="2"/>
    <col min="12022" max="12022" width="3.7109375" style="2" customWidth="1"/>
    <col min="12023" max="12023" width="96.85546875" style="2" customWidth="1"/>
    <col min="12024" max="12024" width="30.85546875" style="2" customWidth="1"/>
    <col min="12025" max="12025" width="12.5703125" style="2" customWidth="1"/>
    <col min="12026" max="12026" width="5.140625" style="2" customWidth="1"/>
    <col min="12027" max="12027" width="9.140625" style="2"/>
    <col min="12028" max="12028" width="4.85546875" style="2" customWidth="1"/>
    <col min="12029" max="12029" width="30.5703125" style="2" customWidth="1"/>
    <col min="12030" max="12030" width="33.85546875" style="2" customWidth="1"/>
    <col min="12031" max="12031" width="5.140625" style="2" customWidth="1"/>
    <col min="12032" max="12033" width="17.5703125" style="2" customWidth="1"/>
    <col min="12034" max="12277" width="9.140625" style="2"/>
    <col min="12278" max="12278" width="3.7109375" style="2" customWidth="1"/>
    <col min="12279" max="12279" width="96.85546875" style="2" customWidth="1"/>
    <col min="12280" max="12280" width="30.85546875" style="2" customWidth="1"/>
    <col min="12281" max="12281" width="12.5703125" style="2" customWidth="1"/>
    <col min="12282" max="12282" width="5.140625" style="2" customWidth="1"/>
    <col min="12283" max="12283" width="9.140625" style="2"/>
    <col min="12284" max="12284" width="4.85546875" style="2" customWidth="1"/>
    <col min="12285" max="12285" width="30.5703125" style="2" customWidth="1"/>
    <col min="12286" max="12286" width="33.85546875" style="2" customWidth="1"/>
    <col min="12287" max="12287" width="5.140625" style="2" customWidth="1"/>
    <col min="12288" max="12289" width="17.5703125" style="2" customWidth="1"/>
    <col min="12290" max="12533" width="9.140625" style="2"/>
    <col min="12534" max="12534" width="3.7109375" style="2" customWidth="1"/>
    <col min="12535" max="12535" width="96.85546875" style="2" customWidth="1"/>
    <col min="12536" max="12536" width="30.85546875" style="2" customWidth="1"/>
    <col min="12537" max="12537" width="12.5703125" style="2" customWidth="1"/>
    <col min="12538" max="12538" width="5.140625" style="2" customWidth="1"/>
    <col min="12539" max="12539" width="9.140625" style="2"/>
    <col min="12540" max="12540" width="4.85546875" style="2" customWidth="1"/>
    <col min="12541" max="12541" width="30.5703125" style="2" customWidth="1"/>
    <col min="12542" max="12542" width="33.85546875" style="2" customWidth="1"/>
    <col min="12543" max="12543" width="5.140625" style="2" customWidth="1"/>
    <col min="12544" max="12545" width="17.5703125" style="2" customWidth="1"/>
    <col min="12546" max="12789" width="9.140625" style="2"/>
    <col min="12790" max="12790" width="3.7109375" style="2" customWidth="1"/>
    <col min="12791" max="12791" width="96.85546875" style="2" customWidth="1"/>
    <col min="12792" max="12792" width="30.85546875" style="2" customWidth="1"/>
    <col min="12793" max="12793" width="12.5703125" style="2" customWidth="1"/>
    <col min="12794" max="12794" width="5.140625" style="2" customWidth="1"/>
    <col min="12795" max="12795" width="9.140625" style="2"/>
    <col min="12796" max="12796" width="4.85546875" style="2" customWidth="1"/>
    <col min="12797" max="12797" width="30.5703125" style="2" customWidth="1"/>
    <col min="12798" max="12798" width="33.85546875" style="2" customWidth="1"/>
    <col min="12799" max="12799" width="5.140625" style="2" customWidth="1"/>
    <col min="12800" max="12801" width="17.5703125" style="2" customWidth="1"/>
    <col min="12802" max="13045" width="9.140625" style="2"/>
    <col min="13046" max="13046" width="3.7109375" style="2" customWidth="1"/>
    <col min="13047" max="13047" width="96.85546875" style="2" customWidth="1"/>
    <col min="13048" max="13048" width="30.85546875" style="2" customWidth="1"/>
    <col min="13049" max="13049" width="12.5703125" style="2" customWidth="1"/>
    <col min="13050" max="13050" width="5.140625" style="2" customWidth="1"/>
    <col min="13051" max="13051" width="9.140625" style="2"/>
    <col min="13052" max="13052" width="4.85546875" style="2" customWidth="1"/>
    <col min="13053" max="13053" width="30.5703125" style="2" customWidth="1"/>
    <col min="13054" max="13054" width="33.85546875" style="2" customWidth="1"/>
    <col min="13055" max="13055" width="5.140625" style="2" customWidth="1"/>
    <col min="13056" max="13057" width="17.5703125" style="2" customWidth="1"/>
    <col min="13058" max="13301" width="9.140625" style="2"/>
    <col min="13302" max="13302" width="3.7109375" style="2" customWidth="1"/>
    <col min="13303" max="13303" width="96.85546875" style="2" customWidth="1"/>
    <col min="13304" max="13304" width="30.85546875" style="2" customWidth="1"/>
    <col min="13305" max="13305" width="12.5703125" style="2" customWidth="1"/>
    <col min="13306" max="13306" width="5.140625" style="2" customWidth="1"/>
    <col min="13307" max="13307" width="9.140625" style="2"/>
    <col min="13308" max="13308" width="4.85546875" style="2" customWidth="1"/>
    <col min="13309" max="13309" width="30.5703125" style="2" customWidth="1"/>
    <col min="13310" max="13310" width="33.85546875" style="2" customWidth="1"/>
    <col min="13311" max="13311" width="5.140625" style="2" customWidth="1"/>
    <col min="13312" max="13313" width="17.5703125" style="2" customWidth="1"/>
    <col min="13314" max="13557" width="9.140625" style="2"/>
    <col min="13558" max="13558" width="3.7109375" style="2" customWidth="1"/>
    <col min="13559" max="13559" width="96.85546875" style="2" customWidth="1"/>
    <col min="13560" max="13560" width="30.85546875" style="2" customWidth="1"/>
    <col min="13561" max="13561" width="12.5703125" style="2" customWidth="1"/>
    <col min="13562" max="13562" width="5.140625" style="2" customWidth="1"/>
    <col min="13563" max="13563" width="9.140625" style="2"/>
    <col min="13564" max="13564" width="4.85546875" style="2" customWidth="1"/>
    <col min="13565" max="13565" width="30.5703125" style="2" customWidth="1"/>
    <col min="13566" max="13566" width="33.85546875" style="2" customWidth="1"/>
    <col min="13567" max="13567" width="5.140625" style="2" customWidth="1"/>
    <col min="13568" max="13569" width="17.5703125" style="2" customWidth="1"/>
    <col min="13570" max="13813" width="9.140625" style="2"/>
    <col min="13814" max="13814" width="3.7109375" style="2" customWidth="1"/>
    <col min="13815" max="13815" width="96.85546875" style="2" customWidth="1"/>
    <col min="13816" max="13816" width="30.85546875" style="2" customWidth="1"/>
    <col min="13817" max="13817" width="12.5703125" style="2" customWidth="1"/>
    <col min="13818" max="13818" width="5.140625" style="2" customWidth="1"/>
    <col min="13819" max="13819" width="9.140625" style="2"/>
    <col min="13820" max="13820" width="4.85546875" style="2" customWidth="1"/>
    <col min="13821" max="13821" width="30.5703125" style="2" customWidth="1"/>
    <col min="13822" max="13822" width="33.85546875" style="2" customWidth="1"/>
    <col min="13823" max="13823" width="5.140625" style="2" customWidth="1"/>
    <col min="13824" max="13825" width="17.5703125" style="2" customWidth="1"/>
    <col min="13826" max="14069" width="9.140625" style="2"/>
    <col min="14070" max="14070" width="3.7109375" style="2" customWidth="1"/>
    <col min="14071" max="14071" width="96.85546875" style="2" customWidth="1"/>
    <col min="14072" max="14072" width="30.85546875" style="2" customWidth="1"/>
    <col min="14073" max="14073" width="12.5703125" style="2" customWidth="1"/>
    <col min="14074" max="14074" width="5.140625" style="2" customWidth="1"/>
    <col min="14075" max="14075" width="9.140625" style="2"/>
    <col min="14076" max="14076" width="4.85546875" style="2" customWidth="1"/>
    <col min="14077" max="14077" width="30.5703125" style="2" customWidth="1"/>
    <col min="14078" max="14078" width="33.85546875" style="2" customWidth="1"/>
    <col min="14079" max="14079" width="5.140625" style="2" customWidth="1"/>
    <col min="14080" max="14081" width="17.5703125" style="2" customWidth="1"/>
    <col min="14082" max="14325" width="9.140625" style="2"/>
    <col min="14326" max="14326" width="3.7109375" style="2" customWidth="1"/>
    <col min="14327" max="14327" width="96.85546875" style="2" customWidth="1"/>
    <col min="14328" max="14328" width="30.85546875" style="2" customWidth="1"/>
    <col min="14329" max="14329" width="12.5703125" style="2" customWidth="1"/>
    <col min="14330" max="14330" width="5.140625" style="2" customWidth="1"/>
    <col min="14331" max="14331" width="9.140625" style="2"/>
    <col min="14332" max="14332" width="4.85546875" style="2" customWidth="1"/>
    <col min="14333" max="14333" width="30.5703125" style="2" customWidth="1"/>
    <col min="14334" max="14334" width="33.85546875" style="2" customWidth="1"/>
    <col min="14335" max="14335" width="5.140625" style="2" customWidth="1"/>
    <col min="14336" max="14337" width="17.5703125" style="2" customWidth="1"/>
    <col min="14338" max="14581" width="9.140625" style="2"/>
    <col min="14582" max="14582" width="3.7109375" style="2" customWidth="1"/>
    <col min="14583" max="14583" width="96.85546875" style="2" customWidth="1"/>
    <col min="14584" max="14584" width="30.85546875" style="2" customWidth="1"/>
    <col min="14585" max="14585" width="12.5703125" style="2" customWidth="1"/>
    <col min="14586" max="14586" width="5.140625" style="2" customWidth="1"/>
    <col min="14587" max="14587" width="9.140625" style="2"/>
    <col min="14588" max="14588" width="4.85546875" style="2" customWidth="1"/>
    <col min="14589" max="14589" width="30.5703125" style="2" customWidth="1"/>
    <col min="14590" max="14590" width="33.85546875" style="2" customWidth="1"/>
    <col min="14591" max="14591" width="5.140625" style="2" customWidth="1"/>
    <col min="14592" max="14593" width="17.5703125" style="2" customWidth="1"/>
    <col min="14594" max="14837" width="9.140625" style="2"/>
    <col min="14838" max="14838" width="3.7109375" style="2" customWidth="1"/>
    <col min="14839" max="14839" width="96.85546875" style="2" customWidth="1"/>
    <col min="14840" max="14840" width="30.85546875" style="2" customWidth="1"/>
    <col min="14841" max="14841" width="12.5703125" style="2" customWidth="1"/>
    <col min="14842" max="14842" width="5.140625" style="2" customWidth="1"/>
    <col min="14843" max="14843" width="9.140625" style="2"/>
    <col min="14844" max="14844" width="4.85546875" style="2" customWidth="1"/>
    <col min="14845" max="14845" width="30.5703125" style="2" customWidth="1"/>
    <col min="14846" max="14846" width="33.85546875" style="2" customWidth="1"/>
    <col min="14847" max="14847" width="5.140625" style="2" customWidth="1"/>
    <col min="14848" max="14849" width="17.5703125" style="2" customWidth="1"/>
    <col min="14850" max="15093" width="9.140625" style="2"/>
    <col min="15094" max="15094" width="3.7109375" style="2" customWidth="1"/>
    <col min="15095" max="15095" width="96.85546875" style="2" customWidth="1"/>
    <col min="15096" max="15096" width="30.85546875" style="2" customWidth="1"/>
    <col min="15097" max="15097" width="12.5703125" style="2" customWidth="1"/>
    <col min="15098" max="15098" width="5.140625" style="2" customWidth="1"/>
    <col min="15099" max="15099" width="9.140625" style="2"/>
    <col min="15100" max="15100" width="4.85546875" style="2" customWidth="1"/>
    <col min="15101" max="15101" width="30.5703125" style="2" customWidth="1"/>
    <col min="15102" max="15102" width="33.85546875" style="2" customWidth="1"/>
    <col min="15103" max="15103" width="5.140625" style="2" customWidth="1"/>
    <col min="15104" max="15105" width="17.5703125" style="2" customWidth="1"/>
    <col min="15106" max="15349" width="9.140625" style="2"/>
    <col min="15350" max="15350" width="3.7109375" style="2" customWidth="1"/>
    <col min="15351" max="15351" width="96.85546875" style="2" customWidth="1"/>
    <col min="15352" max="15352" width="30.85546875" style="2" customWidth="1"/>
    <col min="15353" max="15353" width="12.5703125" style="2" customWidth="1"/>
    <col min="15354" max="15354" width="5.140625" style="2" customWidth="1"/>
    <col min="15355" max="15355" width="9.140625" style="2"/>
    <col min="15356" max="15356" width="4.85546875" style="2" customWidth="1"/>
    <col min="15357" max="15357" width="30.5703125" style="2" customWidth="1"/>
    <col min="15358" max="15358" width="33.85546875" style="2" customWidth="1"/>
    <col min="15359" max="15359" width="5.140625" style="2" customWidth="1"/>
    <col min="15360" max="15361" width="17.5703125" style="2" customWidth="1"/>
    <col min="15362" max="15605" width="9.140625" style="2"/>
    <col min="15606" max="15606" width="3.7109375" style="2" customWidth="1"/>
    <col min="15607" max="15607" width="96.85546875" style="2" customWidth="1"/>
    <col min="15608" max="15608" width="30.85546875" style="2" customWidth="1"/>
    <col min="15609" max="15609" width="12.5703125" style="2" customWidth="1"/>
    <col min="15610" max="15610" width="5.140625" style="2" customWidth="1"/>
    <col min="15611" max="15611" width="9.140625" style="2"/>
    <col min="15612" max="15612" width="4.85546875" style="2" customWidth="1"/>
    <col min="15613" max="15613" width="30.5703125" style="2" customWidth="1"/>
    <col min="15614" max="15614" width="33.85546875" style="2" customWidth="1"/>
    <col min="15615" max="15615" width="5.140625" style="2" customWidth="1"/>
    <col min="15616" max="15617" width="17.5703125" style="2" customWidth="1"/>
    <col min="15618" max="15861" width="9.140625" style="2"/>
    <col min="15862" max="15862" width="3.7109375" style="2" customWidth="1"/>
    <col min="15863" max="15863" width="96.85546875" style="2" customWidth="1"/>
    <col min="15864" max="15864" width="30.85546875" style="2" customWidth="1"/>
    <col min="15865" max="15865" width="12.5703125" style="2" customWidth="1"/>
    <col min="15866" max="15866" width="5.140625" style="2" customWidth="1"/>
    <col min="15867" max="15867" width="9.140625" style="2"/>
    <col min="15868" max="15868" width="4.85546875" style="2" customWidth="1"/>
    <col min="15869" max="15869" width="30.5703125" style="2" customWidth="1"/>
    <col min="15870" max="15870" width="33.85546875" style="2" customWidth="1"/>
    <col min="15871" max="15871" width="5.140625" style="2" customWidth="1"/>
    <col min="15872" max="15873" width="17.5703125" style="2" customWidth="1"/>
    <col min="15874" max="16117" width="9.140625" style="2"/>
    <col min="16118" max="16118" width="3.7109375" style="2" customWidth="1"/>
    <col min="16119" max="16119" width="96.85546875" style="2" customWidth="1"/>
    <col min="16120" max="16120" width="30.85546875" style="2" customWidth="1"/>
    <col min="16121" max="16121" width="12.5703125" style="2" customWidth="1"/>
    <col min="16122" max="16122" width="5.140625" style="2" customWidth="1"/>
    <col min="16123" max="16123" width="9.140625" style="2"/>
    <col min="16124" max="16124" width="4.85546875" style="2" customWidth="1"/>
    <col min="16125" max="16125" width="30.5703125" style="2" customWidth="1"/>
    <col min="16126" max="16126" width="33.85546875" style="2" customWidth="1"/>
    <col min="16127" max="16127" width="5.140625" style="2" customWidth="1"/>
    <col min="16128" max="16129" width="17.5703125" style="2" customWidth="1"/>
    <col min="16130" max="16384" width="9.140625" style="2"/>
  </cols>
  <sheetData>
    <row r="1" spans="1:3" ht="48" customHeight="1" x14ac:dyDescent="0.2">
      <c r="A1" s="3"/>
      <c r="B1" s="143" t="s">
        <v>227</v>
      </c>
      <c r="C1" s="143"/>
    </row>
    <row r="2" spans="1:3" x14ac:dyDescent="0.2">
      <c r="A2" s="3"/>
      <c r="B2" s="4" t="s">
        <v>1</v>
      </c>
      <c r="C2" s="5">
        <v>46052</v>
      </c>
    </row>
    <row r="3" spans="1:3" x14ac:dyDescent="0.2">
      <c r="A3" s="3"/>
      <c r="B3" s="117" t="s">
        <v>2</v>
      </c>
      <c r="C3" s="7"/>
    </row>
    <row r="4" spans="1:3" ht="21" customHeight="1" x14ac:dyDescent="0.2">
      <c r="A4" s="8"/>
      <c r="B4" s="9" t="str">
        <f>[18]И1!D13</f>
        <v>Субъект Российской Федерации</v>
      </c>
      <c r="C4" s="10" t="str">
        <f>[18]И1!E13</f>
        <v>Новосибирская область</v>
      </c>
    </row>
    <row r="5" spans="1:3" ht="37.5" customHeight="1" x14ac:dyDescent="0.2">
      <c r="A5" s="8"/>
      <c r="B5" s="9" t="str">
        <f>[18]И1!D14</f>
        <v>Тип муниципального образования (выберите из списка)</v>
      </c>
      <c r="C5" s="10" t="str">
        <f>[19]И1!E14</f>
        <v>село Морозово, Искитимский муниципальный район</v>
      </c>
    </row>
    <row r="6" spans="1:3" x14ac:dyDescent="0.2">
      <c r="A6" s="8"/>
      <c r="B6" s="9" t="str">
        <f>IF([18]И1!E15="","",[18]И1!D15)</f>
        <v/>
      </c>
      <c r="C6" s="7">
        <f>IF([18]И1!E15="","",[18]И1!E15)</f>
        <v>0</v>
      </c>
    </row>
    <row r="7" spans="1:3" x14ac:dyDescent="0.2">
      <c r="A7" s="8"/>
      <c r="B7" s="9" t="str">
        <f>[18]И1!D16</f>
        <v>Код ОКТМО</v>
      </c>
      <c r="C7" s="11" t="str">
        <f>[19]И1!E16</f>
        <v xml:space="preserve"> (50615418101)</v>
      </c>
    </row>
    <row r="8" spans="1:3" x14ac:dyDescent="0.2">
      <c r="A8" s="8"/>
      <c r="B8" s="12" t="str">
        <f>[18]И1!D17</f>
        <v>Система теплоснабжения</v>
      </c>
      <c r="C8" s="13">
        <f>[18]И1!E17</f>
        <v>0</v>
      </c>
    </row>
    <row r="9" spans="1:3" x14ac:dyDescent="0.2">
      <c r="A9" s="8"/>
      <c r="B9" s="9" t="str">
        <f>[18]И1!D8</f>
        <v>Период регулирования (i)-й</v>
      </c>
      <c r="C9" s="14">
        <f>[18]И1!E8</f>
        <v>2026</v>
      </c>
    </row>
    <row r="10" spans="1:3" x14ac:dyDescent="0.2">
      <c r="A10" s="8"/>
      <c r="B10" s="9" t="str">
        <f>[18]И1!D9</f>
        <v>Период регулирования (i-1)-й</v>
      </c>
      <c r="C10" s="14">
        <f>[18]И1!E9</f>
        <v>2025</v>
      </c>
    </row>
    <row r="11" spans="1:3" x14ac:dyDescent="0.2">
      <c r="A11" s="8"/>
      <c r="B11" s="9" t="str">
        <f>[18]И1!D10</f>
        <v>Период регулирования (i-2)-й</v>
      </c>
      <c r="C11" s="14">
        <f>[18]И1!E10</f>
        <v>2024</v>
      </c>
    </row>
    <row r="12" spans="1:3" x14ac:dyDescent="0.2">
      <c r="A12" s="8"/>
      <c r="B12" s="9" t="str">
        <f>[18]И1!D11</f>
        <v>Базовый год (б)</v>
      </c>
      <c r="C12" s="14">
        <f>[18]И1!E11</f>
        <v>2019</v>
      </c>
    </row>
    <row r="13" spans="1:3" x14ac:dyDescent="0.2">
      <c r="A13" s="8"/>
      <c r="B13" s="9" t="str">
        <f>[18]И1!D18</f>
        <v>Вид топлива, использование которого преобладает в системе теплоснабжения</v>
      </c>
      <c r="C13" s="15" t="str">
        <f>[18]И1!E18</f>
        <v>Газ</v>
      </c>
    </row>
    <row r="14" spans="1:3" ht="26.25" customHeight="1" thickBot="1" x14ac:dyDescent="0.25">
      <c r="A14" s="147" t="s">
        <v>3</v>
      </c>
      <c r="B14" s="147"/>
      <c r="C14" s="147"/>
    </row>
    <row r="15" spans="1:3" x14ac:dyDescent="0.2">
      <c r="A15" s="16" t="s">
        <v>4</v>
      </c>
      <c r="B15" s="30" t="s">
        <v>5</v>
      </c>
      <c r="C15" s="118" t="s">
        <v>6</v>
      </c>
    </row>
    <row r="16" spans="1:3" x14ac:dyDescent="0.2">
      <c r="A16" s="19">
        <v>1</v>
      </c>
      <c r="B16" s="119">
        <v>2</v>
      </c>
      <c r="C16" s="120">
        <v>3</v>
      </c>
    </row>
    <row r="17" spans="1:3" x14ac:dyDescent="0.2">
      <c r="A17" s="22">
        <v>1</v>
      </c>
      <c r="B17" s="23" t="s">
        <v>7</v>
      </c>
      <c r="C17" s="24">
        <f>SUM(C18:C23)</f>
        <v>4429.2719529381957</v>
      </c>
    </row>
    <row r="18" spans="1:3" ht="42.75" x14ac:dyDescent="0.2">
      <c r="A18" s="22" t="s">
        <v>8</v>
      </c>
      <c r="B18" s="25" t="s">
        <v>9</v>
      </c>
      <c r="C18" s="26">
        <f>[18]С1!F12</f>
        <v>1278.3072413778675</v>
      </c>
    </row>
    <row r="19" spans="1:3" ht="42.75" x14ac:dyDescent="0.2">
      <c r="A19" s="22" t="s">
        <v>10</v>
      </c>
      <c r="B19" s="25" t="s">
        <v>11</v>
      </c>
      <c r="C19" s="26">
        <f>[18]С2!F12</f>
        <v>2138.4809328120286</v>
      </c>
    </row>
    <row r="20" spans="1:3" ht="30" x14ac:dyDescent="0.2">
      <c r="A20" s="22" t="s">
        <v>12</v>
      </c>
      <c r="B20" s="25" t="s">
        <v>13</v>
      </c>
      <c r="C20" s="26">
        <f>[18]С3!F12</f>
        <v>648.30389958699197</v>
      </c>
    </row>
    <row r="21" spans="1:3" ht="42.75" x14ac:dyDescent="0.2">
      <c r="A21" s="22" t="s">
        <v>14</v>
      </c>
      <c r="B21" s="25" t="s">
        <v>228</v>
      </c>
      <c r="C21" s="26">
        <f>[18]С4!F12</f>
        <v>277.33140949585226</v>
      </c>
    </row>
    <row r="22" spans="1:3" ht="33" customHeight="1" x14ac:dyDescent="0.2">
      <c r="A22" s="22" t="s">
        <v>16</v>
      </c>
      <c r="B22" s="25" t="s">
        <v>229</v>
      </c>
      <c r="C22" s="26">
        <f>[18]С5!F12</f>
        <v>86.848469665454815</v>
      </c>
    </row>
    <row r="23" spans="1:3" ht="45.75" customHeight="1" thickBot="1" x14ac:dyDescent="0.25">
      <c r="A23" s="27" t="s">
        <v>18</v>
      </c>
      <c r="B23" s="140" t="s">
        <v>230</v>
      </c>
      <c r="C23" s="28">
        <f>[18]С6!F12</f>
        <v>0</v>
      </c>
    </row>
    <row r="24" spans="1:3" ht="13.5" thickBot="1" x14ac:dyDescent="0.25">
      <c r="A24" s="3"/>
      <c r="C24" s="7"/>
    </row>
    <row r="25" spans="1:3" x14ac:dyDescent="0.2">
      <c r="A25" s="16" t="s">
        <v>4</v>
      </c>
      <c r="B25" s="29" t="s">
        <v>5</v>
      </c>
      <c r="C25" s="30" t="s">
        <v>6</v>
      </c>
    </row>
    <row r="26" spans="1:3" x14ac:dyDescent="0.2">
      <c r="A26" s="19">
        <v>1</v>
      </c>
      <c r="B26" s="31">
        <v>2</v>
      </c>
      <c r="C26" s="32">
        <v>3</v>
      </c>
    </row>
    <row r="27" spans="1:3" ht="30" customHeight="1" x14ac:dyDescent="0.2">
      <c r="A27" s="22">
        <v>1</v>
      </c>
      <c r="B27" s="144" t="s">
        <v>20</v>
      </c>
      <c r="C27" s="144"/>
    </row>
    <row r="28" spans="1:3" x14ac:dyDescent="0.2">
      <c r="A28" s="22" t="s">
        <v>8</v>
      </c>
      <c r="B28" s="33" t="s">
        <v>231</v>
      </c>
      <c r="C28" s="34">
        <f>[18]С1.1!E16</f>
        <v>7900</v>
      </c>
    </row>
    <row r="29" spans="1:3" ht="42.75" x14ac:dyDescent="0.2">
      <c r="A29" s="22" t="s">
        <v>10</v>
      </c>
      <c r="B29" s="33" t="s">
        <v>232</v>
      </c>
      <c r="C29" s="34">
        <f>[18]С1.1!E32</f>
        <v>6710.12</v>
      </c>
    </row>
    <row r="30" spans="1:3" ht="128.25" customHeight="1" x14ac:dyDescent="0.2">
      <c r="A30" s="22" t="s">
        <v>233</v>
      </c>
      <c r="B30" s="33" t="s">
        <v>234</v>
      </c>
      <c r="C30" s="85" t="str">
        <f>[18]С1.1!E25</f>
        <v>ООО "Газпром межрегионгаз Новосибирск", ООО "Газпром газораспределение Томск" (с 17.02.2025 ООО "Газпром газораспределение Сибирь")</v>
      </c>
    </row>
    <row r="31" spans="1:3" ht="38.25" x14ac:dyDescent="0.2">
      <c r="A31" s="22" t="s">
        <v>235</v>
      </c>
      <c r="B31" s="33" t="str">
        <f>[18]С1.1!D26</f>
        <v>Среднеарифметическое значение между установленными предельными максимальным и минимальным уровнями оптовых цен, действовавшими на день окончания (i-2)-го расчетного периода регулирования в системе теплоснабжения, без НДС, руб./тыс. куб. м</v>
      </c>
      <c r="C31" s="34">
        <f>[18]С1.1!E26</f>
        <v>5670</v>
      </c>
    </row>
    <row r="32" spans="1:3" ht="46.5" customHeight="1" x14ac:dyDescent="0.2">
      <c r="A32" s="22" t="s">
        <v>236</v>
      </c>
      <c r="B32" s="33" t="str">
        <f>[18]С1.1!D27</f>
        <v>Тариф на услуги по транспортировке газа по газораспределительным сетям, действовавший на день окончания (i-2)-го расчетного периода регулирования в системе теплоснабжения, без НДС, руб./тыс. куб. м</v>
      </c>
      <c r="C32" s="34">
        <f>[18]С1.1!E27</f>
        <v>689.14</v>
      </c>
    </row>
    <row r="33" spans="1:3" ht="39" customHeight="1" x14ac:dyDescent="0.2">
      <c r="A33" s="22" t="s">
        <v>237</v>
      </c>
      <c r="B33" s="33" t="str">
        <f>[18]С1.1!D28</f>
        <v>Размер платы за снабженческо-сбытовые услуги, действовавший на день окончания (i-2)-го расчетного периода регулирования в системе теплоснабжения, без НДС, руб./тыс. куб. м</v>
      </c>
      <c r="C33" s="34">
        <f>[18]С1.1!E28</f>
        <v>144.72999999999999</v>
      </c>
    </row>
    <row r="34" spans="1:3" ht="90" customHeight="1" x14ac:dyDescent="0.2">
      <c r="A34" s="22" t="s">
        <v>238</v>
      </c>
      <c r="B34" s="33" t="str">
        <f>[18]С1.1!D29</f>
        <v>Специальная надбавка к тарифам на услуги по транспортировке газа по газораспределительным сетям, действовавшая на день окончания (i-2)-го расчетного периода регулирования в системе теплоснабжения, без НДС, руб./тыс. куб. м</v>
      </c>
      <c r="C34" s="34">
        <f>[18]С1.1!E29</f>
        <v>206.25</v>
      </c>
    </row>
    <row r="35" spans="1:3" ht="287.25" customHeight="1" x14ac:dyDescent="0.2">
      <c r="A35" s="22" t="s">
        <v>12</v>
      </c>
      <c r="B35" s="33" t="s">
        <v>23</v>
      </c>
      <c r="C35" s="35">
        <f>[18]С1.1!E20</f>
        <v>0.21299999999999999</v>
      </c>
    </row>
    <row r="36" spans="1:3" ht="298.5" customHeight="1" x14ac:dyDescent="0.2">
      <c r="A36" s="22" t="s">
        <v>14</v>
      </c>
      <c r="B36" s="33" t="s">
        <v>24</v>
      </c>
      <c r="C36" s="35">
        <f>[18]С1.1!E21</f>
        <v>9.6000000000000002E-2</v>
      </c>
    </row>
    <row r="37" spans="1:3" ht="30" x14ac:dyDescent="0.2">
      <c r="A37" s="22" t="s">
        <v>16</v>
      </c>
      <c r="B37" s="36" t="s">
        <v>239</v>
      </c>
      <c r="C37" s="121">
        <f>[18]С1!F13</f>
        <v>156.1</v>
      </c>
    </row>
    <row r="38" spans="1:3" x14ac:dyDescent="0.2">
      <c r="A38" s="22" t="s">
        <v>18</v>
      </c>
      <c r="B38" s="36" t="s">
        <v>26</v>
      </c>
      <c r="C38" s="38">
        <f>[18]С1!F16</f>
        <v>7000</v>
      </c>
    </row>
    <row r="39" spans="1:3" ht="14.25" x14ac:dyDescent="0.2">
      <c r="A39" s="122" t="s">
        <v>27</v>
      </c>
      <c r="B39" s="39" t="s">
        <v>240</v>
      </c>
      <c r="C39" s="40">
        <f>[18]С1!F17</f>
        <v>1.1285714285714286</v>
      </c>
    </row>
    <row r="40" spans="1:3" ht="15.75" x14ac:dyDescent="0.2">
      <c r="A40" s="123" t="s">
        <v>29</v>
      </c>
      <c r="B40" s="42" t="s">
        <v>30</v>
      </c>
      <c r="C40" s="40">
        <f>[18]С1!F20</f>
        <v>22.307053372799995</v>
      </c>
    </row>
    <row r="41" spans="1:3" ht="15.75" x14ac:dyDescent="0.2">
      <c r="A41" s="123" t="s">
        <v>31</v>
      </c>
      <c r="B41" s="43" t="s">
        <v>32</v>
      </c>
      <c r="C41" s="40">
        <f>[18]С1!F21</f>
        <v>21.531904799999996</v>
      </c>
    </row>
    <row r="42" spans="1:3" ht="14.25" x14ac:dyDescent="0.2">
      <c r="A42" s="123" t="s">
        <v>33</v>
      </c>
      <c r="B42" s="44" t="s">
        <v>34</v>
      </c>
      <c r="C42" s="40">
        <f>[18]С1!F22</f>
        <v>1.036</v>
      </c>
    </row>
    <row r="43" spans="1:3" ht="53.25" thickBot="1" x14ac:dyDescent="0.25">
      <c r="A43" s="27" t="s">
        <v>35</v>
      </c>
      <c r="B43" s="45" t="s">
        <v>36</v>
      </c>
      <c r="C43" s="46" t="str">
        <f>[18]С1!F23</f>
        <v>-</v>
      </c>
    </row>
    <row r="44" spans="1:3" ht="13.5" thickBot="1" x14ac:dyDescent="0.25">
      <c r="A44" s="47"/>
      <c r="B44" s="75"/>
      <c r="C44" s="15"/>
    </row>
    <row r="45" spans="1:3" ht="30" customHeight="1" x14ac:dyDescent="0.2">
      <c r="A45" s="50" t="s">
        <v>37</v>
      </c>
      <c r="B45" s="145" t="s">
        <v>38</v>
      </c>
      <c r="C45" s="145"/>
    </row>
    <row r="46" spans="1:3" ht="25.5" x14ac:dyDescent="0.2">
      <c r="A46" s="22" t="s">
        <v>39</v>
      </c>
      <c r="B46" s="36" t="s">
        <v>40</v>
      </c>
      <c r="C46" s="51" t="str">
        <f>[18]С2.1!E12</f>
        <v>V</v>
      </c>
    </row>
    <row r="47" spans="1:3" ht="25.5" x14ac:dyDescent="0.2">
      <c r="A47" s="22" t="s">
        <v>41</v>
      </c>
      <c r="B47" s="33" t="s">
        <v>42</v>
      </c>
      <c r="C47" s="51" t="str">
        <f>[18]С2.1!E13</f>
        <v>6 и менее баллов</v>
      </c>
    </row>
    <row r="48" spans="1:3" ht="25.5" x14ac:dyDescent="0.2">
      <c r="A48" s="22" t="s">
        <v>43</v>
      </c>
      <c r="B48" s="33" t="s">
        <v>241</v>
      </c>
      <c r="C48" s="51" t="str">
        <f>[18]С2.1!E14</f>
        <v>до 200</v>
      </c>
    </row>
    <row r="49" spans="1:3" ht="25.5" x14ac:dyDescent="0.2">
      <c r="A49" s="22" t="s">
        <v>45</v>
      </c>
      <c r="B49" s="33" t="s">
        <v>242</v>
      </c>
      <c r="C49" s="52" t="str">
        <f>[18]С2.1!E15</f>
        <v>нет</v>
      </c>
    </row>
    <row r="50" spans="1:3" ht="30" x14ac:dyDescent="0.2">
      <c r="A50" s="22" t="s">
        <v>47</v>
      </c>
      <c r="B50" s="33" t="s">
        <v>48</v>
      </c>
      <c r="C50" s="34">
        <f>[18]С2!F18</f>
        <v>40220.845230503684</v>
      </c>
    </row>
    <row r="51" spans="1:3" ht="30" x14ac:dyDescent="0.2">
      <c r="A51" s="22" t="s">
        <v>49</v>
      </c>
      <c r="B51" s="53" t="s">
        <v>50</v>
      </c>
      <c r="C51" s="34">
        <f>IF([18]С2!F19&gt;0,[18]С2!F19,[18]С2!F20)</f>
        <v>23441.524932855718</v>
      </c>
    </row>
    <row r="52" spans="1:3" ht="163.5" customHeight="1" x14ac:dyDescent="0.2">
      <c r="A52" s="22" t="s">
        <v>51</v>
      </c>
      <c r="B52" s="54" t="s">
        <v>52</v>
      </c>
      <c r="C52" s="34">
        <f>[18]С2.1!E20</f>
        <v>-37</v>
      </c>
    </row>
    <row r="53" spans="1:3" ht="42.75" customHeight="1" x14ac:dyDescent="0.2">
      <c r="A53" s="22" t="s">
        <v>53</v>
      </c>
      <c r="B53" s="54" t="s">
        <v>54</v>
      </c>
      <c r="C53" s="34" t="str">
        <f>[18]С2.1!E23</f>
        <v>нет</v>
      </c>
    </row>
    <row r="54" spans="1:3" ht="38.25" x14ac:dyDescent="0.2">
      <c r="A54" s="22" t="s">
        <v>55</v>
      </c>
      <c r="B54" s="55" t="s">
        <v>56</v>
      </c>
      <c r="C54" s="34">
        <f>[18]С2.2!E10</f>
        <v>1287</v>
      </c>
    </row>
    <row r="55" spans="1:3" ht="25.5" x14ac:dyDescent="0.2">
      <c r="A55" s="22" t="s">
        <v>57</v>
      </c>
      <c r="B55" s="56" t="s">
        <v>58</v>
      </c>
      <c r="C55" s="34">
        <f>[18]С2.2!E12</f>
        <v>5.97</v>
      </c>
    </row>
    <row r="56" spans="1:3" ht="52.5" x14ac:dyDescent="0.2">
      <c r="A56" s="22" t="s">
        <v>59</v>
      </c>
      <c r="B56" s="57" t="s">
        <v>60</v>
      </c>
      <c r="C56" s="34">
        <f>[18]С2.2!E13</f>
        <v>1</v>
      </c>
    </row>
    <row r="57" spans="1:3" ht="27.75" x14ac:dyDescent="0.2">
      <c r="A57" s="22" t="s">
        <v>61</v>
      </c>
      <c r="B57" s="56" t="s">
        <v>62</v>
      </c>
      <c r="C57" s="34">
        <f>[18]С2.2!E14</f>
        <v>12104</v>
      </c>
    </row>
    <row r="58" spans="1:3" ht="109.5" customHeight="1" x14ac:dyDescent="0.2">
      <c r="A58" s="22" t="s">
        <v>63</v>
      </c>
      <c r="B58" s="57" t="s">
        <v>64</v>
      </c>
      <c r="C58" s="35">
        <f>[18]С2.2!E15</f>
        <v>4.8000000000000001E-2</v>
      </c>
    </row>
    <row r="59" spans="1:3" ht="104.25" customHeight="1" x14ac:dyDescent="0.2">
      <c r="A59" s="22" t="s">
        <v>65</v>
      </c>
      <c r="B59" s="57" t="s">
        <v>66</v>
      </c>
      <c r="C59" s="124">
        <f>[18]С2.2!E16</f>
        <v>1</v>
      </c>
    </row>
    <row r="60" spans="1:3" ht="15.75" x14ac:dyDescent="0.2">
      <c r="A60" s="22" t="s">
        <v>67</v>
      </c>
      <c r="B60" s="58" t="s">
        <v>68</v>
      </c>
      <c r="C60" s="34">
        <f>[18]С2!F21</f>
        <v>1</v>
      </c>
    </row>
    <row r="61" spans="1:3" ht="30" x14ac:dyDescent="0.2">
      <c r="A61" s="59" t="s">
        <v>69</v>
      </c>
      <c r="B61" s="33" t="s">
        <v>243</v>
      </c>
      <c r="C61" s="34">
        <f>[18]С2!F13</f>
        <v>119259.45174981897</v>
      </c>
    </row>
    <row r="62" spans="1:3" ht="30" x14ac:dyDescent="0.2">
      <c r="A62" s="59" t="s">
        <v>71</v>
      </c>
      <c r="B62" s="60" t="s">
        <v>244</v>
      </c>
      <c r="C62" s="34">
        <f>[18]С2!F14</f>
        <v>64899</v>
      </c>
    </row>
    <row r="63" spans="1:3" ht="15.75" x14ac:dyDescent="0.2">
      <c r="A63" s="59" t="s">
        <v>73</v>
      </c>
      <c r="B63" s="60" t="s">
        <v>74</v>
      </c>
      <c r="C63" s="40">
        <f>[18]С2!F15</f>
        <v>1.071</v>
      </c>
    </row>
    <row r="64" spans="1:3" ht="15.75" x14ac:dyDescent="0.2">
      <c r="A64" s="59" t="s">
        <v>75</v>
      </c>
      <c r="B64" s="60" t="s">
        <v>76</v>
      </c>
      <c r="C64" s="125">
        <f>[18]С2!F16</f>
        <v>1</v>
      </c>
    </row>
    <row r="65" spans="1:3" ht="17.25" x14ac:dyDescent="0.2">
      <c r="A65" s="59" t="s">
        <v>77</v>
      </c>
      <c r="B65" s="60" t="s">
        <v>78</v>
      </c>
      <c r="C65" s="126">
        <f>[18]С2!F17</f>
        <v>1</v>
      </c>
    </row>
    <row r="66" spans="1:3" s="63" customFormat="1" ht="14.25" x14ac:dyDescent="0.2">
      <c r="A66" s="59" t="s">
        <v>79</v>
      </c>
      <c r="B66" s="61" t="s">
        <v>80</v>
      </c>
      <c r="C66" s="62">
        <f>[18]С2!F35</f>
        <v>10</v>
      </c>
    </row>
    <row r="67" spans="1:3" ht="30" x14ac:dyDescent="0.2">
      <c r="A67" s="59" t="s">
        <v>81</v>
      </c>
      <c r="B67" s="64" t="s">
        <v>82</v>
      </c>
      <c r="C67" s="34">
        <f>[18]С2!F28</f>
        <v>379.2714742785962</v>
      </c>
    </row>
    <row r="68" spans="1:3" ht="274.5" customHeight="1" x14ac:dyDescent="0.2">
      <c r="A68" s="59" t="s">
        <v>83</v>
      </c>
      <c r="B68" s="53" t="s">
        <v>245</v>
      </c>
      <c r="C68" s="40">
        <f>[18]С2!F29</f>
        <v>0.44209422600000003</v>
      </c>
    </row>
    <row r="69" spans="1:3" ht="17.25" x14ac:dyDescent="0.2">
      <c r="A69" s="59" t="s">
        <v>85</v>
      </c>
      <c r="B69" s="58" t="s">
        <v>246</v>
      </c>
      <c r="C69" s="62">
        <f>[18]С2!F30</f>
        <v>500</v>
      </c>
    </row>
    <row r="70" spans="1:3" ht="42.75" x14ac:dyDescent="0.2">
      <c r="A70" s="59" t="s">
        <v>87</v>
      </c>
      <c r="B70" s="33" t="s">
        <v>247</v>
      </c>
      <c r="C70" s="34">
        <f>[18]С2!F22</f>
        <v>24548.869037237404</v>
      </c>
    </row>
    <row r="71" spans="1:3" ht="30" x14ac:dyDescent="0.2">
      <c r="A71" s="59" t="s">
        <v>89</v>
      </c>
      <c r="B71" s="60" t="s">
        <v>248</v>
      </c>
      <c r="C71" s="34">
        <f>[18]С2!F23</f>
        <v>21</v>
      </c>
    </row>
    <row r="72" spans="1:3" ht="30" x14ac:dyDescent="0.2">
      <c r="A72" s="59" t="s">
        <v>91</v>
      </c>
      <c r="B72" s="53" t="s">
        <v>92</v>
      </c>
      <c r="C72" s="34">
        <f>[18]С2.1!E28</f>
        <v>5515.9310416666667</v>
      </c>
    </row>
    <row r="73" spans="1:3" ht="38.25" x14ac:dyDescent="0.2">
      <c r="A73" s="59" t="s">
        <v>93</v>
      </c>
      <c r="B73" s="65" t="s">
        <v>94</v>
      </c>
      <c r="C73" s="52" t="str">
        <f>[18]С2.3!E21</f>
        <v>МУП г. Новосибирска "Горводоканал"</v>
      </c>
    </row>
    <row r="74" spans="1:3" ht="25.5" x14ac:dyDescent="0.2">
      <c r="A74" s="59" t="s">
        <v>95</v>
      </c>
      <c r="B74" s="66" t="s">
        <v>96</v>
      </c>
      <c r="C74" s="67">
        <f>[18]С2.3!E11</f>
        <v>5.45</v>
      </c>
    </row>
    <row r="75" spans="1:3" ht="25.5" x14ac:dyDescent="0.2">
      <c r="A75" s="59" t="s">
        <v>97</v>
      </c>
      <c r="B75" s="66" t="s">
        <v>98</v>
      </c>
      <c r="C75" s="62">
        <f>[18]С2.3!E13</f>
        <v>300</v>
      </c>
    </row>
    <row r="76" spans="1:3" ht="336" customHeight="1" x14ac:dyDescent="0.2">
      <c r="A76" s="59" t="s">
        <v>99</v>
      </c>
      <c r="B76" s="65" t="s">
        <v>100</v>
      </c>
      <c r="C76" s="68">
        <f>IF([18]С2.3!E22&gt;0,[18]С2.3!E22,[18]С2.3!E14)</f>
        <v>20170.833333333332</v>
      </c>
    </row>
    <row r="77" spans="1:3" ht="38.25" x14ac:dyDescent="0.2">
      <c r="A77" s="59" t="s">
        <v>101</v>
      </c>
      <c r="B77" s="65" t="s">
        <v>102</v>
      </c>
      <c r="C77" s="68">
        <f>IF([18]С2.3!E23&gt;0,[18]С2.3!E23,[18]С2.3!E15)</f>
        <v>18020</v>
      </c>
    </row>
    <row r="78" spans="1:3" ht="30" x14ac:dyDescent="0.2">
      <c r="A78" s="59" t="s">
        <v>103</v>
      </c>
      <c r="B78" s="53" t="s">
        <v>104</v>
      </c>
      <c r="C78" s="34">
        <f>[18]С2.1!E29</f>
        <v>5878.6480833333326</v>
      </c>
    </row>
    <row r="79" spans="1:3" ht="38.25" x14ac:dyDescent="0.2">
      <c r="A79" s="59" t="s">
        <v>105</v>
      </c>
      <c r="B79" s="65" t="s">
        <v>106</v>
      </c>
      <c r="C79" s="52" t="str">
        <f>[18]С2.3!E25</f>
        <v>МУП г. Новосибирска "Горводоканал"</v>
      </c>
    </row>
    <row r="80" spans="1:3" ht="25.5" x14ac:dyDescent="0.2">
      <c r="A80" s="59" t="s">
        <v>107</v>
      </c>
      <c r="B80" s="66" t="s">
        <v>108</v>
      </c>
      <c r="C80" s="67">
        <f>[18]С2.3!E12</f>
        <v>0.2</v>
      </c>
    </row>
    <row r="81" spans="1:3" ht="25.5" x14ac:dyDescent="0.2">
      <c r="A81" s="59" t="s">
        <v>109</v>
      </c>
      <c r="B81" s="66" t="s">
        <v>98</v>
      </c>
      <c r="C81" s="62">
        <f>[18]С2.3!E13</f>
        <v>300</v>
      </c>
    </row>
    <row r="82" spans="1:3" ht="330" customHeight="1" x14ac:dyDescent="0.2">
      <c r="A82" s="59" t="s">
        <v>110</v>
      </c>
      <c r="B82" s="69" t="s">
        <v>111</v>
      </c>
      <c r="C82" s="68">
        <f>IF([18]С2.3!E26&gt;0,[18]С2.3!E26,[18]С2.3!E16)</f>
        <v>38240.416666666664</v>
      </c>
    </row>
    <row r="83" spans="1:3" ht="322.5" customHeight="1" x14ac:dyDescent="0.2">
      <c r="A83" s="59" t="s">
        <v>112</v>
      </c>
      <c r="B83" s="69" t="s">
        <v>113</v>
      </c>
      <c r="C83" s="68">
        <f>IF([18]С2.3!E27&gt;0,[18]С2.3!E27,[18]С2.3!E17)</f>
        <v>19570</v>
      </c>
    </row>
    <row r="84" spans="1:3" ht="30" x14ac:dyDescent="0.2">
      <c r="A84" s="59" t="s">
        <v>249</v>
      </c>
      <c r="B84" s="60" t="s">
        <v>250</v>
      </c>
      <c r="C84" s="68">
        <f>IF([18]С2.1!E19&gt;0,[18]С2.1!E19,[18]С2!F26)</f>
        <v>2892</v>
      </c>
    </row>
    <row r="85" spans="1:3" ht="17.25" x14ac:dyDescent="0.2">
      <c r="A85" s="59" t="s">
        <v>114</v>
      </c>
      <c r="B85" s="33" t="s">
        <v>115</v>
      </c>
      <c r="C85" s="35">
        <f>[18]С2!F31</f>
        <v>0.21369165990259753</v>
      </c>
    </row>
    <row r="86" spans="1:3" ht="30" x14ac:dyDescent="0.2">
      <c r="A86" s="59" t="s">
        <v>116</v>
      </c>
      <c r="B86" s="53" t="s">
        <v>117</v>
      </c>
      <c r="C86" s="70">
        <f>[18]С2!F32</f>
        <v>0.20047619047619047</v>
      </c>
    </row>
    <row r="87" spans="1:3" ht="17.25" x14ac:dyDescent="0.2">
      <c r="A87" s="59" t="s">
        <v>118</v>
      </c>
      <c r="B87" s="71" t="s">
        <v>119</v>
      </c>
      <c r="C87" s="35">
        <f>[18]С2!F33</f>
        <v>0.13880000000000001</v>
      </c>
    </row>
    <row r="88" spans="1:3" s="63" customFormat="1" ht="18" thickBot="1" x14ac:dyDescent="0.25">
      <c r="A88" s="72" t="s">
        <v>120</v>
      </c>
      <c r="B88" s="73" t="s">
        <v>121</v>
      </c>
      <c r="C88" s="74">
        <f>[18]С2!F34</f>
        <v>0.12640000000000001</v>
      </c>
    </row>
    <row r="89" spans="1:3" ht="13.5" thickBot="1" x14ac:dyDescent="0.25">
      <c r="A89" s="47"/>
      <c r="B89" s="75"/>
      <c r="C89" s="15"/>
    </row>
    <row r="90" spans="1:3" s="63" customFormat="1" ht="30" customHeight="1" x14ac:dyDescent="0.2">
      <c r="A90" s="76" t="s">
        <v>122</v>
      </c>
      <c r="B90" s="145" t="s">
        <v>123</v>
      </c>
      <c r="C90" s="145"/>
    </row>
    <row r="91" spans="1:3" s="63" customFormat="1" ht="30" x14ac:dyDescent="0.2">
      <c r="A91" s="77" t="s">
        <v>124</v>
      </c>
      <c r="B91" s="33" t="s">
        <v>125</v>
      </c>
      <c r="C91" s="34">
        <f>[18]С3!F14</f>
        <v>11258.985598028818</v>
      </c>
    </row>
    <row r="92" spans="1:3" s="63" customFormat="1" ht="42.75" x14ac:dyDescent="0.2">
      <c r="A92" s="77" t="s">
        <v>126</v>
      </c>
      <c r="B92" s="53" t="s">
        <v>127</v>
      </c>
      <c r="C92" s="78">
        <f>[18]С3!F15</f>
        <v>0.25</v>
      </c>
    </row>
    <row r="93" spans="1:3" s="63" customFormat="1" ht="14.25" x14ac:dyDescent="0.2">
      <c r="A93" s="77" t="s">
        <v>128</v>
      </c>
      <c r="B93" s="79" t="s">
        <v>129</v>
      </c>
      <c r="C93" s="62">
        <f>[18]С3!F18</f>
        <v>15</v>
      </c>
    </row>
    <row r="94" spans="1:3" s="63" customFormat="1" ht="17.25" x14ac:dyDescent="0.2">
      <c r="A94" s="77" t="s">
        <v>130</v>
      </c>
      <c r="B94" s="33" t="s">
        <v>131</v>
      </c>
      <c r="C94" s="34">
        <f>[18]С3!F19</f>
        <v>2699.0944349242141</v>
      </c>
    </row>
    <row r="95" spans="1:3" s="63" customFormat="1" ht="55.5" x14ac:dyDescent="0.2">
      <c r="A95" s="77" t="s">
        <v>132</v>
      </c>
      <c r="B95" s="53" t="s">
        <v>133</v>
      </c>
      <c r="C95" s="80">
        <f>[18]С3!F20</f>
        <v>2.1999999999999999E-2</v>
      </c>
    </row>
    <row r="96" spans="1:3" s="63" customFormat="1" ht="14.25" x14ac:dyDescent="0.2">
      <c r="A96" s="77" t="s">
        <v>134</v>
      </c>
      <c r="B96" s="58" t="s">
        <v>80</v>
      </c>
      <c r="C96" s="62">
        <f>[18]С3!F21</f>
        <v>10</v>
      </c>
    </row>
    <row r="97" spans="1:3" s="63" customFormat="1" ht="17.25" x14ac:dyDescent="0.2">
      <c r="A97" s="77" t="s">
        <v>135</v>
      </c>
      <c r="B97" s="33" t="s">
        <v>136</v>
      </c>
      <c r="C97" s="34">
        <f>[18]С3!F22</f>
        <v>1.1378144228357887</v>
      </c>
    </row>
    <row r="98" spans="1:3" s="63" customFormat="1" ht="161.25" customHeight="1" x14ac:dyDescent="0.2">
      <c r="A98" s="77" t="s">
        <v>137</v>
      </c>
      <c r="B98" s="53" t="s">
        <v>138</v>
      </c>
      <c r="C98" s="80">
        <f>[18]С3!F23</f>
        <v>3.0000000000000001E-3</v>
      </c>
    </row>
    <row r="99" spans="1:3" s="63" customFormat="1" ht="30.75" thickBot="1" x14ac:dyDescent="0.25">
      <c r="A99" s="81" t="s">
        <v>139</v>
      </c>
      <c r="B99" s="82" t="s">
        <v>82</v>
      </c>
      <c r="C99" s="83">
        <f>[18]С3!F24</f>
        <v>379.2714742785962</v>
      </c>
    </row>
    <row r="100" spans="1:3" ht="13.5" thickBot="1" x14ac:dyDescent="0.25">
      <c r="A100" s="47"/>
      <c r="B100" s="75"/>
      <c r="C100" s="15"/>
    </row>
    <row r="101" spans="1:3" ht="30" customHeight="1" x14ac:dyDescent="0.2">
      <c r="A101" s="84" t="s">
        <v>141</v>
      </c>
      <c r="B101" s="145" t="s">
        <v>142</v>
      </c>
      <c r="C101" s="145"/>
    </row>
    <row r="102" spans="1:3" ht="30" x14ac:dyDescent="0.2">
      <c r="A102" s="59" t="s">
        <v>143</v>
      </c>
      <c r="B102" s="33" t="s">
        <v>251</v>
      </c>
      <c r="C102" s="34">
        <f>[18]С4!F16</f>
        <v>832.33500000000004</v>
      </c>
    </row>
    <row r="103" spans="1:3" ht="30" x14ac:dyDescent="0.2">
      <c r="A103" s="59" t="s">
        <v>145</v>
      </c>
      <c r="B103" s="58" t="s">
        <v>252</v>
      </c>
      <c r="C103" s="34">
        <f>[18]С4!F17</f>
        <v>43385</v>
      </c>
    </row>
    <row r="104" spans="1:3" ht="17.25" x14ac:dyDescent="0.2">
      <c r="A104" s="59" t="s">
        <v>147</v>
      </c>
      <c r="B104" s="58" t="s">
        <v>148</v>
      </c>
      <c r="C104" s="40">
        <f>[18]С4!F18</f>
        <v>1.4999999999999999E-2</v>
      </c>
    </row>
    <row r="105" spans="1:3" ht="30" x14ac:dyDescent="0.2">
      <c r="A105" s="59" t="s">
        <v>149</v>
      </c>
      <c r="B105" s="58" t="s">
        <v>150</v>
      </c>
      <c r="C105" s="34">
        <f>[18]С4!F19</f>
        <v>12104</v>
      </c>
    </row>
    <row r="106" spans="1:3" ht="31.5" x14ac:dyDescent="0.2">
      <c r="A106" s="59" t="s">
        <v>151</v>
      </c>
      <c r="B106" s="58" t="s">
        <v>152</v>
      </c>
      <c r="C106" s="40">
        <f>[18]С4!F20</f>
        <v>1.4999999999999999E-2</v>
      </c>
    </row>
    <row r="107" spans="1:3" ht="30" x14ac:dyDescent="0.2">
      <c r="A107" s="59" t="s">
        <v>153</v>
      </c>
      <c r="B107" s="33" t="s">
        <v>253</v>
      </c>
      <c r="C107" s="34">
        <f>[18]С4!F21</f>
        <v>1221.9019409821399</v>
      </c>
    </row>
    <row r="108" spans="1:3" ht="45.6" customHeight="1" x14ac:dyDescent="0.2">
      <c r="A108" s="59" t="s">
        <v>155</v>
      </c>
      <c r="B108" s="53" t="s">
        <v>156</v>
      </c>
      <c r="C108" s="85" t="str">
        <f>IF([18]С4.2!F8="да",[18]С4.2!D21,[18]С4.2!D15)</f>
        <v>АО "Новосибирскэнергосбыт"</v>
      </c>
    </row>
    <row r="109" spans="1:3" ht="68.25" customHeight="1" x14ac:dyDescent="0.2">
      <c r="A109" s="59" t="s">
        <v>157</v>
      </c>
      <c r="B109" s="53" t="s">
        <v>158</v>
      </c>
      <c r="C109" s="34">
        <f>[18]С4!F22</f>
        <v>3.6112641666666665</v>
      </c>
    </row>
    <row r="110" spans="1:3" ht="30" x14ac:dyDescent="0.2">
      <c r="A110" s="59" t="s">
        <v>159</v>
      </c>
      <c r="B110" s="58" t="s">
        <v>254</v>
      </c>
      <c r="C110" s="62">
        <f>[18]С4!F23</f>
        <v>110</v>
      </c>
    </row>
    <row r="111" spans="1:3" ht="14.25" x14ac:dyDescent="0.2">
      <c r="A111" s="59" t="s">
        <v>161</v>
      </c>
      <c r="B111" s="53" t="s">
        <v>162</v>
      </c>
      <c r="C111" s="34">
        <f>[18]С4!F24</f>
        <v>8497.1999999999989</v>
      </c>
    </row>
    <row r="112" spans="1:3" ht="14.25" x14ac:dyDescent="0.2">
      <c r="A112" s="59" t="s">
        <v>163</v>
      </c>
      <c r="B112" s="58" t="s">
        <v>164</v>
      </c>
      <c r="C112" s="40">
        <f>[18]С4!F25</f>
        <v>0.36199999999999999</v>
      </c>
    </row>
    <row r="113" spans="1:3" ht="17.25" x14ac:dyDescent="0.2">
      <c r="A113" s="59" t="s">
        <v>165</v>
      </c>
      <c r="B113" s="33" t="s">
        <v>166</v>
      </c>
      <c r="C113" s="34">
        <f>[18]С4!F26</f>
        <v>26.476980000000001</v>
      </c>
    </row>
    <row r="114" spans="1:3" ht="25.5" x14ac:dyDescent="0.2">
      <c r="A114" s="59" t="s">
        <v>167</v>
      </c>
      <c r="B114" s="53" t="s">
        <v>94</v>
      </c>
      <c r="C114" s="85">
        <f>[18]С4.3!E16</f>
        <v>0</v>
      </c>
    </row>
    <row r="115" spans="1:3" ht="360" customHeight="1" x14ac:dyDescent="0.2">
      <c r="A115" s="59" t="s">
        <v>168</v>
      </c>
      <c r="B115" s="53" t="s">
        <v>169</v>
      </c>
      <c r="C115" s="34">
        <f>[18]С4.3!E17</f>
        <v>13.48</v>
      </c>
    </row>
    <row r="116" spans="1:3" ht="38.25" x14ac:dyDescent="0.2">
      <c r="A116" s="59" t="s">
        <v>170</v>
      </c>
      <c r="B116" s="53" t="s">
        <v>106</v>
      </c>
      <c r="C116" s="85">
        <f>[18]С4.3!E18</f>
        <v>0</v>
      </c>
    </row>
    <row r="117" spans="1:3" ht="374.25" customHeight="1" x14ac:dyDescent="0.2">
      <c r="A117" s="59" t="s">
        <v>171</v>
      </c>
      <c r="B117" s="53" t="s">
        <v>172</v>
      </c>
      <c r="C117" s="34">
        <f>[18]С4.3!E19</f>
        <v>5.94</v>
      </c>
    </row>
    <row r="118" spans="1:3" x14ac:dyDescent="0.2">
      <c r="A118" s="59" t="s">
        <v>173</v>
      </c>
      <c r="B118" s="58" t="s">
        <v>174</v>
      </c>
      <c r="C118" s="62">
        <f>[18]С4.3!E11</f>
        <v>1871</v>
      </c>
    </row>
    <row r="119" spans="1:3" x14ac:dyDescent="0.2">
      <c r="A119" s="59" t="s">
        <v>175</v>
      </c>
      <c r="B119" s="58" t="s">
        <v>176</v>
      </c>
      <c r="C119" s="52">
        <f>[18]С4.3!E12</f>
        <v>61</v>
      </c>
    </row>
    <row r="120" spans="1:3" x14ac:dyDescent="0.2">
      <c r="A120" s="59" t="s">
        <v>177</v>
      </c>
      <c r="B120" s="58" t="s">
        <v>178</v>
      </c>
      <c r="C120" s="52">
        <f>[18]С4.3!E13</f>
        <v>73</v>
      </c>
    </row>
    <row r="121" spans="1:3" ht="30" x14ac:dyDescent="0.2">
      <c r="A121" s="59" t="s">
        <v>179</v>
      </c>
      <c r="B121" s="33" t="s">
        <v>255</v>
      </c>
      <c r="C121" s="34">
        <f>[18]С4!F27</f>
        <v>904.62444244124072</v>
      </c>
    </row>
    <row r="122" spans="1:3" ht="25.5" x14ac:dyDescent="0.2">
      <c r="A122" s="59" t="s">
        <v>181</v>
      </c>
      <c r="B122" s="53" t="s">
        <v>256</v>
      </c>
      <c r="C122" s="34">
        <f>[18]С4!F28</f>
        <v>694.79603874135228</v>
      </c>
    </row>
    <row r="123" spans="1:3" ht="42.75" x14ac:dyDescent="0.2">
      <c r="A123" s="59" t="s">
        <v>183</v>
      </c>
      <c r="B123" s="53" t="s">
        <v>184</v>
      </c>
      <c r="C123" s="34">
        <f>[18]С4!F29</f>
        <v>209.82840369988838</v>
      </c>
    </row>
    <row r="124" spans="1:3" ht="30.75" thickBot="1" x14ac:dyDescent="0.25">
      <c r="A124" s="72" t="s">
        <v>185</v>
      </c>
      <c r="B124" s="90" t="s">
        <v>186</v>
      </c>
      <c r="C124" s="83">
        <f>[18]С4!F30</f>
        <v>849.24563946609271</v>
      </c>
    </row>
    <row r="125" spans="1:3" s="89" customFormat="1" ht="13.5" thickBot="1" x14ac:dyDescent="0.25">
      <c r="A125" s="47"/>
      <c r="B125" s="75"/>
      <c r="C125" s="15"/>
    </row>
    <row r="126" spans="1:3" s="63" customFormat="1" ht="30" customHeight="1" x14ac:dyDescent="0.2">
      <c r="A126" s="76" t="s">
        <v>195</v>
      </c>
      <c r="B126" s="145" t="s">
        <v>196</v>
      </c>
      <c r="C126" s="145"/>
    </row>
    <row r="127" spans="1:3" ht="30.6" customHeight="1" thickBot="1" x14ac:dyDescent="0.25">
      <c r="A127" s="27" t="s">
        <v>197</v>
      </c>
      <c r="B127" s="90" t="s">
        <v>198</v>
      </c>
      <c r="C127" s="83">
        <f>[18]С5!F17</f>
        <v>0.02</v>
      </c>
    </row>
    <row r="128" spans="1:3" s="89" customFormat="1" ht="13.5" thickBot="1" x14ac:dyDescent="0.25">
      <c r="A128" s="47"/>
      <c r="B128" s="75"/>
      <c r="C128" s="15"/>
    </row>
    <row r="129" spans="1:3" ht="42.75" customHeight="1" x14ac:dyDescent="0.2">
      <c r="A129" s="84" t="s">
        <v>199</v>
      </c>
      <c r="B129" s="145" t="s">
        <v>200</v>
      </c>
      <c r="C129" s="145"/>
    </row>
    <row r="130" spans="1:3" ht="68.25" x14ac:dyDescent="0.2">
      <c r="A130" s="59" t="s">
        <v>201</v>
      </c>
      <c r="B130" s="91" t="s">
        <v>202</v>
      </c>
      <c r="C130" s="34" t="str">
        <f>IF([18]С6.1!E11="нет",[18]С6!F13,"")</f>
        <v/>
      </c>
    </row>
    <row r="131" spans="1:3" ht="42.75" x14ac:dyDescent="0.2">
      <c r="A131" s="59" t="s">
        <v>204</v>
      </c>
      <c r="B131" s="86" t="s">
        <v>205</v>
      </c>
      <c r="C131" s="92" t="str">
        <f>IF([18]С6.1!E12="нет",[18]С6.1!E17,"")</f>
        <v/>
      </c>
    </row>
    <row r="132" spans="1:3" ht="68.25" x14ac:dyDescent="0.2">
      <c r="A132" s="59" t="s">
        <v>206</v>
      </c>
      <c r="B132" s="91" t="s">
        <v>207</v>
      </c>
      <c r="C132" s="127" t="str">
        <f>IF([18]С6.1!E18="нет",[18]С6!F19,"")</f>
        <v/>
      </c>
    </row>
    <row r="133" spans="1:3" ht="55.5" x14ac:dyDescent="0.2">
      <c r="A133" s="59" t="s">
        <v>208</v>
      </c>
      <c r="B133" s="86" t="s">
        <v>209</v>
      </c>
      <c r="C133" s="35" t="str">
        <f>IF([18]С6.1!E18="нет",[18]С6.1!E19,"")</f>
        <v/>
      </c>
    </row>
    <row r="134" spans="1:3" ht="61.5" customHeight="1" x14ac:dyDescent="0.2">
      <c r="A134" s="59" t="s">
        <v>210</v>
      </c>
      <c r="B134" s="86" t="s">
        <v>257</v>
      </c>
      <c r="C134" s="35" t="str">
        <f>IF([18]С6.1!E18="нет",[18]С6.1!E22,"")</f>
        <v/>
      </c>
    </row>
    <row r="135" spans="1:3" ht="69" thickBot="1" x14ac:dyDescent="0.25">
      <c r="A135" s="72" t="s">
        <v>212</v>
      </c>
      <c r="B135" s="98" t="s">
        <v>213</v>
      </c>
      <c r="C135" s="74" t="str">
        <f>IF([18]С6.1!E18="нет",[18]С6.1!E23,"")</f>
        <v/>
      </c>
    </row>
    <row r="136" spans="1:3" s="89" customFormat="1" ht="13.5" thickBot="1" x14ac:dyDescent="0.25">
      <c r="A136" s="47"/>
      <c r="B136" s="75"/>
      <c r="C136" s="15"/>
    </row>
    <row r="137" spans="1:3" ht="15.75" x14ac:dyDescent="0.2">
      <c r="A137" s="84" t="s">
        <v>214</v>
      </c>
      <c r="B137" s="99" t="s">
        <v>215</v>
      </c>
      <c r="C137" s="100">
        <f>[18]С2!F39</f>
        <v>21.531904799999996</v>
      </c>
    </row>
    <row r="138" spans="1:3" ht="14.25" x14ac:dyDescent="0.2">
      <c r="A138" s="59" t="s">
        <v>216</v>
      </c>
      <c r="B138" s="58" t="s">
        <v>217</v>
      </c>
      <c r="C138" s="34">
        <f>[18]С2!F40</f>
        <v>7</v>
      </c>
    </row>
    <row r="139" spans="1:3" ht="17.25" x14ac:dyDescent="0.2">
      <c r="A139" s="59" t="s">
        <v>218</v>
      </c>
      <c r="B139" s="58" t="s">
        <v>219</v>
      </c>
      <c r="C139" s="34">
        <f>[18]С2!F42</f>
        <v>0.97</v>
      </c>
    </row>
    <row r="140" spans="1:3" ht="15" thickBot="1" x14ac:dyDescent="0.25">
      <c r="A140" s="72" t="s">
        <v>220</v>
      </c>
      <c r="B140" s="73" t="s">
        <v>221</v>
      </c>
      <c r="C140" s="46">
        <f>[18]С2!F44</f>
        <v>0.36199999999999999</v>
      </c>
    </row>
    <row r="141" spans="1:3" s="89" customFormat="1" ht="13.5" thickBot="1" x14ac:dyDescent="0.25">
      <c r="A141" s="47"/>
      <c r="B141" s="75"/>
      <c r="C141" s="15"/>
    </row>
    <row r="142" spans="1:3" ht="17.25" x14ac:dyDescent="0.2">
      <c r="A142" s="84" t="s">
        <v>222</v>
      </c>
      <c r="B142" s="103" t="s">
        <v>258</v>
      </c>
      <c r="C142" s="128">
        <f>[18]С2!F37</f>
        <v>1.7157947422665329</v>
      </c>
    </row>
    <row r="143" spans="1:3" ht="17.25" customHeight="1" thickBot="1" x14ac:dyDescent="0.25">
      <c r="A143" s="72" t="s">
        <v>224</v>
      </c>
      <c r="B143" s="141" t="s">
        <v>225</v>
      </c>
      <c r="C143" s="141"/>
    </row>
    <row r="144" spans="1:3" x14ac:dyDescent="0.2">
      <c r="A144" s="105"/>
      <c r="B144" s="129" t="s">
        <v>226</v>
      </c>
      <c r="C144" s="130"/>
    </row>
    <row r="145" spans="1:3" x14ac:dyDescent="0.2">
      <c r="A145" s="105"/>
      <c r="B145" s="131">
        <v>2020</v>
      </c>
      <c r="C145" s="132">
        <f>[18]С2.5!$E$11</f>
        <v>-2.9000000000000026E-2</v>
      </c>
    </row>
    <row r="146" spans="1:3" x14ac:dyDescent="0.2">
      <c r="B146" s="131">
        <f>B145+1</f>
        <v>2021</v>
      </c>
      <c r="C146" s="133">
        <f>[18]С2.5!$F$11</f>
        <v>0.245</v>
      </c>
    </row>
    <row r="147" spans="1:3" x14ac:dyDescent="0.2">
      <c r="B147" s="131">
        <f t="shared" ref="B147:B210" si="0">B146+1</f>
        <v>2022</v>
      </c>
      <c r="C147" s="134">
        <f>[18]С2.5!$G$11</f>
        <v>0.114</v>
      </c>
    </row>
    <row r="148" spans="1:3" x14ac:dyDescent="0.2">
      <c r="B148" s="110">
        <f t="shared" si="0"/>
        <v>2023</v>
      </c>
      <c r="C148" s="135">
        <f>[18]С2.5!$H$11</f>
        <v>0.04</v>
      </c>
    </row>
    <row r="149" spans="1:3" x14ac:dyDescent="0.2">
      <c r="B149" s="110">
        <f t="shared" si="0"/>
        <v>2024</v>
      </c>
      <c r="C149" s="135">
        <f>[18]С2.5!$I$11</f>
        <v>0.121</v>
      </c>
    </row>
    <row r="150" spans="1:3" x14ac:dyDescent="0.2">
      <c r="B150" s="110">
        <f t="shared" si="0"/>
        <v>2025</v>
      </c>
      <c r="C150" s="135">
        <f>[18]С2.5!$J$11</f>
        <v>0.03</v>
      </c>
    </row>
    <row r="151" spans="1:3" ht="13.5" thickBot="1" x14ac:dyDescent="0.25">
      <c r="B151" s="110">
        <f t="shared" si="0"/>
        <v>2026</v>
      </c>
      <c r="C151" s="135">
        <f>[18]С2.5!$K$11</f>
        <v>6.0999999999999999E-2</v>
      </c>
    </row>
    <row r="152" spans="1:3" ht="13.5" hidden="1" thickBot="1" x14ac:dyDescent="0.25">
      <c r="B152" s="110">
        <f t="shared" si="0"/>
        <v>2027</v>
      </c>
      <c r="C152" s="135">
        <f>[18]С2.5!$L$11</f>
        <v>0</v>
      </c>
    </row>
    <row r="153" spans="1:3" ht="13.5" hidden="1" thickBot="1" x14ac:dyDescent="0.25">
      <c r="B153" s="110">
        <f t="shared" si="0"/>
        <v>2028</v>
      </c>
      <c r="C153" s="135">
        <f>[18]С2.5!$M$11</f>
        <v>0</v>
      </c>
    </row>
    <row r="154" spans="1:3" ht="13.5" hidden="1" thickBot="1" x14ac:dyDescent="0.25">
      <c r="B154" s="110">
        <f t="shared" si="0"/>
        <v>2029</v>
      </c>
      <c r="C154" s="135">
        <f>[18]С2.5!$N$11</f>
        <v>0</v>
      </c>
    </row>
    <row r="155" spans="1:3" ht="13.5" hidden="1" thickBot="1" x14ac:dyDescent="0.25">
      <c r="B155" s="110">
        <f t="shared" si="0"/>
        <v>2030</v>
      </c>
      <c r="C155" s="135">
        <f>[18]С2.5!$O$11</f>
        <v>0</v>
      </c>
    </row>
    <row r="156" spans="1:3" ht="13.5" hidden="1" thickBot="1" x14ac:dyDescent="0.25">
      <c r="B156" s="110">
        <f t="shared" si="0"/>
        <v>2031</v>
      </c>
      <c r="C156" s="135">
        <f>[18]С2.5!$P$11</f>
        <v>0</v>
      </c>
    </row>
    <row r="157" spans="1:3" ht="13.5" hidden="1" thickBot="1" x14ac:dyDescent="0.25">
      <c r="B157" s="110">
        <f t="shared" si="0"/>
        <v>2032</v>
      </c>
      <c r="C157" s="135">
        <f>[18]С2.5!$Q$11</f>
        <v>0</v>
      </c>
    </row>
    <row r="158" spans="1:3" ht="13.5" hidden="1" thickBot="1" x14ac:dyDescent="0.25">
      <c r="B158" s="110">
        <f t="shared" si="0"/>
        <v>2033</v>
      </c>
      <c r="C158" s="135">
        <f>[18]С2.5!$R$11</f>
        <v>0</v>
      </c>
    </row>
    <row r="159" spans="1:3" ht="13.5" hidden="1" thickBot="1" x14ac:dyDescent="0.25">
      <c r="B159" s="110">
        <f t="shared" si="0"/>
        <v>2034</v>
      </c>
      <c r="C159" s="135">
        <f>[18]С2.5!$S$11</f>
        <v>0</v>
      </c>
    </row>
    <row r="160" spans="1:3" ht="13.5" hidden="1" thickBot="1" x14ac:dyDescent="0.25">
      <c r="B160" s="110">
        <f t="shared" si="0"/>
        <v>2035</v>
      </c>
      <c r="C160" s="135">
        <f>[18]С2.5!$T$11</f>
        <v>0</v>
      </c>
    </row>
    <row r="161" spans="2:3" ht="13.5" hidden="1" thickBot="1" x14ac:dyDescent="0.25">
      <c r="B161" s="110">
        <f t="shared" si="0"/>
        <v>2036</v>
      </c>
      <c r="C161" s="135">
        <f>[18]С2.5!$U$11</f>
        <v>0</v>
      </c>
    </row>
    <row r="162" spans="2:3" ht="13.5" hidden="1" thickBot="1" x14ac:dyDescent="0.25">
      <c r="B162" s="110">
        <f t="shared" si="0"/>
        <v>2037</v>
      </c>
      <c r="C162" s="135">
        <f>[18]С2.5!$V$11</f>
        <v>0</v>
      </c>
    </row>
    <row r="163" spans="2:3" ht="13.5" hidden="1" thickBot="1" x14ac:dyDescent="0.25">
      <c r="B163" s="110">
        <f t="shared" si="0"/>
        <v>2038</v>
      </c>
      <c r="C163" s="135">
        <f>[18]С2.5!$W$11</f>
        <v>0</v>
      </c>
    </row>
    <row r="164" spans="2:3" ht="13.5" hidden="1" thickBot="1" x14ac:dyDescent="0.25">
      <c r="B164" s="110">
        <f t="shared" si="0"/>
        <v>2039</v>
      </c>
      <c r="C164" s="135">
        <f>[18]С2.5!$X$11</f>
        <v>0</v>
      </c>
    </row>
    <row r="165" spans="2:3" ht="13.5" hidden="1" thickBot="1" x14ac:dyDescent="0.25">
      <c r="B165" s="110">
        <f t="shared" si="0"/>
        <v>2040</v>
      </c>
      <c r="C165" s="135">
        <f>[18]С2.5!$Y$11</f>
        <v>0</v>
      </c>
    </row>
    <row r="166" spans="2:3" ht="13.5" hidden="1" thickBot="1" x14ac:dyDescent="0.25">
      <c r="B166" s="110">
        <f t="shared" si="0"/>
        <v>2041</v>
      </c>
      <c r="C166" s="135">
        <f>[18]С2.5!$Z$11</f>
        <v>0</v>
      </c>
    </row>
    <row r="167" spans="2:3" ht="13.5" hidden="1" thickBot="1" x14ac:dyDescent="0.25">
      <c r="B167" s="110">
        <f t="shared" si="0"/>
        <v>2042</v>
      </c>
      <c r="C167" s="135">
        <f>[18]С2.5!$AA$11</f>
        <v>0</v>
      </c>
    </row>
    <row r="168" spans="2:3" ht="13.5" hidden="1" thickBot="1" x14ac:dyDescent="0.25">
      <c r="B168" s="110">
        <f t="shared" si="0"/>
        <v>2043</v>
      </c>
      <c r="C168" s="135">
        <f>[18]С2.5!$AB$11</f>
        <v>0</v>
      </c>
    </row>
    <row r="169" spans="2:3" ht="13.5" hidden="1" thickBot="1" x14ac:dyDescent="0.25">
      <c r="B169" s="110">
        <f t="shared" si="0"/>
        <v>2044</v>
      </c>
      <c r="C169" s="135">
        <f>[18]С2.5!$AC$11</f>
        <v>0</v>
      </c>
    </row>
    <row r="170" spans="2:3" ht="13.5" hidden="1" thickBot="1" x14ac:dyDescent="0.25">
      <c r="B170" s="110">
        <f t="shared" si="0"/>
        <v>2045</v>
      </c>
      <c r="C170" s="135">
        <f>[18]С2.5!$AD$11</f>
        <v>0</v>
      </c>
    </row>
    <row r="171" spans="2:3" ht="13.5" hidden="1" thickBot="1" x14ac:dyDescent="0.25">
      <c r="B171" s="110">
        <f t="shared" si="0"/>
        <v>2046</v>
      </c>
      <c r="C171" s="135">
        <f>[18]С2.5!$AE$11</f>
        <v>0</v>
      </c>
    </row>
    <row r="172" spans="2:3" ht="13.5" hidden="1" thickBot="1" x14ac:dyDescent="0.25">
      <c r="B172" s="110">
        <f t="shared" si="0"/>
        <v>2047</v>
      </c>
      <c r="C172" s="135">
        <f>[18]С2.5!$AF$11</f>
        <v>0</v>
      </c>
    </row>
    <row r="173" spans="2:3" ht="13.5" hidden="1" thickBot="1" x14ac:dyDescent="0.25">
      <c r="B173" s="110">
        <f t="shared" si="0"/>
        <v>2048</v>
      </c>
      <c r="C173" s="135">
        <f>[18]С2.5!$AG$11</f>
        <v>0</v>
      </c>
    </row>
    <row r="174" spans="2:3" ht="13.5" hidden="1" thickBot="1" x14ac:dyDescent="0.25">
      <c r="B174" s="110">
        <f t="shared" si="0"/>
        <v>2049</v>
      </c>
      <c r="C174" s="135">
        <f>[18]С2.5!$AH$11</f>
        <v>0</v>
      </c>
    </row>
    <row r="175" spans="2:3" ht="13.5" hidden="1" thickBot="1" x14ac:dyDescent="0.25">
      <c r="B175" s="110">
        <f t="shared" si="0"/>
        <v>2050</v>
      </c>
      <c r="C175" s="135">
        <f>[18]С2.5!$AI$11</f>
        <v>0</v>
      </c>
    </row>
    <row r="176" spans="2:3" ht="13.5" hidden="1" thickBot="1" x14ac:dyDescent="0.25">
      <c r="B176" s="110">
        <f t="shared" si="0"/>
        <v>2051</v>
      </c>
      <c r="C176" s="135">
        <f>[18]С2.5!$AJ$11</f>
        <v>0</v>
      </c>
    </row>
    <row r="177" spans="2:3" ht="13.5" hidden="1" thickBot="1" x14ac:dyDescent="0.25">
      <c r="B177" s="110">
        <f t="shared" si="0"/>
        <v>2052</v>
      </c>
      <c r="C177" s="135">
        <f>[18]С2.5!$AK$11</f>
        <v>0</v>
      </c>
    </row>
    <row r="178" spans="2:3" ht="13.5" hidden="1" thickBot="1" x14ac:dyDescent="0.25">
      <c r="B178" s="110">
        <f t="shared" si="0"/>
        <v>2053</v>
      </c>
      <c r="C178" s="135">
        <f>[18]С2.5!$AL$11</f>
        <v>0</v>
      </c>
    </row>
    <row r="179" spans="2:3" ht="13.5" hidden="1" thickBot="1" x14ac:dyDescent="0.25">
      <c r="B179" s="110">
        <f t="shared" si="0"/>
        <v>2054</v>
      </c>
      <c r="C179" s="135">
        <f>[18]С2.5!$AM$11</f>
        <v>0</v>
      </c>
    </row>
    <row r="180" spans="2:3" ht="13.5" hidden="1" thickBot="1" x14ac:dyDescent="0.25">
      <c r="B180" s="110">
        <f t="shared" si="0"/>
        <v>2055</v>
      </c>
      <c r="C180" s="135">
        <f>[18]С2.5!$AN$11</f>
        <v>0</v>
      </c>
    </row>
    <row r="181" spans="2:3" ht="13.5" hidden="1" thickBot="1" x14ac:dyDescent="0.25">
      <c r="B181" s="110">
        <f t="shared" si="0"/>
        <v>2056</v>
      </c>
      <c r="C181" s="135">
        <f>[18]С2.5!$AO$11</f>
        <v>0</v>
      </c>
    </row>
    <row r="182" spans="2:3" ht="13.5" hidden="1" thickBot="1" x14ac:dyDescent="0.25">
      <c r="B182" s="110">
        <f t="shared" si="0"/>
        <v>2057</v>
      </c>
      <c r="C182" s="135">
        <f>[18]С2.5!$AP$11</f>
        <v>0</v>
      </c>
    </row>
    <row r="183" spans="2:3" ht="13.5" hidden="1" thickBot="1" x14ac:dyDescent="0.25">
      <c r="B183" s="110">
        <f t="shared" si="0"/>
        <v>2058</v>
      </c>
      <c r="C183" s="135">
        <f>[18]С2.5!$AQ$11</f>
        <v>0</v>
      </c>
    </row>
    <row r="184" spans="2:3" ht="13.5" hidden="1" thickBot="1" x14ac:dyDescent="0.25">
      <c r="B184" s="110">
        <f t="shared" si="0"/>
        <v>2059</v>
      </c>
      <c r="C184" s="135">
        <f>[18]С2.5!$AR$11</f>
        <v>0</v>
      </c>
    </row>
    <row r="185" spans="2:3" ht="13.5" hidden="1" thickBot="1" x14ac:dyDescent="0.25">
      <c r="B185" s="110">
        <f t="shared" si="0"/>
        <v>2060</v>
      </c>
      <c r="C185" s="135">
        <f>[18]С2.5!$AS$11</f>
        <v>0</v>
      </c>
    </row>
    <row r="186" spans="2:3" ht="13.5" hidden="1" thickBot="1" x14ac:dyDescent="0.25">
      <c r="B186" s="110">
        <f t="shared" si="0"/>
        <v>2061</v>
      </c>
      <c r="C186" s="135">
        <f>[18]С2.5!$AT$11</f>
        <v>0</v>
      </c>
    </row>
    <row r="187" spans="2:3" ht="13.5" hidden="1" thickBot="1" x14ac:dyDescent="0.25">
      <c r="B187" s="110">
        <f t="shared" si="0"/>
        <v>2062</v>
      </c>
      <c r="C187" s="135">
        <f>[18]С2.5!$AU$11</f>
        <v>0</v>
      </c>
    </row>
    <row r="188" spans="2:3" ht="13.5" hidden="1" thickBot="1" x14ac:dyDescent="0.25">
      <c r="B188" s="110">
        <f t="shared" si="0"/>
        <v>2063</v>
      </c>
      <c r="C188" s="135">
        <f>[18]С2.5!$AV$11</f>
        <v>0</v>
      </c>
    </row>
    <row r="189" spans="2:3" ht="13.5" hidden="1" thickBot="1" x14ac:dyDescent="0.25">
      <c r="B189" s="110">
        <f t="shared" si="0"/>
        <v>2064</v>
      </c>
      <c r="C189" s="135">
        <f>[18]С2.5!$AW$11</f>
        <v>0</v>
      </c>
    </row>
    <row r="190" spans="2:3" ht="13.5" hidden="1" thickBot="1" x14ac:dyDescent="0.25">
      <c r="B190" s="110">
        <f t="shared" si="0"/>
        <v>2065</v>
      </c>
      <c r="C190" s="135">
        <f>[18]С2.5!$AX$11</f>
        <v>0</v>
      </c>
    </row>
    <row r="191" spans="2:3" ht="13.5" hidden="1" thickBot="1" x14ac:dyDescent="0.25">
      <c r="B191" s="110">
        <f t="shared" si="0"/>
        <v>2066</v>
      </c>
      <c r="C191" s="135">
        <f>[18]С2.5!$AY$11</f>
        <v>0</v>
      </c>
    </row>
    <row r="192" spans="2:3" ht="13.5" hidden="1" thickBot="1" x14ac:dyDescent="0.25">
      <c r="B192" s="110">
        <f t="shared" si="0"/>
        <v>2067</v>
      </c>
      <c r="C192" s="135">
        <f>[18]С2.5!$AZ$11</f>
        <v>0</v>
      </c>
    </row>
    <row r="193" spans="2:3" ht="13.5" hidden="1" thickBot="1" x14ac:dyDescent="0.25">
      <c r="B193" s="110">
        <f t="shared" si="0"/>
        <v>2068</v>
      </c>
      <c r="C193" s="135">
        <f>[18]С2.5!$BA$11</f>
        <v>0</v>
      </c>
    </row>
    <row r="194" spans="2:3" ht="13.5" hidden="1" thickBot="1" x14ac:dyDescent="0.25">
      <c r="B194" s="110">
        <f t="shared" si="0"/>
        <v>2069</v>
      </c>
      <c r="C194" s="135">
        <f>[18]С2.5!$BB$11</f>
        <v>0</v>
      </c>
    </row>
    <row r="195" spans="2:3" ht="13.5" hidden="1" thickBot="1" x14ac:dyDescent="0.25">
      <c r="B195" s="110">
        <f t="shared" si="0"/>
        <v>2070</v>
      </c>
      <c r="C195" s="135">
        <f>[18]С2.5!$BC$11</f>
        <v>0</v>
      </c>
    </row>
    <row r="196" spans="2:3" ht="13.5" hidden="1" thickBot="1" x14ac:dyDescent="0.25">
      <c r="B196" s="110">
        <f t="shared" si="0"/>
        <v>2071</v>
      </c>
      <c r="C196" s="135">
        <f>[18]С2.5!$BD$11</f>
        <v>0</v>
      </c>
    </row>
    <row r="197" spans="2:3" ht="13.5" hidden="1" thickBot="1" x14ac:dyDescent="0.25">
      <c r="B197" s="110">
        <f t="shared" si="0"/>
        <v>2072</v>
      </c>
      <c r="C197" s="135">
        <f>[18]С2.5!$BE$11</f>
        <v>0</v>
      </c>
    </row>
    <row r="198" spans="2:3" ht="13.5" hidden="1" thickBot="1" x14ac:dyDescent="0.25">
      <c r="B198" s="110">
        <f t="shared" si="0"/>
        <v>2073</v>
      </c>
      <c r="C198" s="135">
        <f>[18]С2.5!$BF$11</f>
        <v>0</v>
      </c>
    </row>
    <row r="199" spans="2:3" ht="13.5" hidden="1" thickBot="1" x14ac:dyDescent="0.25">
      <c r="B199" s="110">
        <f t="shared" si="0"/>
        <v>2074</v>
      </c>
      <c r="C199" s="135">
        <f>[18]С2.5!$BG$11</f>
        <v>0</v>
      </c>
    </row>
    <row r="200" spans="2:3" ht="13.5" hidden="1" thickBot="1" x14ac:dyDescent="0.25">
      <c r="B200" s="110">
        <f t="shared" si="0"/>
        <v>2075</v>
      </c>
      <c r="C200" s="135">
        <f>[18]С2.5!$BH$11</f>
        <v>0</v>
      </c>
    </row>
    <row r="201" spans="2:3" ht="13.5" hidden="1" thickBot="1" x14ac:dyDescent="0.25">
      <c r="B201" s="110">
        <f t="shared" si="0"/>
        <v>2076</v>
      </c>
      <c r="C201" s="135">
        <f>[18]С2.5!$BI$11</f>
        <v>0</v>
      </c>
    </row>
    <row r="202" spans="2:3" ht="13.5" hidden="1" thickBot="1" x14ac:dyDescent="0.25">
      <c r="B202" s="110">
        <f t="shared" si="0"/>
        <v>2077</v>
      </c>
      <c r="C202" s="135">
        <f>[18]С2.5!$BJ$11</f>
        <v>0</v>
      </c>
    </row>
    <row r="203" spans="2:3" ht="13.5" hidden="1" thickBot="1" x14ac:dyDescent="0.25">
      <c r="B203" s="110">
        <f t="shared" si="0"/>
        <v>2078</v>
      </c>
      <c r="C203" s="135">
        <f>[18]С2.5!$BK$11</f>
        <v>0</v>
      </c>
    </row>
    <row r="204" spans="2:3" ht="13.5" hidden="1" thickBot="1" x14ac:dyDescent="0.25">
      <c r="B204" s="110">
        <f t="shared" si="0"/>
        <v>2079</v>
      </c>
      <c r="C204" s="135">
        <f>[18]С2.5!$BL$11</f>
        <v>0</v>
      </c>
    </row>
    <row r="205" spans="2:3" ht="13.5" hidden="1" thickBot="1" x14ac:dyDescent="0.25">
      <c r="B205" s="110">
        <f t="shared" si="0"/>
        <v>2080</v>
      </c>
      <c r="C205" s="135">
        <f>[18]С2.5!$BM$11</f>
        <v>0</v>
      </c>
    </row>
    <row r="206" spans="2:3" ht="13.5" hidden="1" thickBot="1" x14ac:dyDescent="0.25">
      <c r="B206" s="110">
        <f t="shared" si="0"/>
        <v>2081</v>
      </c>
      <c r="C206" s="135">
        <f>[18]С2.5!$BN$11</f>
        <v>0</v>
      </c>
    </row>
    <row r="207" spans="2:3" ht="13.5" hidden="1" thickBot="1" x14ac:dyDescent="0.25">
      <c r="B207" s="110">
        <f t="shared" si="0"/>
        <v>2082</v>
      </c>
      <c r="C207" s="135">
        <f>[18]С2.5!$BO$11</f>
        <v>0</v>
      </c>
    </row>
    <row r="208" spans="2:3" ht="13.5" hidden="1" thickBot="1" x14ac:dyDescent="0.25">
      <c r="B208" s="110">
        <f t="shared" si="0"/>
        <v>2083</v>
      </c>
      <c r="C208" s="135">
        <f>[18]С2.5!$BP$11</f>
        <v>0</v>
      </c>
    </row>
    <row r="209" spans="2:3" ht="13.5" hidden="1" thickBot="1" x14ac:dyDescent="0.25">
      <c r="B209" s="110">
        <f t="shared" si="0"/>
        <v>2084</v>
      </c>
      <c r="C209" s="135">
        <f>[18]С2.5!$BQ$11</f>
        <v>0</v>
      </c>
    </row>
    <row r="210" spans="2:3" ht="13.5" hidden="1" thickBot="1" x14ac:dyDescent="0.25">
      <c r="B210" s="110">
        <f t="shared" si="0"/>
        <v>2085</v>
      </c>
      <c r="C210" s="135">
        <f>[18]С2.5!$BR$11</f>
        <v>0</v>
      </c>
    </row>
    <row r="211" spans="2:3" ht="13.5" hidden="1" thickBot="1" x14ac:dyDescent="0.25">
      <c r="B211" s="110">
        <f t="shared" ref="B211:B224" si="1">B210+1</f>
        <v>2086</v>
      </c>
      <c r="C211" s="135">
        <f>[18]С2.5!$BS$11</f>
        <v>0</v>
      </c>
    </row>
    <row r="212" spans="2:3" ht="13.5" hidden="1" thickBot="1" x14ac:dyDescent="0.25">
      <c r="B212" s="110">
        <f t="shared" si="1"/>
        <v>2087</v>
      </c>
      <c r="C212" s="135">
        <f>[18]С2.5!$BT$11</f>
        <v>0</v>
      </c>
    </row>
    <row r="213" spans="2:3" ht="13.5" hidden="1" thickBot="1" x14ac:dyDescent="0.25">
      <c r="B213" s="110">
        <f t="shared" si="1"/>
        <v>2088</v>
      </c>
      <c r="C213" s="135">
        <f>[18]С2.5!$BU$11</f>
        <v>0</v>
      </c>
    </row>
    <row r="214" spans="2:3" ht="13.5" hidden="1" thickBot="1" x14ac:dyDescent="0.25">
      <c r="B214" s="110">
        <f t="shared" si="1"/>
        <v>2089</v>
      </c>
      <c r="C214" s="135">
        <f>[18]С2.5!$BV$11</f>
        <v>0</v>
      </c>
    </row>
    <row r="215" spans="2:3" ht="13.5" hidden="1" thickBot="1" x14ac:dyDescent="0.25">
      <c r="B215" s="110">
        <f t="shared" si="1"/>
        <v>2090</v>
      </c>
      <c r="C215" s="135">
        <f>[18]С2.5!$BW$11</f>
        <v>0</v>
      </c>
    </row>
    <row r="216" spans="2:3" ht="13.5" hidden="1" thickBot="1" x14ac:dyDescent="0.25">
      <c r="B216" s="110">
        <f t="shared" si="1"/>
        <v>2091</v>
      </c>
      <c r="C216" s="135">
        <f>[18]С2.5!$BX$11</f>
        <v>0</v>
      </c>
    </row>
    <row r="217" spans="2:3" ht="13.5" hidden="1" thickBot="1" x14ac:dyDescent="0.25">
      <c r="B217" s="110">
        <f t="shared" si="1"/>
        <v>2092</v>
      </c>
      <c r="C217" s="135">
        <f>[18]С2.5!$BY$11</f>
        <v>0</v>
      </c>
    </row>
    <row r="218" spans="2:3" ht="13.5" hidden="1" thickBot="1" x14ac:dyDescent="0.25">
      <c r="B218" s="110">
        <f t="shared" si="1"/>
        <v>2093</v>
      </c>
      <c r="C218" s="135">
        <f>[18]С2.5!$BZ$11</f>
        <v>0</v>
      </c>
    </row>
    <row r="219" spans="2:3" ht="13.5" hidden="1" thickBot="1" x14ac:dyDescent="0.25">
      <c r="B219" s="110">
        <f t="shared" si="1"/>
        <v>2094</v>
      </c>
      <c r="C219" s="135">
        <f>[18]С2.5!$CA$11</f>
        <v>0</v>
      </c>
    </row>
    <row r="220" spans="2:3" ht="13.5" hidden="1" thickBot="1" x14ac:dyDescent="0.25">
      <c r="B220" s="110">
        <f t="shared" si="1"/>
        <v>2095</v>
      </c>
      <c r="C220" s="135">
        <f>[18]С2.5!$CB$11</f>
        <v>0</v>
      </c>
    </row>
    <row r="221" spans="2:3" ht="13.5" hidden="1" thickBot="1" x14ac:dyDescent="0.25">
      <c r="B221" s="110">
        <f t="shared" si="1"/>
        <v>2096</v>
      </c>
      <c r="C221" s="135">
        <f>[18]С2.5!$CC$11</f>
        <v>0</v>
      </c>
    </row>
    <row r="222" spans="2:3" ht="13.5" hidden="1" thickBot="1" x14ac:dyDescent="0.25">
      <c r="B222" s="110">
        <f t="shared" si="1"/>
        <v>2097</v>
      </c>
      <c r="C222" s="135">
        <f>[18]С2.5!$CD$11</f>
        <v>0</v>
      </c>
    </row>
    <row r="223" spans="2:3" ht="13.5" hidden="1" thickBot="1" x14ac:dyDescent="0.25">
      <c r="B223" s="110">
        <f t="shared" si="1"/>
        <v>2098</v>
      </c>
      <c r="C223" s="135">
        <f>[18]С2.5!$CE$11</f>
        <v>0</v>
      </c>
    </row>
    <row r="224" spans="2:3" ht="13.5" hidden="1" thickBot="1" x14ac:dyDescent="0.25">
      <c r="B224" s="110">
        <f t="shared" si="1"/>
        <v>2099</v>
      </c>
      <c r="C224" s="135">
        <f>[18]С2.5!$CF$11</f>
        <v>0</v>
      </c>
    </row>
    <row r="225" spans="2:3" ht="13.5" hidden="1" thickBot="1" x14ac:dyDescent="0.25">
      <c r="B225" s="112">
        <f>B162+1</f>
        <v>2038</v>
      </c>
      <c r="C225" s="136" t="e">
        <f>[18]С2.5!#REF!</f>
        <v>#REF!</v>
      </c>
    </row>
    <row r="226" spans="2:3" x14ac:dyDescent="0.2">
      <c r="B226" s="137"/>
      <c r="C226" s="138"/>
    </row>
  </sheetData>
  <mergeCells count="9">
    <mergeCell ref="B143:C143"/>
    <mergeCell ref="A14:C14"/>
    <mergeCell ref="B1:C1"/>
    <mergeCell ref="B27:C27"/>
    <mergeCell ref="B45:C45"/>
    <mergeCell ref="B90:C90"/>
    <mergeCell ref="B101:C101"/>
    <mergeCell ref="B126:C126"/>
    <mergeCell ref="B129:C129"/>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26"/>
  <sheetViews>
    <sheetView workbookViewId="0">
      <selection activeCell="C7" sqref="C7"/>
    </sheetView>
  </sheetViews>
  <sheetFormatPr defaultRowHeight="12.75" x14ac:dyDescent="0.2"/>
  <cols>
    <col min="1" max="1" width="9.140625" style="2" customWidth="1"/>
    <col min="2" max="2" width="100.5703125" style="2" customWidth="1"/>
    <col min="3" max="3" width="20.85546875" style="7" customWidth="1"/>
    <col min="4" max="243" width="9.140625" style="2"/>
    <col min="244" max="244" width="3.5703125" style="2" customWidth="1"/>
    <col min="245" max="245" width="96.85546875" style="2" customWidth="1"/>
    <col min="246" max="246" width="30.85546875" style="2" customWidth="1"/>
    <col min="247" max="247" width="12.5703125" style="2" customWidth="1"/>
    <col min="248" max="248" width="5.140625" style="2" customWidth="1"/>
    <col min="249" max="249" width="9.140625" style="2"/>
    <col min="250" max="250" width="4.85546875" style="2" customWidth="1"/>
    <col min="251" max="251" width="30.5703125" style="2" customWidth="1"/>
    <col min="252" max="252" width="33.85546875" style="2" customWidth="1"/>
    <col min="253" max="253" width="5.140625" style="2" customWidth="1"/>
    <col min="254" max="255" width="17.5703125" style="2" customWidth="1"/>
    <col min="256" max="499" width="9.140625" style="2"/>
    <col min="500" max="500" width="3.5703125" style="2" customWidth="1"/>
    <col min="501" max="501" width="96.85546875" style="2" customWidth="1"/>
    <col min="502" max="502" width="30.85546875" style="2" customWidth="1"/>
    <col min="503" max="503" width="12.5703125" style="2" customWidth="1"/>
    <col min="504" max="504" width="5.140625" style="2" customWidth="1"/>
    <col min="505" max="505" width="9.140625" style="2"/>
    <col min="506" max="506" width="4.85546875" style="2" customWidth="1"/>
    <col min="507" max="507" width="30.5703125" style="2" customWidth="1"/>
    <col min="508" max="508" width="33.85546875" style="2" customWidth="1"/>
    <col min="509" max="509" width="5.140625" style="2" customWidth="1"/>
    <col min="510" max="511" width="17.5703125" style="2" customWidth="1"/>
    <col min="512" max="755" width="9.140625" style="2"/>
    <col min="756" max="756" width="3.5703125" style="2" customWidth="1"/>
    <col min="757" max="757" width="96.85546875" style="2" customWidth="1"/>
    <col min="758" max="758" width="30.85546875" style="2" customWidth="1"/>
    <col min="759" max="759" width="12.5703125" style="2" customWidth="1"/>
    <col min="760" max="760" width="5.140625" style="2" customWidth="1"/>
    <col min="761" max="761" width="9.140625" style="2"/>
    <col min="762" max="762" width="4.85546875" style="2" customWidth="1"/>
    <col min="763" max="763" width="30.5703125" style="2" customWidth="1"/>
    <col min="764" max="764" width="33.85546875" style="2" customWidth="1"/>
    <col min="765" max="765" width="5.140625" style="2" customWidth="1"/>
    <col min="766" max="767" width="17.5703125" style="2" customWidth="1"/>
    <col min="768" max="1011" width="9.140625" style="2"/>
    <col min="1012" max="1012" width="3.5703125" style="2" customWidth="1"/>
    <col min="1013" max="1013" width="96.85546875" style="2" customWidth="1"/>
    <col min="1014" max="1014" width="30.85546875" style="2" customWidth="1"/>
    <col min="1015" max="1015" width="12.5703125" style="2" customWidth="1"/>
    <col min="1016" max="1016" width="5.140625" style="2" customWidth="1"/>
    <col min="1017" max="1017" width="9.140625" style="2"/>
    <col min="1018" max="1018" width="4.85546875" style="2" customWidth="1"/>
    <col min="1019" max="1019" width="30.5703125" style="2" customWidth="1"/>
    <col min="1020" max="1020" width="33.85546875" style="2" customWidth="1"/>
    <col min="1021" max="1021" width="5.140625" style="2" customWidth="1"/>
    <col min="1022" max="1023" width="17.5703125" style="2" customWidth="1"/>
    <col min="1024" max="1267" width="9.140625" style="2"/>
    <col min="1268" max="1268" width="3.5703125" style="2" customWidth="1"/>
    <col min="1269" max="1269" width="96.85546875" style="2" customWidth="1"/>
    <col min="1270" max="1270" width="30.85546875" style="2" customWidth="1"/>
    <col min="1271" max="1271" width="12.5703125" style="2" customWidth="1"/>
    <col min="1272" max="1272" width="5.140625" style="2" customWidth="1"/>
    <col min="1273" max="1273" width="9.140625" style="2"/>
    <col min="1274" max="1274" width="4.85546875" style="2" customWidth="1"/>
    <col min="1275" max="1275" width="30.5703125" style="2" customWidth="1"/>
    <col min="1276" max="1276" width="33.85546875" style="2" customWidth="1"/>
    <col min="1277" max="1277" width="5.140625" style="2" customWidth="1"/>
    <col min="1278" max="1279" width="17.5703125" style="2" customWidth="1"/>
    <col min="1280" max="1523" width="9.140625" style="2"/>
    <col min="1524" max="1524" width="3.5703125" style="2" customWidth="1"/>
    <col min="1525" max="1525" width="96.85546875" style="2" customWidth="1"/>
    <col min="1526" max="1526" width="30.85546875" style="2" customWidth="1"/>
    <col min="1527" max="1527" width="12.5703125" style="2" customWidth="1"/>
    <col min="1528" max="1528" width="5.140625" style="2" customWidth="1"/>
    <col min="1529" max="1529" width="9.140625" style="2"/>
    <col min="1530" max="1530" width="4.85546875" style="2" customWidth="1"/>
    <col min="1531" max="1531" width="30.5703125" style="2" customWidth="1"/>
    <col min="1532" max="1532" width="33.85546875" style="2" customWidth="1"/>
    <col min="1533" max="1533" width="5.140625" style="2" customWidth="1"/>
    <col min="1534" max="1535" width="17.5703125" style="2" customWidth="1"/>
    <col min="1536" max="1779" width="9.140625" style="2"/>
    <col min="1780" max="1780" width="3.5703125" style="2" customWidth="1"/>
    <col min="1781" max="1781" width="96.85546875" style="2" customWidth="1"/>
    <col min="1782" max="1782" width="30.85546875" style="2" customWidth="1"/>
    <col min="1783" max="1783" width="12.5703125" style="2" customWidth="1"/>
    <col min="1784" max="1784" width="5.140625" style="2" customWidth="1"/>
    <col min="1785" max="1785" width="9.140625" style="2"/>
    <col min="1786" max="1786" width="4.85546875" style="2" customWidth="1"/>
    <col min="1787" max="1787" width="30.5703125" style="2" customWidth="1"/>
    <col min="1788" max="1788" width="33.85546875" style="2" customWidth="1"/>
    <col min="1789" max="1789" width="5.140625" style="2" customWidth="1"/>
    <col min="1790" max="1791" width="17.5703125" style="2" customWidth="1"/>
    <col min="1792" max="2035" width="9.140625" style="2"/>
    <col min="2036" max="2036" width="3.5703125" style="2" customWidth="1"/>
    <col min="2037" max="2037" width="96.85546875" style="2" customWidth="1"/>
    <col min="2038" max="2038" width="30.85546875" style="2" customWidth="1"/>
    <col min="2039" max="2039" width="12.5703125" style="2" customWidth="1"/>
    <col min="2040" max="2040" width="5.140625" style="2" customWidth="1"/>
    <col min="2041" max="2041" width="9.140625" style="2"/>
    <col min="2042" max="2042" width="4.85546875" style="2" customWidth="1"/>
    <col min="2043" max="2043" width="30.5703125" style="2" customWidth="1"/>
    <col min="2044" max="2044" width="33.85546875" style="2" customWidth="1"/>
    <col min="2045" max="2045" width="5.140625" style="2" customWidth="1"/>
    <col min="2046" max="2047" width="17.5703125" style="2" customWidth="1"/>
    <col min="2048" max="2291" width="9.140625" style="2"/>
    <col min="2292" max="2292" width="3.5703125" style="2" customWidth="1"/>
    <col min="2293" max="2293" width="96.85546875" style="2" customWidth="1"/>
    <col min="2294" max="2294" width="30.85546875" style="2" customWidth="1"/>
    <col min="2295" max="2295" width="12.5703125" style="2" customWidth="1"/>
    <col min="2296" max="2296" width="5.140625" style="2" customWidth="1"/>
    <col min="2297" max="2297" width="9.140625" style="2"/>
    <col min="2298" max="2298" width="4.85546875" style="2" customWidth="1"/>
    <col min="2299" max="2299" width="30.5703125" style="2" customWidth="1"/>
    <col min="2300" max="2300" width="33.85546875" style="2" customWidth="1"/>
    <col min="2301" max="2301" width="5.140625" style="2" customWidth="1"/>
    <col min="2302" max="2303" width="17.5703125" style="2" customWidth="1"/>
    <col min="2304" max="2547" width="9.140625" style="2"/>
    <col min="2548" max="2548" width="3.5703125" style="2" customWidth="1"/>
    <col min="2549" max="2549" width="96.85546875" style="2" customWidth="1"/>
    <col min="2550" max="2550" width="30.85546875" style="2" customWidth="1"/>
    <col min="2551" max="2551" width="12.5703125" style="2" customWidth="1"/>
    <col min="2552" max="2552" width="5.140625" style="2" customWidth="1"/>
    <col min="2553" max="2553" width="9.140625" style="2"/>
    <col min="2554" max="2554" width="4.85546875" style="2" customWidth="1"/>
    <col min="2555" max="2555" width="30.5703125" style="2" customWidth="1"/>
    <col min="2556" max="2556" width="33.85546875" style="2" customWidth="1"/>
    <col min="2557" max="2557" width="5.140625" style="2" customWidth="1"/>
    <col min="2558" max="2559" width="17.5703125" style="2" customWidth="1"/>
    <col min="2560" max="2803" width="9.140625" style="2"/>
    <col min="2804" max="2804" width="3.5703125" style="2" customWidth="1"/>
    <col min="2805" max="2805" width="96.85546875" style="2" customWidth="1"/>
    <col min="2806" max="2806" width="30.85546875" style="2" customWidth="1"/>
    <col min="2807" max="2807" width="12.5703125" style="2" customWidth="1"/>
    <col min="2808" max="2808" width="5.140625" style="2" customWidth="1"/>
    <col min="2809" max="2809" width="9.140625" style="2"/>
    <col min="2810" max="2810" width="4.85546875" style="2" customWidth="1"/>
    <col min="2811" max="2811" width="30.5703125" style="2" customWidth="1"/>
    <col min="2812" max="2812" width="33.85546875" style="2" customWidth="1"/>
    <col min="2813" max="2813" width="5.140625" style="2" customWidth="1"/>
    <col min="2814" max="2815" width="17.5703125" style="2" customWidth="1"/>
    <col min="2816" max="3059" width="9.140625" style="2"/>
    <col min="3060" max="3060" width="3.5703125" style="2" customWidth="1"/>
    <col min="3061" max="3061" width="96.85546875" style="2" customWidth="1"/>
    <col min="3062" max="3062" width="30.85546875" style="2" customWidth="1"/>
    <col min="3063" max="3063" width="12.5703125" style="2" customWidth="1"/>
    <col min="3064" max="3064" width="5.140625" style="2" customWidth="1"/>
    <col min="3065" max="3065" width="9.140625" style="2"/>
    <col min="3066" max="3066" width="4.85546875" style="2" customWidth="1"/>
    <col min="3067" max="3067" width="30.5703125" style="2" customWidth="1"/>
    <col min="3068" max="3068" width="33.85546875" style="2" customWidth="1"/>
    <col min="3069" max="3069" width="5.140625" style="2" customWidth="1"/>
    <col min="3070" max="3071" width="17.5703125" style="2" customWidth="1"/>
    <col min="3072" max="3315" width="9.140625" style="2"/>
    <col min="3316" max="3316" width="3.5703125" style="2" customWidth="1"/>
    <col min="3317" max="3317" width="96.85546875" style="2" customWidth="1"/>
    <col min="3318" max="3318" width="30.85546875" style="2" customWidth="1"/>
    <col min="3319" max="3319" width="12.5703125" style="2" customWidth="1"/>
    <col min="3320" max="3320" width="5.140625" style="2" customWidth="1"/>
    <col min="3321" max="3321" width="9.140625" style="2"/>
    <col min="3322" max="3322" width="4.85546875" style="2" customWidth="1"/>
    <col min="3323" max="3323" width="30.5703125" style="2" customWidth="1"/>
    <col min="3324" max="3324" width="33.85546875" style="2" customWidth="1"/>
    <col min="3325" max="3325" width="5.140625" style="2" customWidth="1"/>
    <col min="3326" max="3327" width="17.5703125" style="2" customWidth="1"/>
    <col min="3328" max="3571" width="9.140625" style="2"/>
    <col min="3572" max="3572" width="3.5703125" style="2" customWidth="1"/>
    <col min="3573" max="3573" width="96.85546875" style="2" customWidth="1"/>
    <col min="3574" max="3574" width="30.85546875" style="2" customWidth="1"/>
    <col min="3575" max="3575" width="12.5703125" style="2" customWidth="1"/>
    <col min="3576" max="3576" width="5.140625" style="2" customWidth="1"/>
    <col min="3577" max="3577" width="9.140625" style="2"/>
    <col min="3578" max="3578" width="4.85546875" style="2" customWidth="1"/>
    <col min="3579" max="3579" width="30.5703125" style="2" customWidth="1"/>
    <col min="3580" max="3580" width="33.85546875" style="2" customWidth="1"/>
    <col min="3581" max="3581" width="5.140625" style="2" customWidth="1"/>
    <col min="3582" max="3583" width="17.5703125" style="2" customWidth="1"/>
    <col min="3584" max="3827" width="9.140625" style="2"/>
    <col min="3828" max="3828" width="3.5703125" style="2" customWidth="1"/>
    <col min="3829" max="3829" width="96.85546875" style="2" customWidth="1"/>
    <col min="3830" max="3830" width="30.85546875" style="2" customWidth="1"/>
    <col min="3831" max="3831" width="12.5703125" style="2" customWidth="1"/>
    <col min="3832" max="3832" width="5.140625" style="2" customWidth="1"/>
    <col min="3833" max="3833" width="9.140625" style="2"/>
    <col min="3834" max="3834" width="4.85546875" style="2" customWidth="1"/>
    <col min="3835" max="3835" width="30.5703125" style="2" customWidth="1"/>
    <col min="3836" max="3836" width="33.85546875" style="2" customWidth="1"/>
    <col min="3837" max="3837" width="5.140625" style="2" customWidth="1"/>
    <col min="3838" max="3839" width="17.5703125" style="2" customWidth="1"/>
    <col min="3840" max="4083" width="9.140625" style="2"/>
    <col min="4084" max="4084" width="3.5703125" style="2" customWidth="1"/>
    <col min="4085" max="4085" width="96.85546875" style="2" customWidth="1"/>
    <col min="4086" max="4086" width="30.85546875" style="2" customWidth="1"/>
    <col min="4087" max="4087" width="12.5703125" style="2" customWidth="1"/>
    <col min="4088" max="4088" width="5.140625" style="2" customWidth="1"/>
    <col min="4089" max="4089" width="9.140625" style="2"/>
    <col min="4090" max="4090" width="4.85546875" style="2" customWidth="1"/>
    <col min="4091" max="4091" width="30.5703125" style="2" customWidth="1"/>
    <col min="4092" max="4092" width="33.85546875" style="2" customWidth="1"/>
    <col min="4093" max="4093" width="5.140625" style="2" customWidth="1"/>
    <col min="4094" max="4095" width="17.5703125" style="2" customWidth="1"/>
    <col min="4096" max="4339" width="9.140625" style="2"/>
    <col min="4340" max="4340" width="3.5703125" style="2" customWidth="1"/>
    <col min="4341" max="4341" width="96.85546875" style="2" customWidth="1"/>
    <col min="4342" max="4342" width="30.85546875" style="2" customWidth="1"/>
    <col min="4343" max="4343" width="12.5703125" style="2" customWidth="1"/>
    <col min="4344" max="4344" width="5.140625" style="2" customWidth="1"/>
    <col min="4345" max="4345" width="9.140625" style="2"/>
    <col min="4346" max="4346" width="4.85546875" style="2" customWidth="1"/>
    <col min="4347" max="4347" width="30.5703125" style="2" customWidth="1"/>
    <col min="4348" max="4348" width="33.85546875" style="2" customWidth="1"/>
    <col min="4349" max="4349" width="5.140625" style="2" customWidth="1"/>
    <col min="4350" max="4351" width="17.5703125" style="2" customWidth="1"/>
    <col min="4352" max="4595" width="9.140625" style="2"/>
    <col min="4596" max="4596" width="3.5703125" style="2" customWidth="1"/>
    <col min="4597" max="4597" width="96.85546875" style="2" customWidth="1"/>
    <col min="4598" max="4598" width="30.85546875" style="2" customWidth="1"/>
    <col min="4599" max="4599" width="12.5703125" style="2" customWidth="1"/>
    <col min="4600" max="4600" width="5.140625" style="2" customWidth="1"/>
    <col min="4601" max="4601" width="9.140625" style="2"/>
    <col min="4602" max="4602" width="4.85546875" style="2" customWidth="1"/>
    <col min="4603" max="4603" width="30.5703125" style="2" customWidth="1"/>
    <col min="4604" max="4604" width="33.85546875" style="2" customWidth="1"/>
    <col min="4605" max="4605" width="5.140625" style="2" customWidth="1"/>
    <col min="4606" max="4607" width="17.5703125" style="2" customWidth="1"/>
    <col min="4608" max="4851" width="9.140625" style="2"/>
    <col min="4852" max="4852" width="3.5703125" style="2" customWidth="1"/>
    <col min="4853" max="4853" width="96.85546875" style="2" customWidth="1"/>
    <col min="4854" max="4854" width="30.85546875" style="2" customWidth="1"/>
    <col min="4855" max="4855" width="12.5703125" style="2" customWidth="1"/>
    <col min="4856" max="4856" width="5.140625" style="2" customWidth="1"/>
    <col min="4857" max="4857" width="9.140625" style="2"/>
    <col min="4858" max="4858" width="4.85546875" style="2" customWidth="1"/>
    <col min="4859" max="4859" width="30.5703125" style="2" customWidth="1"/>
    <col min="4860" max="4860" width="33.85546875" style="2" customWidth="1"/>
    <col min="4861" max="4861" width="5.140625" style="2" customWidth="1"/>
    <col min="4862" max="4863" width="17.5703125" style="2" customWidth="1"/>
    <col min="4864" max="5107" width="9.140625" style="2"/>
    <col min="5108" max="5108" width="3.5703125" style="2" customWidth="1"/>
    <col min="5109" max="5109" width="96.85546875" style="2" customWidth="1"/>
    <col min="5110" max="5110" width="30.85546875" style="2" customWidth="1"/>
    <col min="5111" max="5111" width="12.5703125" style="2" customWidth="1"/>
    <col min="5112" max="5112" width="5.140625" style="2" customWidth="1"/>
    <col min="5113" max="5113" width="9.140625" style="2"/>
    <col min="5114" max="5114" width="4.85546875" style="2" customWidth="1"/>
    <col min="5115" max="5115" width="30.5703125" style="2" customWidth="1"/>
    <col min="5116" max="5116" width="33.85546875" style="2" customWidth="1"/>
    <col min="5117" max="5117" width="5.140625" style="2" customWidth="1"/>
    <col min="5118" max="5119" width="17.5703125" style="2" customWidth="1"/>
    <col min="5120" max="5363" width="9.140625" style="2"/>
    <col min="5364" max="5364" width="3.5703125" style="2" customWidth="1"/>
    <col min="5365" max="5365" width="96.85546875" style="2" customWidth="1"/>
    <col min="5366" max="5366" width="30.85546875" style="2" customWidth="1"/>
    <col min="5367" max="5367" width="12.5703125" style="2" customWidth="1"/>
    <col min="5368" max="5368" width="5.140625" style="2" customWidth="1"/>
    <col min="5369" max="5369" width="9.140625" style="2"/>
    <col min="5370" max="5370" width="4.85546875" style="2" customWidth="1"/>
    <col min="5371" max="5371" width="30.5703125" style="2" customWidth="1"/>
    <col min="5372" max="5372" width="33.85546875" style="2" customWidth="1"/>
    <col min="5373" max="5373" width="5.140625" style="2" customWidth="1"/>
    <col min="5374" max="5375" width="17.5703125" style="2" customWidth="1"/>
    <col min="5376" max="5619" width="9.140625" style="2"/>
    <col min="5620" max="5620" width="3.5703125" style="2" customWidth="1"/>
    <col min="5621" max="5621" width="96.85546875" style="2" customWidth="1"/>
    <col min="5622" max="5622" width="30.85546875" style="2" customWidth="1"/>
    <col min="5623" max="5623" width="12.5703125" style="2" customWidth="1"/>
    <col min="5624" max="5624" width="5.140625" style="2" customWidth="1"/>
    <col min="5625" max="5625" width="9.140625" style="2"/>
    <col min="5626" max="5626" width="4.85546875" style="2" customWidth="1"/>
    <col min="5627" max="5627" width="30.5703125" style="2" customWidth="1"/>
    <col min="5628" max="5628" width="33.85546875" style="2" customWidth="1"/>
    <col min="5629" max="5629" width="5.140625" style="2" customWidth="1"/>
    <col min="5630" max="5631" width="17.5703125" style="2" customWidth="1"/>
    <col min="5632" max="5875" width="9.140625" style="2"/>
    <col min="5876" max="5876" width="3.5703125" style="2" customWidth="1"/>
    <col min="5877" max="5877" width="96.85546875" style="2" customWidth="1"/>
    <col min="5878" max="5878" width="30.85546875" style="2" customWidth="1"/>
    <col min="5879" max="5879" width="12.5703125" style="2" customWidth="1"/>
    <col min="5880" max="5880" width="5.140625" style="2" customWidth="1"/>
    <col min="5881" max="5881" width="9.140625" style="2"/>
    <col min="5882" max="5882" width="4.85546875" style="2" customWidth="1"/>
    <col min="5883" max="5883" width="30.5703125" style="2" customWidth="1"/>
    <col min="5884" max="5884" width="33.85546875" style="2" customWidth="1"/>
    <col min="5885" max="5885" width="5.140625" style="2" customWidth="1"/>
    <col min="5886" max="5887" width="17.5703125" style="2" customWidth="1"/>
    <col min="5888" max="6131" width="9.140625" style="2"/>
    <col min="6132" max="6132" width="3.5703125" style="2" customWidth="1"/>
    <col min="6133" max="6133" width="96.85546875" style="2" customWidth="1"/>
    <col min="6134" max="6134" width="30.85546875" style="2" customWidth="1"/>
    <col min="6135" max="6135" width="12.5703125" style="2" customWidth="1"/>
    <col min="6136" max="6136" width="5.140625" style="2" customWidth="1"/>
    <col min="6137" max="6137" width="9.140625" style="2"/>
    <col min="6138" max="6138" width="4.85546875" style="2" customWidth="1"/>
    <col min="6139" max="6139" width="30.5703125" style="2" customWidth="1"/>
    <col min="6140" max="6140" width="33.85546875" style="2" customWidth="1"/>
    <col min="6141" max="6141" width="5.140625" style="2" customWidth="1"/>
    <col min="6142" max="6143" width="17.5703125" style="2" customWidth="1"/>
    <col min="6144" max="6387" width="9.140625" style="2"/>
    <col min="6388" max="6388" width="3.5703125" style="2" customWidth="1"/>
    <col min="6389" max="6389" width="96.85546875" style="2" customWidth="1"/>
    <col min="6390" max="6390" width="30.85546875" style="2" customWidth="1"/>
    <col min="6391" max="6391" width="12.5703125" style="2" customWidth="1"/>
    <col min="6392" max="6392" width="5.140625" style="2" customWidth="1"/>
    <col min="6393" max="6393" width="9.140625" style="2"/>
    <col min="6394" max="6394" width="4.85546875" style="2" customWidth="1"/>
    <col min="6395" max="6395" width="30.5703125" style="2" customWidth="1"/>
    <col min="6396" max="6396" width="33.85546875" style="2" customWidth="1"/>
    <col min="6397" max="6397" width="5.140625" style="2" customWidth="1"/>
    <col min="6398" max="6399" width="17.5703125" style="2" customWidth="1"/>
    <col min="6400" max="6643" width="9.140625" style="2"/>
    <col min="6644" max="6644" width="3.5703125" style="2" customWidth="1"/>
    <col min="6645" max="6645" width="96.85546875" style="2" customWidth="1"/>
    <col min="6646" max="6646" width="30.85546875" style="2" customWidth="1"/>
    <col min="6647" max="6647" width="12.5703125" style="2" customWidth="1"/>
    <col min="6648" max="6648" width="5.140625" style="2" customWidth="1"/>
    <col min="6649" max="6649" width="9.140625" style="2"/>
    <col min="6650" max="6650" width="4.85546875" style="2" customWidth="1"/>
    <col min="6651" max="6651" width="30.5703125" style="2" customWidth="1"/>
    <col min="6652" max="6652" width="33.85546875" style="2" customWidth="1"/>
    <col min="6653" max="6653" width="5.140625" style="2" customWidth="1"/>
    <col min="6654" max="6655" width="17.5703125" style="2" customWidth="1"/>
    <col min="6656" max="6899" width="9.140625" style="2"/>
    <col min="6900" max="6900" width="3.5703125" style="2" customWidth="1"/>
    <col min="6901" max="6901" width="96.85546875" style="2" customWidth="1"/>
    <col min="6902" max="6902" width="30.85546875" style="2" customWidth="1"/>
    <col min="6903" max="6903" width="12.5703125" style="2" customWidth="1"/>
    <col min="6904" max="6904" width="5.140625" style="2" customWidth="1"/>
    <col min="6905" max="6905" width="9.140625" style="2"/>
    <col min="6906" max="6906" width="4.85546875" style="2" customWidth="1"/>
    <col min="6907" max="6907" width="30.5703125" style="2" customWidth="1"/>
    <col min="6908" max="6908" width="33.85546875" style="2" customWidth="1"/>
    <col min="6909" max="6909" width="5.140625" style="2" customWidth="1"/>
    <col min="6910" max="6911" width="17.5703125" style="2" customWidth="1"/>
    <col min="6912" max="7155" width="9.140625" style="2"/>
    <col min="7156" max="7156" width="3.5703125" style="2" customWidth="1"/>
    <col min="7157" max="7157" width="96.85546875" style="2" customWidth="1"/>
    <col min="7158" max="7158" width="30.85546875" style="2" customWidth="1"/>
    <col min="7159" max="7159" width="12.5703125" style="2" customWidth="1"/>
    <col min="7160" max="7160" width="5.140625" style="2" customWidth="1"/>
    <col min="7161" max="7161" width="9.140625" style="2"/>
    <col min="7162" max="7162" width="4.85546875" style="2" customWidth="1"/>
    <col min="7163" max="7163" width="30.5703125" style="2" customWidth="1"/>
    <col min="7164" max="7164" width="33.85546875" style="2" customWidth="1"/>
    <col min="7165" max="7165" width="5.140625" style="2" customWidth="1"/>
    <col min="7166" max="7167" width="17.5703125" style="2" customWidth="1"/>
    <col min="7168" max="7411" width="9.140625" style="2"/>
    <col min="7412" max="7412" width="3.5703125" style="2" customWidth="1"/>
    <col min="7413" max="7413" width="96.85546875" style="2" customWidth="1"/>
    <col min="7414" max="7414" width="30.85546875" style="2" customWidth="1"/>
    <col min="7415" max="7415" width="12.5703125" style="2" customWidth="1"/>
    <col min="7416" max="7416" width="5.140625" style="2" customWidth="1"/>
    <col min="7417" max="7417" width="9.140625" style="2"/>
    <col min="7418" max="7418" width="4.85546875" style="2" customWidth="1"/>
    <col min="7419" max="7419" width="30.5703125" style="2" customWidth="1"/>
    <col min="7420" max="7420" width="33.85546875" style="2" customWidth="1"/>
    <col min="7421" max="7421" width="5.140625" style="2" customWidth="1"/>
    <col min="7422" max="7423" width="17.5703125" style="2" customWidth="1"/>
    <col min="7424" max="7667" width="9.140625" style="2"/>
    <col min="7668" max="7668" width="3.5703125" style="2" customWidth="1"/>
    <col min="7669" max="7669" width="96.85546875" style="2" customWidth="1"/>
    <col min="7670" max="7670" width="30.85546875" style="2" customWidth="1"/>
    <col min="7671" max="7671" width="12.5703125" style="2" customWidth="1"/>
    <col min="7672" max="7672" width="5.140625" style="2" customWidth="1"/>
    <col min="7673" max="7673" width="9.140625" style="2"/>
    <col min="7674" max="7674" width="4.85546875" style="2" customWidth="1"/>
    <col min="7675" max="7675" width="30.5703125" style="2" customWidth="1"/>
    <col min="7676" max="7676" width="33.85546875" style="2" customWidth="1"/>
    <col min="7677" max="7677" width="5.140625" style="2" customWidth="1"/>
    <col min="7678" max="7679" width="17.5703125" style="2" customWidth="1"/>
    <col min="7680" max="7923" width="9.140625" style="2"/>
    <col min="7924" max="7924" width="3.5703125" style="2" customWidth="1"/>
    <col min="7925" max="7925" width="96.85546875" style="2" customWidth="1"/>
    <col min="7926" max="7926" width="30.85546875" style="2" customWidth="1"/>
    <col min="7927" max="7927" width="12.5703125" style="2" customWidth="1"/>
    <col min="7928" max="7928" width="5.140625" style="2" customWidth="1"/>
    <col min="7929" max="7929" width="9.140625" style="2"/>
    <col min="7930" max="7930" width="4.85546875" style="2" customWidth="1"/>
    <col min="7931" max="7931" width="30.5703125" style="2" customWidth="1"/>
    <col min="7932" max="7932" width="33.85546875" style="2" customWidth="1"/>
    <col min="7933" max="7933" width="5.140625" style="2" customWidth="1"/>
    <col min="7934" max="7935" width="17.5703125" style="2" customWidth="1"/>
    <col min="7936" max="8179" width="9.140625" style="2"/>
    <col min="8180" max="8180" width="3.5703125" style="2" customWidth="1"/>
    <col min="8181" max="8181" width="96.85546875" style="2" customWidth="1"/>
    <col min="8182" max="8182" width="30.85546875" style="2" customWidth="1"/>
    <col min="8183" max="8183" width="12.5703125" style="2" customWidth="1"/>
    <col min="8184" max="8184" width="5.140625" style="2" customWidth="1"/>
    <col min="8185" max="8185" width="9.140625" style="2"/>
    <col min="8186" max="8186" width="4.85546875" style="2" customWidth="1"/>
    <col min="8187" max="8187" width="30.5703125" style="2" customWidth="1"/>
    <col min="8188" max="8188" width="33.85546875" style="2" customWidth="1"/>
    <col min="8189" max="8189" width="5.140625" style="2" customWidth="1"/>
    <col min="8190" max="8191" width="17.5703125" style="2" customWidth="1"/>
    <col min="8192" max="8435" width="9.140625" style="2"/>
    <col min="8436" max="8436" width="3.5703125" style="2" customWidth="1"/>
    <col min="8437" max="8437" width="96.85546875" style="2" customWidth="1"/>
    <col min="8438" max="8438" width="30.85546875" style="2" customWidth="1"/>
    <col min="8439" max="8439" width="12.5703125" style="2" customWidth="1"/>
    <col min="8440" max="8440" width="5.140625" style="2" customWidth="1"/>
    <col min="8441" max="8441" width="9.140625" style="2"/>
    <col min="8442" max="8442" width="4.85546875" style="2" customWidth="1"/>
    <col min="8443" max="8443" width="30.5703125" style="2" customWidth="1"/>
    <col min="8444" max="8444" width="33.85546875" style="2" customWidth="1"/>
    <col min="8445" max="8445" width="5.140625" style="2" customWidth="1"/>
    <col min="8446" max="8447" width="17.5703125" style="2" customWidth="1"/>
    <col min="8448" max="8691" width="9.140625" style="2"/>
    <col min="8692" max="8692" width="3.5703125" style="2" customWidth="1"/>
    <col min="8693" max="8693" width="96.85546875" style="2" customWidth="1"/>
    <col min="8694" max="8694" width="30.85546875" style="2" customWidth="1"/>
    <col min="8695" max="8695" width="12.5703125" style="2" customWidth="1"/>
    <col min="8696" max="8696" width="5.140625" style="2" customWidth="1"/>
    <col min="8697" max="8697" width="9.140625" style="2"/>
    <col min="8698" max="8698" width="4.85546875" style="2" customWidth="1"/>
    <col min="8699" max="8699" width="30.5703125" style="2" customWidth="1"/>
    <col min="8700" max="8700" width="33.85546875" style="2" customWidth="1"/>
    <col min="8701" max="8701" width="5.140625" style="2" customWidth="1"/>
    <col min="8702" max="8703" width="17.5703125" style="2" customWidth="1"/>
    <col min="8704" max="8947" width="9.140625" style="2"/>
    <col min="8948" max="8948" width="3.5703125" style="2" customWidth="1"/>
    <col min="8949" max="8949" width="96.85546875" style="2" customWidth="1"/>
    <col min="8950" max="8950" width="30.85546875" style="2" customWidth="1"/>
    <col min="8951" max="8951" width="12.5703125" style="2" customWidth="1"/>
    <col min="8952" max="8952" width="5.140625" style="2" customWidth="1"/>
    <col min="8953" max="8953" width="9.140625" style="2"/>
    <col min="8954" max="8954" width="4.85546875" style="2" customWidth="1"/>
    <col min="8955" max="8955" width="30.5703125" style="2" customWidth="1"/>
    <col min="8956" max="8956" width="33.85546875" style="2" customWidth="1"/>
    <col min="8957" max="8957" width="5.140625" style="2" customWidth="1"/>
    <col min="8958" max="8959" width="17.5703125" style="2" customWidth="1"/>
    <col min="8960" max="9203" width="9.140625" style="2"/>
    <col min="9204" max="9204" width="3.5703125" style="2" customWidth="1"/>
    <col min="9205" max="9205" width="96.85546875" style="2" customWidth="1"/>
    <col min="9206" max="9206" width="30.85546875" style="2" customWidth="1"/>
    <col min="9207" max="9207" width="12.5703125" style="2" customWidth="1"/>
    <col min="9208" max="9208" width="5.140625" style="2" customWidth="1"/>
    <col min="9209" max="9209" width="9.140625" style="2"/>
    <col min="9210" max="9210" width="4.85546875" style="2" customWidth="1"/>
    <col min="9211" max="9211" width="30.5703125" style="2" customWidth="1"/>
    <col min="9212" max="9212" width="33.85546875" style="2" customWidth="1"/>
    <col min="9213" max="9213" width="5.140625" style="2" customWidth="1"/>
    <col min="9214" max="9215" width="17.5703125" style="2" customWidth="1"/>
    <col min="9216" max="9459" width="9.140625" style="2"/>
    <col min="9460" max="9460" width="3.5703125" style="2" customWidth="1"/>
    <col min="9461" max="9461" width="96.85546875" style="2" customWidth="1"/>
    <col min="9462" max="9462" width="30.85546875" style="2" customWidth="1"/>
    <col min="9463" max="9463" width="12.5703125" style="2" customWidth="1"/>
    <col min="9464" max="9464" width="5.140625" style="2" customWidth="1"/>
    <col min="9465" max="9465" width="9.140625" style="2"/>
    <col min="9466" max="9466" width="4.85546875" style="2" customWidth="1"/>
    <col min="9467" max="9467" width="30.5703125" style="2" customWidth="1"/>
    <col min="9468" max="9468" width="33.85546875" style="2" customWidth="1"/>
    <col min="9469" max="9469" width="5.140625" style="2" customWidth="1"/>
    <col min="9470" max="9471" width="17.5703125" style="2" customWidth="1"/>
    <col min="9472" max="9715" width="9.140625" style="2"/>
    <col min="9716" max="9716" width="3.5703125" style="2" customWidth="1"/>
    <col min="9717" max="9717" width="96.85546875" style="2" customWidth="1"/>
    <col min="9718" max="9718" width="30.85546875" style="2" customWidth="1"/>
    <col min="9719" max="9719" width="12.5703125" style="2" customWidth="1"/>
    <col min="9720" max="9720" width="5.140625" style="2" customWidth="1"/>
    <col min="9721" max="9721" width="9.140625" style="2"/>
    <col min="9722" max="9722" width="4.85546875" style="2" customWidth="1"/>
    <col min="9723" max="9723" width="30.5703125" style="2" customWidth="1"/>
    <col min="9724" max="9724" width="33.85546875" style="2" customWidth="1"/>
    <col min="9725" max="9725" width="5.140625" style="2" customWidth="1"/>
    <col min="9726" max="9727" width="17.5703125" style="2" customWidth="1"/>
    <col min="9728" max="9971" width="9.140625" style="2"/>
    <col min="9972" max="9972" width="3.5703125" style="2" customWidth="1"/>
    <col min="9973" max="9973" width="96.85546875" style="2" customWidth="1"/>
    <col min="9974" max="9974" width="30.85546875" style="2" customWidth="1"/>
    <col min="9975" max="9975" width="12.5703125" style="2" customWidth="1"/>
    <col min="9976" max="9976" width="5.140625" style="2" customWidth="1"/>
    <col min="9977" max="9977" width="9.140625" style="2"/>
    <col min="9978" max="9978" width="4.85546875" style="2" customWidth="1"/>
    <col min="9979" max="9979" width="30.5703125" style="2" customWidth="1"/>
    <col min="9980" max="9980" width="33.85546875" style="2" customWidth="1"/>
    <col min="9981" max="9981" width="5.140625" style="2" customWidth="1"/>
    <col min="9982" max="9983" width="17.5703125" style="2" customWidth="1"/>
    <col min="9984" max="10227" width="9.140625" style="2"/>
    <col min="10228" max="10228" width="3.5703125" style="2" customWidth="1"/>
    <col min="10229" max="10229" width="96.85546875" style="2" customWidth="1"/>
    <col min="10230" max="10230" width="30.85546875" style="2" customWidth="1"/>
    <col min="10231" max="10231" width="12.5703125" style="2" customWidth="1"/>
    <col min="10232" max="10232" width="5.140625" style="2" customWidth="1"/>
    <col min="10233" max="10233" width="9.140625" style="2"/>
    <col min="10234" max="10234" width="4.85546875" style="2" customWidth="1"/>
    <col min="10235" max="10235" width="30.5703125" style="2" customWidth="1"/>
    <col min="10236" max="10236" width="33.85546875" style="2" customWidth="1"/>
    <col min="10237" max="10237" width="5.140625" style="2" customWidth="1"/>
    <col min="10238" max="10239" width="17.5703125" style="2" customWidth="1"/>
    <col min="10240" max="10483" width="9.140625" style="2"/>
    <col min="10484" max="10484" width="3.5703125" style="2" customWidth="1"/>
    <col min="10485" max="10485" width="96.85546875" style="2" customWidth="1"/>
    <col min="10486" max="10486" width="30.85546875" style="2" customWidth="1"/>
    <col min="10487" max="10487" width="12.5703125" style="2" customWidth="1"/>
    <col min="10488" max="10488" width="5.140625" style="2" customWidth="1"/>
    <col min="10489" max="10489" width="9.140625" style="2"/>
    <col min="10490" max="10490" width="4.85546875" style="2" customWidth="1"/>
    <col min="10491" max="10491" width="30.5703125" style="2" customWidth="1"/>
    <col min="10492" max="10492" width="33.85546875" style="2" customWidth="1"/>
    <col min="10493" max="10493" width="5.140625" style="2" customWidth="1"/>
    <col min="10494" max="10495" width="17.5703125" style="2" customWidth="1"/>
    <col min="10496" max="10739" width="9.140625" style="2"/>
    <col min="10740" max="10740" width="3.5703125" style="2" customWidth="1"/>
    <col min="10741" max="10741" width="96.85546875" style="2" customWidth="1"/>
    <col min="10742" max="10742" width="30.85546875" style="2" customWidth="1"/>
    <col min="10743" max="10743" width="12.5703125" style="2" customWidth="1"/>
    <col min="10744" max="10744" width="5.140625" style="2" customWidth="1"/>
    <col min="10745" max="10745" width="9.140625" style="2"/>
    <col min="10746" max="10746" width="4.85546875" style="2" customWidth="1"/>
    <col min="10747" max="10747" width="30.5703125" style="2" customWidth="1"/>
    <col min="10748" max="10748" width="33.85546875" style="2" customWidth="1"/>
    <col min="10749" max="10749" width="5.140625" style="2" customWidth="1"/>
    <col min="10750" max="10751" width="17.5703125" style="2" customWidth="1"/>
    <col min="10752" max="10995" width="9.140625" style="2"/>
    <col min="10996" max="10996" width="3.5703125" style="2" customWidth="1"/>
    <col min="10997" max="10997" width="96.85546875" style="2" customWidth="1"/>
    <col min="10998" max="10998" width="30.85546875" style="2" customWidth="1"/>
    <col min="10999" max="10999" width="12.5703125" style="2" customWidth="1"/>
    <col min="11000" max="11000" width="5.140625" style="2" customWidth="1"/>
    <col min="11001" max="11001" width="9.140625" style="2"/>
    <col min="11002" max="11002" width="4.85546875" style="2" customWidth="1"/>
    <col min="11003" max="11003" width="30.5703125" style="2" customWidth="1"/>
    <col min="11004" max="11004" width="33.85546875" style="2" customWidth="1"/>
    <col min="11005" max="11005" width="5.140625" style="2" customWidth="1"/>
    <col min="11006" max="11007" width="17.5703125" style="2" customWidth="1"/>
    <col min="11008" max="11251" width="9.140625" style="2"/>
    <col min="11252" max="11252" width="3.5703125" style="2" customWidth="1"/>
    <col min="11253" max="11253" width="96.85546875" style="2" customWidth="1"/>
    <col min="11254" max="11254" width="30.85546875" style="2" customWidth="1"/>
    <col min="11255" max="11255" width="12.5703125" style="2" customWidth="1"/>
    <col min="11256" max="11256" width="5.140625" style="2" customWidth="1"/>
    <col min="11257" max="11257" width="9.140625" style="2"/>
    <col min="11258" max="11258" width="4.85546875" style="2" customWidth="1"/>
    <col min="11259" max="11259" width="30.5703125" style="2" customWidth="1"/>
    <col min="11260" max="11260" width="33.85546875" style="2" customWidth="1"/>
    <col min="11261" max="11261" width="5.140625" style="2" customWidth="1"/>
    <col min="11262" max="11263" width="17.5703125" style="2" customWidth="1"/>
    <col min="11264" max="11507" width="9.140625" style="2"/>
    <col min="11508" max="11508" width="3.5703125" style="2" customWidth="1"/>
    <col min="11509" max="11509" width="96.85546875" style="2" customWidth="1"/>
    <col min="11510" max="11510" width="30.85546875" style="2" customWidth="1"/>
    <col min="11511" max="11511" width="12.5703125" style="2" customWidth="1"/>
    <col min="11512" max="11512" width="5.140625" style="2" customWidth="1"/>
    <col min="11513" max="11513" width="9.140625" style="2"/>
    <col min="11514" max="11514" width="4.85546875" style="2" customWidth="1"/>
    <col min="11515" max="11515" width="30.5703125" style="2" customWidth="1"/>
    <col min="11516" max="11516" width="33.85546875" style="2" customWidth="1"/>
    <col min="11517" max="11517" width="5.140625" style="2" customWidth="1"/>
    <col min="11518" max="11519" width="17.5703125" style="2" customWidth="1"/>
    <col min="11520" max="11763" width="9.140625" style="2"/>
    <col min="11764" max="11764" width="3.5703125" style="2" customWidth="1"/>
    <col min="11765" max="11765" width="96.85546875" style="2" customWidth="1"/>
    <col min="11766" max="11766" width="30.85546875" style="2" customWidth="1"/>
    <col min="11767" max="11767" width="12.5703125" style="2" customWidth="1"/>
    <col min="11768" max="11768" width="5.140625" style="2" customWidth="1"/>
    <col min="11769" max="11769" width="9.140625" style="2"/>
    <col min="11770" max="11770" width="4.85546875" style="2" customWidth="1"/>
    <col min="11771" max="11771" width="30.5703125" style="2" customWidth="1"/>
    <col min="11772" max="11772" width="33.85546875" style="2" customWidth="1"/>
    <col min="11773" max="11773" width="5.140625" style="2" customWidth="1"/>
    <col min="11774" max="11775" width="17.5703125" style="2" customWidth="1"/>
    <col min="11776" max="12019" width="9.140625" style="2"/>
    <col min="12020" max="12020" width="3.5703125" style="2" customWidth="1"/>
    <col min="12021" max="12021" width="96.85546875" style="2" customWidth="1"/>
    <col min="12022" max="12022" width="30.85546875" style="2" customWidth="1"/>
    <col min="12023" max="12023" width="12.5703125" style="2" customWidth="1"/>
    <col min="12024" max="12024" width="5.140625" style="2" customWidth="1"/>
    <col min="12025" max="12025" width="9.140625" style="2"/>
    <col min="12026" max="12026" width="4.85546875" style="2" customWidth="1"/>
    <col min="12027" max="12027" width="30.5703125" style="2" customWidth="1"/>
    <col min="12028" max="12028" width="33.85546875" style="2" customWidth="1"/>
    <col min="12029" max="12029" width="5.140625" style="2" customWidth="1"/>
    <col min="12030" max="12031" width="17.5703125" style="2" customWidth="1"/>
    <col min="12032" max="12275" width="9.140625" style="2"/>
    <col min="12276" max="12276" width="3.5703125" style="2" customWidth="1"/>
    <col min="12277" max="12277" width="96.85546875" style="2" customWidth="1"/>
    <col min="12278" max="12278" width="30.85546875" style="2" customWidth="1"/>
    <col min="12279" max="12279" width="12.5703125" style="2" customWidth="1"/>
    <col min="12280" max="12280" width="5.140625" style="2" customWidth="1"/>
    <col min="12281" max="12281" width="9.140625" style="2"/>
    <col min="12282" max="12282" width="4.85546875" style="2" customWidth="1"/>
    <col min="12283" max="12283" width="30.5703125" style="2" customWidth="1"/>
    <col min="12284" max="12284" width="33.85546875" style="2" customWidth="1"/>
    <col min="12285" max="12285" width="5.140625" style="2" customWidth="1"/>
    <col min="12286" max="12287" width="17.5703125" style="2" customWidth="1"/>
    <col min="12288" max="12531" width="9.140625" style="2"/>
    <col min="12532" max="12532" width="3.5703125" style="2" customWidth="1"/>
    <col min="12533" max="12533" width="96.85546875" style="2" customWidth="1"/>
    <col min="12534" max="12534" width="30.85546875" style="2" customWidth="1"/>
    <col min="12535" max="12535" width="12.5703125" style="2" customWidth="1"/>
    <col min="12536" max="12536" width="5.140625" style="2" customWidth="1"/>
    <col min="12537" max="12537" width="9.140625" style="2"/>
    <col min="12538" max="12538" width="4.85546875" style="2" customWidth="1"/>
    <col min="12539" max="12539" width="30.5703125" style="2" customWidth="1"/>
    <col min="12540" max="12540" width="33.85546875" style="2" customWidth="1"/>
    <col min="12541" max="12541" width="5.140625" style="2" customWidth="1"/>
    <col min="12542" max="12543" width="17.5703125" style="2" customWidth="1"/>
    <col min="12544" max="12787" width="9.140625" style="2"/>
    <col min="12788" max="12788" width="3.5703125" style="2" customWidth="1"/>
    <col min="12789" max="12789" width="96.85546875" style="2" customWidth="1"/>
    <col min="12790" max="12790" width="30.85546875" style="2" customWidth="1"/>
    <col min="12791" max="12791" width="12.5703125" style="2" customWidth="1"/>
    <col min="12792" max="12792" width="5.140625" style="2" customWidth="1"/>
    <col min="12793" max="12793" width="9.140625" style="2"/>
    <col min="12794" max="12794" width="4.85546875" style="2" customWidth="1"/>
    <col min="12795" max="12795" width="30.5703125" style="2" customWidth="1"/>
    <col min="12796" max="12796" width="33.85546875" style="2" customWidth="1"/>
    <col min="12797" max="12797" width="5.140625" style="2" customWidth="1"/>
    <col min="12798" max="12799" width="17.5703125" style="2" customWidth="1"/>
    <col min="12800" max="13043" width="9.140625" style="2"/>
    <col min="13044" max="13044" width="3.5703125" style="2" customWidth="1"/>
    <col min="13045" max="13045" width="96.85546875" style="2" customWidth="1"/>
    <col min="13046" max="13046" width="30.85546875" style="2" customWidth="1"/>
    <col min="13047" max="13047" width="12.5703125" style="2" customWidth="1"/>
    <col min="13048" max="13048" width="5.140625" style="2" customWidth="1"/>
    <col min="13049" max="13049" width="9.140625" style="2"/>
    <col min="13050" max="13050" width="4.85546875" style="2" customWidth="1"/>
    <col min="13051" max="13051" width="30.5703125" style="2" customWidth="1"/>
    <col min="13052" max="13052" width="33.85546875" style="2" customWidth="1"/>
    <col min="13053" max="13053" width="5.140625" style="2" customWidth="1"/>
    <col min="13054" max="13055" width="17.5703125" style="2" customWidth="1"/>
    <col min="13056" max="13299" width="9.140625" style="2"/>
    <col min="13300" max="13300" width="3.5703125" style="2" customWidth="1"/>
    <col min="13301" max="13301" width="96.85546875" style="2" customWidth="1"/>
    <col min="13302" max="13302" width="30.85546875" style="2" customWidth="1"/>
    <col min="13303" max="13303" width="12.5703125" style="2" customWidth="1"/>
    <col min="13304" max="13304" width="5.140625" style="2" customWidth="1"/>
    <col min="13305" max="13305" width="9.140625" style="2"/>
    <col min="13306" max="13306" width="4.85546875" style="2" customWidth="1"/>
    <col min="13307" max="13307" width="30.5703125" style="2" customWidth="1"/>
    <col min="13308" max="13308" width="33.85546875" style="2" customWidth="1"/>
    <col min="13309" max="13309" width="5.140625" style="2" customWidth="1"/>
    <col min="13310" max="13311" width="17.5703125" style="2" customWidth="1"/>
    <col min="13312" max="13555" width="9.140625" style="2"/>
    <col min="13556" max="13556" width="3.5703125" style="2" customWidth="1"/>
    <col min="13557" max="13557" width="96.85546875" style="2" customWidth="1"/>
    <col min="13558" max="13558" width="30.85546875" style="2" customWidth="1"/>
    <col min="13559" max="13559" width="12.5703125" style="2" customWidth="1"/>
    <col min="13560" max="13560" width="5.140625" style="2" customWidth="1"/>
    <col min="13561" max="13561" width="9.140625" style="2"/>
    <col min="13562" max="13562" width="4.85546875" style="2" customWidth="1"/>
    <col min="13563" max="13563" width="30.5703125" style="2" customWidth="1"/>
    <col min="13564" max="13564" width="33.85546875" style="2" customWidth="1"/>
    <col min="13565" max="13565" width="5.140625" style="2" customWidth="1"/>
    <col min="13566" max="13567" width="17.5703125" style="2" customWidth="1"/>
    <col min="13568" max="13811" width="9.140625" style="2"/>
    <col min="13812" max="13812" width="3.5703125" style="2" customWidth="1"/>
    <col min="13813" max="13813" width="96.85546875" style="2" customWidth="1"/>
    <col min="13814" max="13814" width="30.85546875" style="2" customWidth="1"/>
    <col min="13815" max="13815" width="12.5703125" style="2" customWidth="1"/>
    <col min="13816" max="13816" width="5.140625" style="2" customWidth="1"/>
    <col min="13817" max="13817" width="9.140625" style="2"/>
    <col min="13818" max="13818" width="4.85546875" style="2" customWidth="1"/>
    <col min="13819" max="13819" width="30.5703125" style="2" customWidth="1"/>
    <col min="13820" max="13820" width="33.85546875" style="2" customWidth="1"/>
    <col min="13821" max="13821" width="5.140625" style="2" customWidth="1"/>
    <col min="13822" max="13823" width="17.5703125" style="2" customWidth="1"/>
    <col min="13824" max="14067" width="9.140625" style="2"/>
    <col min="14068" max="14068" width="3.5703125" style="2" customWidth="1"/>
    <col min="14069" max="14069" width="96.85546875" style="2" customWidth="1"/>
    <col min="14070" max="14070" width="30.85546875" style="2" customWidth="1"/>
    <col min="14071" max="14071" width="12.5703125" style="2" customWidth="1"/>
    <col min="14072" max="14072" width="5.140625" style="2" customWidth="1"/>
    <col min="14073" max="14073" width="9.140625" style="2"/>
    <col min="14074" max="14074" width="4.85546875" style="2" customWidth="1"/>
    <col min="14075" max="14075" width="30.5703125" style="2" customWidth="1"/>
    <col min="14076" max="14076" width="33.85546875" style="2" customWidth="1"/>
    <col min="14077" max="14077" width="5.140625" style="2" customWidth="1"/>
    <col min="14078" max="14079" width="17.5703125" style="2" customWidth="1"/>
    <col min="14080" max="14323" width="9.140625" style="2"/>
    <col min="14324" max="14324" width="3.5703125" style="2" customWidth="1"/>
    <col min="14325" max="14325" width="96.85546875" style="2" customWidth="1"/>
    <col min="14326" max="14326" width="30.85546875" style="2" customWidth="1"/>
    <col min="14327" max="14327" width="12.5703125" style="2" customWidth="1"/>
    <col min="14328" max="14328" width="5.140625" style="2" customWidth="1"/>
    <col min="14329" max="14329" width="9.140625" style="2"/>
    <col min="14330" max="14330" width="4.85546875" style="2" customWidth="1"/>
    <col min="14331" max="14331" width="30.5703125" style="2" customWidth="1"/>
    <col min="14332" max="14332" width="33.85546875" style="2" customWidth="1"/>
    <col min="14333" max="14333" width="5.140625" style="2" customWidth="1"/>
    <col min="14334" max="14335" width="17.5703125" style="2" customWidth="1"/>
    <col min="14336" max="14579" width="9.140625" style="2"/>
    <col min="14580" max="14580" width="3.5703125" style="2" customWidth="1"/>
    <col min="14581" max="14581" width="96.85546875" style="2" customWidth="1"/>
    <col min="14582" max="14582" width="30.85546875" style="2" customWidth="1"/>
    <col min="14583" max="14583" width="12.5703125" style="2" customWidth="1"/>
    <col min="14584" max="14584" width="5.140625" style="2" customWidth="1"/>
    <col min="14585" max="14585" width="9.140625" style="2"/>
    <col min="14586" max="14586" width="4.85546875" style="2" customWidth="1"/>
    <col min="14587" max="14587" width="30.5703125" style="2" customWidth="1"/>
    <col min="14588" max="14588" width="33.85546875" style="2" customWidth="1"/>
    <col min="14589" max="14589" width="5.140625" style="2" customWidth="1"/>
    <col min="14590" max="14591" width="17.5703125" style="2" customWidth="1"/>
    <col min="14592" max="14835" width="9.140625" style="2"/>
    <col min="14836" max="14836" width="3.5703125" style="2" customWidth="1"/>
    <col min="14837" max="14837" width="96.85546875" style="2" customWidth="1"/>
    <col min="14838" max="14838" width="30.85546875" style="2" customWidth="1"/>
    <col min="14839" max="14839" width="12.5703125" style="2" customWidth="1"/>
    <col min="14840" max="14840" width="5.140625" style="2" customWidth="1"/>
    <col min="14841" max="14841" width="9.140625" style="2"/>
    <col min="14842" max="14842" width="4.85546875" style="2" customWidth="1"/>
    <col min="14843" max="14843" width="30.5703125" style="2" customWidth="1"/>
    <col min="14844" max="14844" width="33.85546875" style="2" customWidth="1"/>
    <col min="14845" max="14845" width="5.140625" style="2" customWidth="1"/>
    <col min="14846" max="14847" width="17.5703125" style="2" customWidth="1"/>
    <col min="14848" max="15091" width="9.140625" style="2"/>
    <col min="15092" max="15092" width="3.5703125" style="2" customWidth="1"/>
    <col min="15093" max="15093" width="96.85546875" style="2" customWidth="1"/>
    <col min="15094" max="15094" width="30.85546875" style="2" customWidth="1"/>
    <col min="15095" max="15095" width="12.5703125" style="2" customWidth="1"/>
    <col min="15096" max="15096" width="5.140625" style="2" customWidth="1"/>
    <col min="15097" max="15097" width="9.140625" style="2"/>
    <col min="15098" max="15098" width="4.85546875" style="2" customWidth="1"/>
    <col min="15099" max="15099" width="30.5703125" style="2" customWidth="1"/>
    <col min="15100" max="15100" width="33.85546875" style="2" customWidth="1"/>
    <col min="15101" max="15101" width="5.140625" style="2" customWidth="1"/>
    <col min="15102" max="15103" width="17.5703125" style="2" customWidth="1"/>
    <col min="15104" max="15347" width="9.140625" style="2"/>
    <col min="15348" max="15348" width="3.5703125" style="2" customWidth="1"/>
    <col min="15349" max="15349" width="96.85546875" style="2" customWidth="1"/>
    <col min="15350" max="15350" width="30.85546875" style="2" customWidth="1"/>
    <col min="15351" max="15351" width="12.5703125" style="2" customWidth="1"/>
    <col min="15352" max="15352" width="5.140625" style="2" customWidth="1"/>
    <col min="15353" max="15353" width="9.140625" style="2"/>
    <col min="15354" max="15354" width="4.85546875" style="2" customWidth="1"/>
    <col min="15355" max="15355" width="30.5703125" style="2" customWidth="1"/>
    <col min="15356" max="15356" width="33.85546875" style="2" customWidth="1"/>
    <col min="15357" max="15357" width="5.140625" style="2" customWidth="1"/>
    <col min="15358" max="15359" width="17.5703125" style="2" customWidth="1"/>
    <col min="15360" max="15603" width="9.140625" style="2"/>
    <col min="15604" max="15604" width="3.5703125" style="2" customWidth="1"/>
    <col min="15605" max="15605" width="96.85546875" style="2" customWidth="1"/>
    <col min="15606" max="15606" width="30.85546875" style="2" customWidth="1"/>
    <col min="15607" max="15607" width="12.5703125" style="2" customWidth="1"/>
    <col min="15608" max="15608" width="5.140625" style="2" customWidth="1"/>
    <col min="15609" max="15609" width="9.140625" style="2"/>
    <col min="15610" max="15610" width="4.85546875" style="2" customWidth="1"/>
    <col min="15611" max="15611" width="30.5703125" style="2" customWidth="1"/>
    <col min="15612" max="15612" width="33.85546875" style="2" customWidth="1"/>
    <col min="15613" max="15613" width="5.140625" style="2" customWidth="1"/>
    <col min="15614" max="15615" width="17.5703125" style="2" customWidth="1"/>
    <col min="15616" max="15859" width="9.140625" style="2"/>
    <col min="15860" max="15860" width="3.5703125" style="2" customWidth="1"/>
    <col min="15861" max="15861" width="96.85546875" style="2" customWidth="1"/>
    <col min="15862" max="15862" width="30.85546875" style="2" customWidth="1"/>
    <col min="15863" max="15863" width="12.5703125" style="2" customWidth="1"/>
    <col min="15864" max="15864" width="5.140625" style="2" customWidth="1"/>
    <col min="15865" max="15865" width="9.140625" style="2"/>
    <col min="15866" max="15866" width="4.85546875" style="2" customWidth="1"/>
    <col min="15867" max="15867" width="30.5703125" style="2" customWidth="1"/>
    <col min="15868" max="15868" width="33.85546875" style="2" customWidth="1"/>
    <col min="15869" max="15869" width="5.140625" style="2" customWidth="1"/>
    <col min="15870" max="15871" width="17.5703125" style="2" customWidth="1"/>
    <col min="15872" max="16115" width="9.140625" style="2"/>
    <col min="16116" max="16116" width="3.5703125" style="2" customWidth="1"/>
    <col min="16117" max="16117" width="96.85546875" style="2" customWidth="1"/>
    <col min="16118" max="16118" width="30.85546875" style="2" customWidth="1"/>
    <col min="16119" max="16119" width="12.5703125" style="2" customWidth="1"/>
    <col min="16120" max="16120" width="5.140625" style="2" customWidth="1"/>
    <col min="16121" max="16121" width="9.140625" style="2"/>
    <col min="16122" max="16122" width="4.85546875" style="2" customWidth="1"/>
    <col min="16123" max="16123" width="30.5703125" style="2" customWidth="1"/>
    <col min="16124" max="16124" width="33.85546875" style="2" customWidth="1"/>
    <col min="16125" max="16125" width="5.140625" style="2" customWidth="1"/>
    <col min="16126" max="16127" width="17.5703125" style="2" customWidth="1"/>
    <col min="16128" max="16384" width="9.140625" style="2"/>
  </cols>
  <sheetData>
    <row r="1" spans="1:3" ht="48" customHeight="1" x14ac:dyDescent="0.2">
      <c r="A1" s="1"/>
      <c r="B1" s="143" t="s">
        <v>0</v>
      </c>
      <c r="C1" s="143"/>
    </row>
    <row r="2" spans="1:3" x14ac:dyDescent="0.2">
      <c r="A2" s="3"/>
      <c r="B2" s="4" t="s">
        <v>1</v>
      </c>
      <c r="C2" s="5">
        <v>46052</v>
      </c>
    </row>
    <row r="3" spans="1:3" x14ac:dyDescent="0.2">
      <c r="A3" s="3"/>
      <c r="B3" s="6" t="s">
        <v>2</v>
      </c>
    </row>
    <row r="4" spans="1:3" ht="25.5" x14ac:dyDescent="0.2">
      <c r="A4" s="8"/>
      <c r="B4" s="9" t="str">
        <f>[20]И1!D13</f>
        <v>Субъект Российской Федерации</v>
      </c>
      <c r="C4" s="10" t="str">
        <f>[20]И1!E13</f>
        <v>Новосибирская область</v>
      </c>
    </row>
    <row r="5" spans="1:3" ht="51.75" customHeight="1" x14ac:dyDescent="0.2">
      <c r="A5" s="8"/>
      <c r="B5" s="9" t="str">
        <f>[20]И1!D14</f>
        <v>Тип муниципального образования (выберите из списка)</v>
      </c>
      <c r="C5" s="10" t="str">
        <f>[21]И1!E14</f>
        <v>село Преображенка, Искитимский муниципальный район</v>
      </c>
    </row>
    <row r="6" spans="1:3" x14ac:dyDescent="0.2">
      <c r="A6" s="8"/>
      <c r="B6" s="9" t="str">
        <f>IF([20]И1!E15="","",[20]И1!D15)</f>
        <v/>
      </c>
      <c r="C6" s="10">
        <f>IF([20]И1!E15="","",[20]И1!E15)</f>
        <v>0</v>
      </c>
    </row>
    <row r="7" spans="1:3" x14ac:dyDescent="0.2">
      <c r="A7" s="8"/>
      <c r="B7" s="9" t="str">
        <f>[20]И1!D16</f>
        <v>Код ОКТМО</v>
      </c>
      <c r="C7" s="11" t="str">
        <f>[21]И1!E16</f>
        <v xml:space="preserve"> (50615419101)</v>
      </c>
    </row>
    <row r="8" spans="1:3" x14ac:dyDescent="0.2">
      <c r="A8" s="8"/>
      <c r="B8" s="12" t="str">
        <f>[20]И1!D17</f>
        <v>Система теплоснабжения</v>
      </c>
      <c r="C8" s="13">
        <f>[20]И1!E17</f>
        <v>0</v>
      </c>
    </row>
    <row r="9" spans="1:3" x14ac:dyDescent="0.2">
      <c r="A9" s="8"/>
      <c r="B9" s="9" t="str">
        <f>[20]И1!D8</f>
        <v>Период регулирования (i)-й</v>
      </c>
      <c r="C9" s="14">
        <f>[20]И1!E8</f>
        <v>2026</v>
      </c>
    </row>
    <row r="10" spans="1:3" x14ac:dyDescent="0.2">
      <c r="A10" s="8"/>
      <c r="B10" s="9" t="str">
        <f>[20]И1!D9</f>
        <v>Период регулирования (i-1)-й</v>
      </c>
      <c r="C10" s="14">
        <f>[20]И1!E9</f>
        <v>2025</v>
      </c>
    </row>
    <row r="11" spans="1:3" x14ac:dyDescent="0.2">
      <c r="A11" s="8"/>
      <c r="B11" s="9" t="str">
        <f>[20]И1!D10</f>
        <v>Период регулирования (i-2)-й</v>
      </c>
      <c r="C11" s="14">
        <f>[20]И1!E10</f>
        <v>2024</v>
      </c>
    </row>
    <row r="12" spans="1:3" x14ac:dyDescent="0.2">
      <c r="A12" s="8"/>
      <c r="B12" s="9" t="str">
        <f>[20]И1!D11</f>
        <v>Базовый год (б)</v>
      </c>
      <c r="C12" s="14">
        <f>[20]И1!E11</f>
        <v>2019</v>
      </c>
    </row>
    <row r="13" spans="1:3" x14ac:dyDescent="0.2">
      <c r="A13" s="8"/>
      <c r="B13" s="9" t="str">
        <f>[20]И1!D18</f>
        <v>Вид топлива, использование которого преобладает в системе теплоснабжения</v>
      </c>
      <c r="C13" s="15" t="str">
        <f>[20]С1.1!E13</f>
        <v>каменный уголь</v>
      </c>
    </row>
    <row r="14" spans="1:3" ht="31.7" customHeight="1" thickBot="1" x14ac:dyDescent="0.25">
      <c r="A14" s="142" t="s">
        <v>3</v>
      </c>
      <c r="B14" s="142"/>
      <c r="C14" s="142"/>
    </row>
    <row r="15" spans="1:3" x14ac:dyDescent="0.2">
      <c r="A15" s="16" t="s">
        <v>4</v>
      </c>
      <c r="B15" s="17" t="s">
        <v>5</v>
      </c>
      <c r="C15" s="18" t="s">
        <v>6</v>
      </c>
    </row>
    <row r="16" spans="1:3" x14ac:dyDescent="0.2">
      <c r="A16" s="19">
        <v>1</v>
      </c>
      <c r="B16" s="20">
        <v>2</v>
      </c>
      <c r="C16" s="21">
        <v>3</v>
      </c>
    </row>
    <row r="17" spans="1:3" x14ac:dyDescent="0.2">
      <c r="A17" s="22">
        <v>1</v>
      </c>
      <c r="B17" s="23" t="s">
        <v>7</v>
      </c>
      <c r="C17" s="24">
        <f>SUM(C18:C22)</f>
        <v>5747.5383555070393</v>
      </c>
    </row>
    <row r="18" spans="1:3" ht="42.75" x14ac:dyDescent="0.2">
      <c r="A18" s="22" t="s">
        <v>8</v>
      </c>
      <c r="B18" s="25" t="s">
        <v>9</v>
      </c>
      <c r="C18" s="26">
        <f>[20]С1!F12</f>
        <v>1053.8997870743569</v>
      </c>
    </row>
    <row r="19" spans="1:3" ht="42.75" x14ac:dyDescent="0.2">
      <c r="A19" s="22" t="s">
        <v>10</v>
      </c>
      <c r="B19" s="25" t="s">
        <v>11</v>
      </c>
      <c r="C19" s="26">
        <f>[20]С2!F12</f>
        <v>3097.7824122172187</v>
      </c>
    </row>
    <row r="20" spans="1:3" ht="30" x14ac:dyDescent="0.2">
      <c r="A20" s="22" t="s">
        <v>12</v>
      </c>
      <c r="B20" s="25" t="s">
        <v>13</v>
      </c>
      <c r="C20" s="26">
        <f>[20]С3!F12</f>
        <v>940.47266370947932</v>
      </c>
    </row>
    <row r="21" spans="1:3" ht="42.75" x14ac:dyDescent="0.2">
      <c r="A21" s="22" t="s">
        <v>14</v>
      </c>
      <c r="B21" s="25" t="s">
        <v>15</v>
      </c>
      <c r="C21" s="26">
        <f>[20]С4!F12</f>
        <v>542.68666200584585</v>
      </c>
    </row>
    <row r="22" spans="1:3" ht="30" x14ac:dyDescent="0.2">
      <c r="A22" s="22" t="s">
        <v>16</v>
      </c>
      <c r="B22" s="25" t="s">
        <v>17</v>
      </c>
      <c r="C22" s="26">
        <f>[20]С5!F12</f>
        <v>112.69683050013802</v>
      </c>
    </row>
    <row r="23" spans="1:3" ht="43.5" thickBot="1" x14ac:dyDescent="0.25">
      <c r="A23" s="27" t="s">
        <v>18</v>
      </c>
      <c r="B23" s="140" t="s">
        <v>19</v>
      </c>
      <c r="C23" s="28" t="str">
        <f>[20]С6!F12</f>
        <v>-</v>
      </c>
    </row>
    <row r="24" spans="1:3" ht="13.5" thickBot="1" x14ac:dyDescent="0.25">
      <c r="A24" s="3"/>
    </row>
    <row r="25" spans="1:3" x14ac:dyDescent="0.2">
      <c r="A25" s="16" t="s">
        <v>4</v>
      </c>
      <c r="B25" s="29" t="s">
        <v>5</v>
      </c>
      <c r="C25" s="30" t="s">
        <v>6</v>
      </c>
    </row>
    <row r="26" spans="1:3" x14ac:dyDescent="0.2">
      <c r="A26" s="19">
        <v>1</v>
      </c>
      <c r="B26" s="31">
        <v>2</v>
      </c>
      <c r="C26" s="32">
        <v>3</v>
      </c>
    </row>
    <row r="27" spans="1:3" ht="39.75" customHeight="1" x14ac:dyDescent="0.2">
      <c r="A27" s="22">
        <v>1</v>
      </c>
      <c r="B27" s="144" t="s">
        <v>20</v>
      </c>
      <c r="C27" s="144"/>
    </row>
    <row r="28" spans="1:3" ht="128.25" customHeight="1" x14ac:dyDescent="0.2">
      <c r="A28" s="22" t="s">
        <v>8</v>
      </c>
      <c r="B28" s="33" t="s">
        <v>21</v>
      </c>
      <c r="C28" s="34">
        <f>[20]С1.1!E16</f>
        <v>5100</v>
      </c>
    </row>
    <row r="29" spans="1:3" ht="57.75" customHeight="1" x14ac:dyDescent="0.2">
      <c r="A29" s="22" t="s">
        <v>10</v>
      </c>
      <c r="B29" s="33" t="s">
        <v>22</v>
      </c>
      <c r="C29" s="34">
        <f>[20]С1.1!E27</f>
        <v>4532.5</v>
      </c>
    </row>
    <row r="30" spans="1:3" ht="261.75" customHeight="1" x14ac:dyDescent="0.2">
      <c r="A30" s="22" t="s">
        <v>12</v>
      </c>
      <c r="B30" s="33" t="s">
        <v>23</v>
      </c>
      <c r="C30" s="35">
        <f>[20]С1.1!E19</f>
        <v>-0.11899999999999999</v>
      </c>
    </row>
    <row r="31" spans="1:3" ht="17.25" x14ac:dyDescent="0.2">
      <c r="A31" s="22" t="s">
        <v>14</v>
      </c>
      <c r="B31" s="33" t="s">
        <v>24</v>
      </c>
      <c r="C31" s="35">
        <f>[20]С1.1!E20</f>
        <v>4.0000000000000001E-3</v>
      </c>
    </row>
    <row r="32" spans="1:3" ht="30" x14ac:dyDescent="0.2">
      <c r="A32" s="22" t="s">
        <v>16</v>
      </c>
      <c r="B32" s="36" t="s">
        <v>25</v>
      </c>
      <c r="C32" s="37">
        <f>[20]С1!F13</f>
        <v>176.4</v>
      </c>
    </row>
    <row r="33" spans="1:3" x14ac:dyDescent="0.2">
      <c r="A33" s="22" t="s">
        <v>18</v>
      </c>
      <c r="B33" s="36" t="s">
        <v>26</v>
      </c>
      <c r="C33" s="38">
        <f>[20]С1!F16</f>
        <v>7000</v>
      </c>
    </row>
    <row r="34" spans="1:3" ht="14.25" x14ac:dyDescent="0.2">
      <c r="A34" s="22" t="s">
        <v>27</v>
      </c>
      <c r="B34" s="39" t="s">
        <v>28</v>
      </c>
      <c r="C34" s="40">
        <f>[20]С1!F17</f>
        <v>0.72857142857142854</v>
      </c>
    </row>
    <row r="35" spans="1:3" ht="15.75" x14ac:dyDescent="0.2">
      <c r="A35" s="41" t="s">
        <v>29</v>
      </c>
      <c r="B35" s="42" t="s">
        <v>30</v>
      </c>
      <c r="C35" s="40">
        <f>[20]С1!F20</f>
        <v>21.588411179999994</v>
      </c>
    </row>
    <row r="36" spans="1:3" ht="15.75" x14ac:dyDescent="0.2">
      <c r="A36" s="41" t="s">
        <v>31</v>
      </c>
      <c r="B36" s="43" t="s">
        <v>32</v>
      </c>
      <c r="C36" s="40">
        <f>[20]С1!F21</f>
        <v>20.818139999999996</v>
      </c>
    </row>
    <row r="37" spans="1:3" ht="14.25" x14ac:dyDescent="0.2">
      <c r="A37" s="41" t="s">
        <v>33</v>
      </c>
      <c r="B37" s="44" t="s">
        <v>34</v>
      </c>
      <c r="C37" s="40">
        <f>[20]С1!F22</f>
        <v>1.0369999999999999</v>
      </c>
    </row>
    <row r="38" spans="1:3" ht="53.25" thickBot="1" x14ac:dyDescent="0.25">
      <c r="A38" s="27" t="s">
        <v>35</v>
      </c>
      <c r="B38" s="45" t="s">
        <v>36</v>
      </c>
      <c r="C38" s="46">
        <f>[20]С1!F23</f>
        <v>1.0469999999999999</v>
      </c>
    </row>
    <row r="39" spans="1:3" ht="13.5" thickBot="1" x14ac:dyDescent="0.25">
      <c r="A39" s="47"/>
      <c r="B39" s="48"/>
      <c r="C39" s="49"/>
    </row>
    <row r="40" spans="1:3" ht="30" customHeight="1" x14ac:dyDescent="0.2">
      <c r="A40" s="50" t="s">
        <v>37</v>
      </c>
      <c r="B40" s="145" t="s">
        <v>38</v>
      </c>
      <c r="C40" s="145"/>
    </row>
    <row r="41" spans="1:3" ht="25.5" x14ac:dyDescent="0.2">
      <c r="A41" s="22" t="s">
        <v>39</v>
      </c>
      <c r="B41" s="36" t="s">
        <v>40</v>
      </c>
      <c r="C41" s="51" t="str">
        <f>[20]С2.1!E12</f>
        <v>V</v>
      </c>
    </row>
    <row r="42" spans="1:3" ht="233.25" customHeight="1" x14ac:dyDescent="0.2">
      <c r="A42" s="22" t="s">
        <v>41</v>
      </c>
      <c r="B42" s="33" t="s">
        <v>42</v>
      </c>
      <c r="C42" s="51" t="str">
        <f>[20]С2.1!E13</f>
        <v>6 и менее баллов</v>
      </c>
    </row>
    <row r="43" spans="1:3" ht="144.75" customHeight="1" x14ac:dyDescent="0.2">
      <c r="A43" s="22" t="s">
        <v>43</v>
      </c>
      <c r="B43" s="33" t="s">
        <v>44</v>
      </c>
      <c r="C43" s="51" t="str">
        <f>[20]С2.1!E14</f>
        <v>от 200 до 500</v>
      </c>
    </row>
    <row r="44" spans="1:3" ht="25.5" x14ac:dyDescent="0.2">
      <c r="A44" s="22" t="s">
        <v>45</v>
      </c>
      <c r="B44" s="33" t="s">
        <v>46</v>
      </c>
      <c r="C44" s="52" t="str">
        <f>[20]С2.1!E15</f>
        <v>нет</v>
      </c>
    </row>
    <row r="45" spans="1:3" ht="30" x14ac:dyDescent="0.2">
      <c r="A45" s="22" t="s">
        <v>47</v>
      </c>
      <c r="B45" s="33" t="s">
        <v>48</v>
      </c>
      <c r="C45" s="34">
        <f>[20]С2!F18</f>
        <v>40220.845230503684</v>
      </c>
    </row>
    <row r="46" spans="1:3" ht="30" x14ac:dyDescent="0.2">
      <c r="A46" s="22" t="s">
        <v>49</v>
      </c>
      <c r="B46" s="53" t="s">
        <v>50</v>
      </c>
      <c r="C46" s="34">
        <f>IF([20]С2!F19&gt;0,[20]С2!F19,[20]С2!F20)</f>
        <v>23441.524932855718</v>
      </c>
    </row>
    <row r="47" spans="1:3" ht="46.5" customHeight="1" x14ac:dyDescent="0.2">
      <c r="A47" s="22" t="s">
        <v>51</v>
      </c>
      <c r="B47" s="54" t="s">
        <v>52</v>
      </c>
      <c r="C47" s="34">
        <f>[20]С2.1!E19</f>
        <v>-38</v>
      </c>
    </row>
    <row r="48" spans="1:3" ht="25.5" x14ac:dyDescent="0.2">
      <c r="A48" s="22" t="s">
        <v>53</v>
      </c>
      <c r="B48" s="54" t="s">
        <v>54</v>
      </c>
      <c r="C48" s="34" t="str">
        <f>[20]С2.1!E22</f>
        <v>нет</v>
      </c>
    </row>
    <row r="49" spans="1:3" ht="38.25" x14ac:dyDescent="0.2">
      <c r="A49" s="22" t="s">
        <v>55</v>
      </c>
      <c r="B49" s="55" t="s">
        <v>56</v>
      </c>
      <c r="C49" s="34">
        <f>[20]С2.2!E10</f>
        <v>1287</v>
      </c>
    </row>
    <row r="50" spans="1:3" ht="25.5" x14ac:dyDescent="0.2">
      <c r="A50" s="22" t="s">
        <v>57</v>
      </c>
      <c r="B50" s="56" t="s">
        <v>58</v>
      </c>
      <c r="C50" s="34">
        <f>[20]С2.2!E12</f>
        <v>5.97</v>
      </c>
    </row>
    <row r="51" spans="1:3" ht="52.5" x14ac:dyDescent="0.2">
      <c r="A51" s="22" t="s">
        <v>59</v>
      </c>
      <c r="B51" s="57" t="s">
        <v>60</v>
      </c>
      <c r="C51" s="34">
        <f>[20]С2.2!E13</f>
        <v>1</v>
      </c>
    </row>
    <row r="52" spans="1:3" ht="27.75" x14ac:dyDescent="0.2">
      <c r="A52" s="22" t="s">
        <v>61</v>
      </c>
      <c r="B52" s="56" t="s">
        <v>62</v>
      </c>
      <c r="C52" s="34">
        <f>[20]С2.2!E14</f>
        <v>12104</v>
      </c>
    </row>
    <row r="53" spans="1:3" ht="79.5" customHeight="1" x14ac:dyDescent="0.2">
      <c r="A53" s="22" t="s">
        <v>63</v>
      </c>
      <c r="B53" s="57" t="s">
        <v>64</v>
      </c>
      <c r="C53" s="35">
        <f>[20]С2.2!E15</f>
        <v>4.8000000000000001E-2</v>
      </c>
    </row>
    <row r="54" spans="1:3" x14ac:dyDescent="0.2">
      <c r="A54" s="22" t="s">
        <v>65</v>
      </c>
      <c r="B54" s="57" t="s">
        <v>66</v>
      </c>
      <c r="C54" s="34">
        <f>[20]С2.2!E16</f>
        <v>1</v>
      </c>
    </row>
    <row r="55" spans="1:3" ht="15.75" x14ac:dyDescent="0.2">
      <c r="A55" s="22" t="s">
        <v>67</v>
      </c>
      <c r="B55" s="58" t="s">
        <v>68</v>
      </c>
      <c r="C55" s="34">
        <f>[20]С2!F21</f>
        <v>1</v>
      </c>
    </row>
    <row r="56" spans="1:3" ht="30" x14ac:dyDescent="0.2">
      <c r="A56" s="59" t="s">
        <v>69</v>
      </c>
      <c r="B56" s="33" t="s">
        <v>70</v>
      </c>
      <c r="C56" s="34">
        <f>[20]С2!F13</f>
        <v>210571.60987470482</v>
      </c>
    </row>
    <row r="57" spans="1:3" ht="30" x14ac:dyDescent="0.2">
      <c r="A57" s="59" t="s">
        <v>71</v>
      </c>
      <c r="B57" s="58" t="s">
        <v>72</v>
      </c>
      <c r="C57" s="34">
        <f>[20]С2!F14</f>
        <v>113455</v>
      </c>
    </row>
    <row r="58" spans="1:3" ht="15.75" x14ac:dyDescent="0.2">
      <c r="A58" s="59" t="s">
        <v>73</v>
      </c>
      <c r="B58" s="60" t="s">
        <v>74</v>
      </c>
      <c r="C58" s="40">
        <f>[20]С2!F15</f>
        <v>1.071</v>
      </c>
    </row>
    <row r="59" spans="1:3" ht="15.75" x14ac:dyDescent="0.2">
      <c r="A59" s="59" t="s">
        <v>75</v>
      </c>
      <c r="B59" s="60" t="s">
        <v>76</v>
      </c>
      <c r="C59" s="40">
        <f>[20]С2!F16</f>
        <v>1</v>
      </c>
    </row>
    <row r="60" spans="1:3" ht="17.25" x14ac:dyDescent="0.2">
      <c r="A60" s="59" t="s">
        <v>77</v>
      </c>
      <c r="B60" s="58" t="s">
        <v>78</v>
      </c>
      <c r="C60" s="34">
        <f>[20]С2!F17</f>
        <v>1.01</v>
      </c>
    </row>
    <row r="61" spans="1:3" s="63" customFormat="1" ht="14.25" x14ac:dyDescent="0.2">
      <c r="A61" s="59" t="s">
        <v>79</v>
      </c>
      <c r="B61" s="61" t="s">
        <v>80</v>
      </c>
      <c r="C61" s="62">
        <f>[20]С2!F33</f>
        <v>10</v>
      </c>
    </row>
    <row r="62" spans="1:3" ht="30" x14ac:dyDescent="0.2">
      <c r="A62" s="59" t="s">
        <v>81</v>
      </c>
      <c r="B62" s="64" t="s">
        <v>82</v>
      </c>
      <c r="C62" s="34">
        <f>[20]С2!F26</f>
        <v>3185.880383940208</v>
      </c>
    </row>
    <row r="63" spans="1:3" ht="168" customHeight="1" x14ac:dyDescent="0.2">
      <c r="A63" s="59" t="s">
        <v>83</v>
      </c>
      <c r="B63" s="53" t="s">
        <v>84</v>
      </c>
      <c r="C63" s="34">
        <f>[20]С2!F27</f>
        <v>0.44209422600000003</v>
      </c>
    </row>
    <row r="64" spans="1:3" ht="17.25" x14ac:dyDescent="0.2">
      <c r="A64" s="59" t="s">
        <v>85</v>
      </c>
      <c r="B64" s="58" t="s">
        <v>86</v>
      </c>
      <c r="C64" s="62">
        <f>[20]С2!F28</f>
        <v>4200</v>
      </c>
    </row>
    <row r="65" spans="1:3" ht="42.75" x14ac:dyDescent="0.2">
      <c r="A65" s="59" t="s">
        <v>87</v>
      </c>
      <c r="B65" s="33" t="s">
        <v>88</v>
      </c>
      <c r="C65" s="34">
        <f>[20]С2!F22</f>
        <v>4298.6978080550834</v>
      </c>
    </row>
    <row r="66" spans="1:3" ht="30" x14ac:dyDescent="0.2">
      <c r="A66" s="59" t="s">
        <v>89</v>
      </c>
      <c r="B66" s="60" t="s">
        <v>90</v>
      </c>
      <c r="C66" s="34">
        <f>[20]С2!F23</f>
        <v>1990</v>
      </c>
    </row>
    <row r="67" spans="1:3" ht="30" x14ac:dyDescent="0.2">
      <c r="A67" s="59" t="s">
        <v>91</v>
      </c>
      <c r="B67" s="53" t="s">
        <v>92</v>
      </c>
      <c r="C67" s="34">
        <f>[20]С2.1!E27</f>
        <v>246.24401</v>
      </c>
    </row>
    <row r="68" spans="1:3" ht="73.5" customHeight="1" x14ac:dyDescent="0.2">
      <c r="A68" s="59" t="s">
        <v>93</v>
      </c>
      <c r="B68" s="65" t="s">
        <v>94</v>
      </c>
      <c r="C68" s="52" t="str">
        <f>[20]С2.3!E21</f>
        <v>Муниципальное унитарное предприятие города Куйбышева Куйбышевского района Новосибирской области "Горводоканал"</v>
      </c>
    </row>
    <row r="69" spans="1:3" ht="25.5" x14ac:dyDescent="0.2">
      <c r="A69" s="59" t="s">
        <v>95</v>
      </c>
      <c r="B69" s="66" t="s">
        <v>96</v>
      </c>
      <c r="C69" s="67">
        <f>[20]С2.3!E11</f>
        <v>9.89</v>
      </c>
    </row>
    <row r="70" spans="1:3" ht="25.5" x14ac:dyDescent="0.2">
      <c r="A70" s="59" t="s">
        <v>97</v>
      </c>
      <c r="B70" s="66" t="s">
        <v>98</v>
      </c>
      <c r="C70" s="62">
        <f>[20]С2.3!E13</f>
        <v>300</v>
      </c>
    </row>
    <row r="71" spans="1:3" ht="192.75" customHeight="1" x14ac:dyDescent="0.2">
      <c r="A71" s="59" t="s">
        <v>99</v>
      </c>
      <c r="B71" s="65" t="s">
        <v>100</v>
      </c>
      <c r="C71" s="68">
        <f>IF([20]С2.3!E22&gt;0,[20]С2.3!E22,[20]С2.3!E14)</f>
        <v>8809</v>
      </c>
    </row>
    <row r="72" spans="1:3" ht="192.75" customHeight="1" x14ac:dyDescent="0.2">
      <c r="A72" s="59" t="s">
        <v>101</v>
      </c>
      <c r="B72" s="65" t="s">
        <v>102</v>
      </c>
      <c r="C72" s="68">
        <f>IF([20]С2.3!E23&gt;0,[20]С2.3!E23,[20]С2.3!E15)</f>
        <v>530.41</v>
      </c>
    </row>
    <row r="73" spans="1:3" ht="30" x14ac:dyDescent="0.2">
      <c r="A73" s="59" t="s">
        <v>103</v>
      </c>
      <c r="B73" s="53" t="s">
        <v>104</v>
      </c>
      <c r="C73" s="34">
        <f>[20]С2.1!E28</f>
        <v>269.12432000000001</v>
      </c>
    </row>
    <row r="74" spans="1:3" ht="87" customHeight="1" x14ac:dyDescent="0.2">
      <c r="A74" s="59" t="s">
        <v>105</v>
      </c>
      <c r="B74" s="65" t="s">
        <v>106</v>
      </c>
      <c r="C74" s="52" t="str">
        <f>[20]С2.3!E25</f>
        <v>Муниципальное унитарное предприятие города Куйбышева Куйбышевского района Новосибирской области "Геострой"</v>
      </c>
    </row>
    <row r="75" spans="1:3" ht="25.5" x14ac:dyDescent="0.2">
      <c r="A75" s="59" t="s">
        <v>107</v>
      </c>
      <c r="B75" s="66" t="s">
        <v>108</v>
      </c>
      <c r="C75" s="67">
        <f>[20]С2.3!E12</f>
        <v>0.56000000000000005</v>
      </c>
    </row>
    <row r="76" spans="1:3" ht="25.5" x14ac:dyDescent="0.2">
      <c r="A76" s="59" t="s">
        <v>109</v>
      </c>
      <c r="B76" s="66" t="s">
        <v>98</v>
      </c>
      <c r="C76" s="62">
        <f>[20]С2.3!E13</f>
        <v>300</v>
      </c>
    </row>
    <row r="77" spans="1:3" ht="183" customHeight="1" x14ac:dyDescent="0.2">
      <c r="A77" s="59" t="s">
        <v>110</v>
      </c>
      <c r="B77" s="69" t="s">
        <v>111</v>
      </c>
      <c r="C77" s="68">
        <f>IF([20]С2.3!E26&gt;0,[20]С2.3!E26,[20]С2.3!E16)</f>
        <v>21397</v>
      </c>
    </row>
    <row r="78" spans="1:3" ht="186.75" customHeight="1" x14ac:dyDescent="0.2">
      <c r="A78" s="59" t="s">
        <v>112</v>
      </c>
      <c r="B78" s="69" t="s">
        <v>113</v>
      </c>
      <c r="C78" s="68">
        <f>IF([20]С2.3!E27&gt;0,[20]С2.3!E27,[20]С2.3!E17)</f>
        <v>857.14</v>
      </c>
    </row>
    <row r="79" spans="1:3" ht="17.25" x14ac:dyDescent="0.2">
      <c r="A79" s="59" t="s">
        <v>114</v>
      </c>
      <c r="B79" s="33" t="s">
        <v>115</v>
      </c>
      <c r="C79" s="35">
        <f>[20]С2!F29</f>
        <v>0.21369165990259753</v>
      </c>
    </row>
    <row r="80" spans="1:3" ht="30" x14ac:dyDescent="0.2">
      <c r="A80" s="59" t="s">
        <v>116</v>
      </c>
      <c r="B80" s="53" t="s">
        <v>117</v>
      </c>
      <c r="C80" s="70">
        <f>[20]С2!F30</f>
        <v>0.20047619047619047</v>
      </c>
    </row>
    <row r="81" spans="1:3" ht="17.25" x14ac:dyDescent="0.2">
      <c r="A81" s="59" t="s">
        <v>118</v>
      </c>
      <c r="B81" s="71" t="s">
        <v>119</v>
      </c>
      <c r="C81" s="35">
        <f>[20]С2!F31</f>
        <v>0.13880000000000001</v>
      </c>
    </row>
    <row r="82" spans="1:3" s="63" customFormat="1" ht="18" thickBot="1" x14ac:dyDescent="0.25">
      <c r="A82" s="72" t="s">
        <v>120</v>
      </c>
      <c r="B82" s="73" t="s">
        <v>121</v>
      </c>
      <c r="C82" s="74">
        <f>[20]С2!F32</f>
        <v>0.12640000000000001</v>
      </c>
    </row>
    <row r="83" spans="1:3" ht="13.5" thickBot="1" x14ac:dyDescent="0.25">
      <c r="A83" s="47"/>
      <c r="B83" s="75"/>
      <c r="C83" s="15"/>
    </row>
    <row r="84" spans="1:3" s="63" customFormat="1" ht="30" customHeight="1" x14ac:dyDescent="0.2">
      <c r="A84" s="76" t="s">
        <v>122</v>
      </c>
      <c r="B84" s="145" t="s">
        <v>123</v>
      </c>
      <c r="C84" s="145"/>
    </row>
    <row r="85" spans="1:3" s="63" customFormat="1" ht="30" x14ac:dyDescent="0.2">
      <c r="A85" s="77" t="s">
        <v>124</v>
      </c>
      <c r="B85" s="33" t="s">
        <v>125</v>
      </c>
      <c r="C85" s="34">
        <f>[20]С3!F14</f>
        <v>15827.997028730506</v>
      </c>
    </row>
    <row r="86" spans="1:3" s="63" customFormat="1" ht="42.75" x14ac:dyDescent="0.2">
      <c r="A86" s="77" t="s">
        <v>126</v>
      </c>
      <c r="B86" s="53" t="s">
        <v>127</v>
      </c>
      <c r="C86" s="78">
        <f>[20]С3!F15</f>
        <v>0.25</v>
      </c>
    </row>
    <row r="87" spans="1:3" s="63" customFormat="1" ht="14.25" x14ac:dyDescent="0.2">
      <c r="A87" s="77" t="s">
        <v>128</v>
      </c>
      <c r="B87" s="79" t="s">
        <v>129</v>
      </c>
      <c r="C87" s="62">
        <f>[20]С3!F18</f>
        <v>15</v>
      </c>
    </row>
    <row r="88" spans="1:3" s="63" customFormat="1" ht="17.25" x14ac:dyDescent="0.2">
      <c r="A88" s="77" t="s">
        <v>130</v>
      </c>
      <c r="B88" s="33" t="s">
        <v>131</v>
      </c>
      <c r="C88" s="34">
        <f>[20]С3!F19</f>
        <v>3741.3369093945325</v>
      </c>
    </row>
    <row r="89" spans="1:3" s="63" customFormat="1" ht="55.5" x14ac:dyDescent="0.2">
      <c r="A89" s="77" t="s">
        <v>132</v>
      </c>
      <c r="B89" s="53" t="s">
        <v>133</v>
      </c>
      <c r="C89" s="80">
        <f>[20]С3!F20</f>
        <v>2.1999999999999999E-2</v>
      </c>
    </row>
    <row r="90" spans="1:3" s="63" customFormat="1" ht="14.25" x14ac:dyDescent="0.2">
      <c r="A90" s="77" t="s">
        <v>134</v>
      </c>
      <c r="B90" s="58" t="s">
        <v>80</v>
      </c>
      <c r="C90" s="62">
        <f>[20]С3!F21</f>
        <v>10</v>
      </c>
    </row>
    <row r="91" spans="1:3" s="63" customFormat="1" ht="17.25" x14ac:dyDescent="0.2">
      <c r="A91" s="77" t="s">
        <v>135</v>
      </c>
      <c r="B91" s="33" t="s">
        <v>136</v>
      </c>
      <c r="C91" s="34">
        <f>[20]С3!F22</f>
        <v>9.5576411518206239</v>
      </c>
    </row>
    <row r="92" spans="1:3" s="63" customFormat="1" ht="57" customHeight="1" x14ac:dyDescent="0.2">
      <c r="A92" s="77" t="s">
        <v>137</v>
      </c>
      <c r="B92" s="53" t="s">
        <v>138</v>
      </c>
      <c r="C92" s="80">
        <f>[20]С3!F23</f>
        <v>3.0000000000000001E-3</v>
      </c>
    </row>
    <row r="93" spans="1:3" s="63" customFormat="1" ht="27.75" thickBot="1" x14ac:dyDescent="0.25">
      <c r="A93" s="81" t="s">
        <v>139</v>
      </c>
      <c r="B93" s="82" t="s">
        <v>140</v>
      </c>
      <c r="C93" s="83">
        <f>[20]С3!F24</f>
        <v>3185.880383940208</v>
      </c>
    </row>
    <row r="94" spans="1:3" ht="13.5" thickBot="1" x14ac:dyDescent="0.25">
      <c r="A94" s="47"/>
      <c r="B94" s="75"/>
      <c r="C94" s="15"/>
    </row>
    <row r="95" spans="1:3" ht="30" customHeight="1" x14ac:dyDescent="0.2">
      <c r="A95" s="84" t="s">
        <v>141</v>
      </c>
      <c r="B95" s="145" t="s">
        <v>142</v>
      </c>
      <c r="C95" s="145"/>
    </row>
    <row r="96" spans="1:3" ht="30" x14ac:dyDescent="0.2">
      <c r="A96" s="59" t="s">
        <v>143</v>
      </c>
      <c r="B96" s="33" t="s">
        <v>144</v>
      </c>
      <c r="C96" s="34">
        <f>[20]С4!F16</f>
        <v>1652.5</v>
      </c>
    </row>
    <row r="97" spans="1:3" ht="30" x14ac:dyDescent="0.2">
      <c r="A97" s="59" t="s">
        <v>145</v>
      </c>
      <c r="B97" s="58" t="s">
        <v>146</v>
      </c>
      <c r="C97" s="34">
        <f>[20]С4!F17</f>
        <v>73547</v>
      </c>
    </row>
    <row r="98" spans="1:3" ht="17.25" x14ac:dyDescent="0.2">
      <c r="A98" s="59" t="s">
        <v>147</v>
      </c>
      <c r="B98" s="58" t="s">
        <v>148</v>
      </c>
      <c r="C98" s="40">
        <f>[20]С4!F18</f>
        <v>0.02</v>
      </c>
    </row>
    <row r="99" spans="1:3" ht="30" x14ac:dyDescent="0.2">
      <c r="A99" s="59" t="s">
        <v>149</v>
      </c>
      <c r="B99" s="58" t="s">
        <v>150</v>
      </c>
      <c r="C99" s="34">
        <f>[20]С4!F19</f>
        <v>12104</v>
      </c>
    </row>
    <row r="100" spans="1:3" ht="31.5" x14ac:dyDescent="0.2">
      <c r="A100" s="59" t="s">
        <v>151</v>
      </c>
      <c r="B100" s="58" t="s">
        <v>152</v>
      </c>
      <c r="C100" s="40">
        <f>[20]С4!F20</f>
        <v>1.4999999999999999E-2</v>
      </c>
    </row>
    <row r="101" spans="1:3" ht="30" x14ac:dyDescent="0.2">
      <c r="A101" s="59" t="s">
        <v>153</v>
      </c>
      <c r="B101" s="33" t="s">
        <v>154</v>
      </c>
      <c r="C101" s="34">
        <f>[20]С4!F21</f>
        <v>1933.1949342509995</v>
      </c>
    </row>
    <row r="102" spans="1:3" ht="35.25" customHeight="1" x14ac:dyDescent="0.2">
      <c r="A102" s="59" t="s">
        <v>155</v>
      </c>
      <c r="B102" s="53" t="s">
        <v>156</v>
      </c>
      <c r="C102" s="85" t="str">
        <f>IF([20]С4.2!F8="да",[20]С4.2!D21,[20]С4.2!D15)</f>
        <v>АО "Новосибирскэнергосбыт"</v>
      </c>
    </row>
    <row r="103" spans="1:3" ht="68.25" x14ac:dyDescent="0.2">
      <c r="A103" s="59" t="s">
        <v>157</v>
      </c>
      <c r="B103" s="53" t="s">
        <v>158</v>
      </c>
      <c r="C103" s="34">
        <f>[20]С4!F22</f>
        <v>3.6112641666666665</v>
      </c>
    </row>
    <row r="104" spans="1:3" ht="30" x14ac:dyDescent="0.2">
      <c r="A104" s="59" t="s">
        <v>159</v>
      </c>
      <c r="B104" s="58" t="s">
        <v>160</v>
      </c>
      <c r="C104" s="34">
        <f>[20]С4!F23</f>
        <v>180</v>
      </c>
    </row>
    <row r="105" spans="1:3" ht="14.25" x14ac:dyDescent="0.2">
      <c r="A105" s="59" t="s">
        <v>161</v>
      </c>
      <c r="B105" s="53" t="s">
        <v>162</v>
      </c>
      <c r="C105" s="34">
        <f>[20]С4!F24</f>
        <v>8497.1999999999989</v>
      </c>
    </row>
    <row r="106" spans="1:3" ht="14.25" x14ac:dyDescent="0.2">
      <c r="A106" s="59" t="s">
        <v>163</v>
      </c>
      <c r="B106" s="58" t="s">
        <v>164</v>
      </c>
      <c r="C106" s="40">
        <f>[20]С4!F25</f>
        <v>0.35</v>
      </c>
    </row>
    <row r="107" spans="1:3" ht="17.25" x14ac:dyDescent="0.2">
      <c r="A107" s="59" t="s">
        <v>165</v>
      </c>
      <c r="B107" s="33" t="s">
        <v>166</v>
      </c>
      <c r="C107" s="34">
        <f>[20]С4!F26</f>
        <v>79.717680000000001</v>
      </c>
    </row>
    <row r="108" spans="1:3" ht="75.75" customHeight="1" x14ac:dyDescent="0.2">
      <c r="A108" s="59" t="s">
        <v>167</v>
      </c>
      <c r="B108" s="53" t="s">
        <v>94</v>
      </c>
      <c r="C108" s="85">
        <f>[20]С4.3!E16</f>
        <v>0</v>
      </c>
    </row>
    <row r="109" spans="1:3" ht="25.5" x14ac:dyDescent="0.2">
      <c r="A109" s="59" t="s">
        <v>168</v>
      </c>
      <c r="B109" s="53" t="s">
        <v>169</v>
      </c>
      <c r="C109" s="34">
        <f>[20]С4.3!E17</f>
        <v>21.88</v>
      </c>
    </row>
    <row r="110" spans="1:3" ht="79.5" customHeight="1" x14ac:dyDescent="0.2">
      <c r="A110" s="59" t="s">
        <v>170</v>
      </c>
      <c r="B110" s="53" t="s">
        <v>106</v>
      </c>
      <c r="C110" s="85">
        <f>[20]С4.3!E18</f>
        <v>0</v>
      </c>
    </row>
    <row r="111" spans="1:3" x14ac:dyDescent="0.2">
      <c r="A111" s="59" t="s">
        <v>171</v>
      </c>
      <c r="B111" s="53" t="s">
        <v>172</v>
      </c>
      <c r="C111" s="34">
        <f>[20]С4.3!E19</f>
        <v>14.63</v>
      </c>
    </row>
    <row r="112" spans="1:3" x14ac:dyDescent="0.2">
      <c r="A112" s="59" t="s">
        <v>173</v>
      </c>
      <c r="B112" s="58" t="s">
        <v>174</v>
      </c>
      <c r="C112" s="34">
        <f>[20]С4.3!E11</f>
        <v>1871</v>
      </c>
    </row>
    <row r="113" spans="1:3" x14ac:dyDescent="0.2">
      <c r="A113" s="59" t="s">
        <v>175</v>
      </c>
      <c r="B113" s="58" t="s">
        <v>176</v>
      </c>
      <c r="C113" s="52">
        <f>[20]С4.3!E12</f>
        <v>1636</v>
      </c>
    </row>
    <row r="114" spans="1:3" x14ac:dyDescent="0.2">
      <c r="A114" s="59" t="s">
        <v>177</v>
      </c>
      <c r="B114" s="58" t="s">
        <v>178</v>
      </c>
      <c r="C114" s="52">
        <f>[20]С4.3!E13</f>
        <v>204</v>
      </c>
    </row>
    <row r="115" spans="1:3" ht="30" x14ac:dyDescent="0.2">
      <c r="A115" s="59" t="s">
        <v>179</v>
      </c>
      <c r="B115" s="33" t="s">
        <v>180</v>
      </c>
      <c r="C115" s="34">
        <f>[20]С4!F27</f>
        <v>1291.2863994686898</v>
      </c>
    </row>
    <row r="116" spans="1:3" ht="25.5" x14ac:dyDescent="0.2">
      <c r="A116" s="59" t="s">
        <v>181</v>
      </c>
      <c r="B116" s="53" t="s">
        <v>182</v>
      </c>
      <c r="C116" s="34">
        <f>[20]С4!F28</f>
        <v>991.77142816335618</v>
      </c>
    </row>
    <row r="117" spans="1:3" ht="42.75" x14ac:dyDescent="0.2">
      <c r="A117" s="59" t="s">
        <v>183</v>
      </c>
      <c r="B117" s="53" t="s">
        <v>184</v>
      </c>
      <c r="C117" s="34">
        <f>[20]С4!F29</f>
        <v>299.51497130533357</v>
      </c>
    </row>
    <row r="118" spans="1:3" ht="30" x14ac:dyDescent="0.2">
      <c r="A118" s="59" t="s">
        <v>185</v>
      </c>
      <c r="B118" s="39" t="s">
        <v>186</v>
      </c>
      <c r="C118" s="34">
        <f>[20]С4!F30</f>
        <v>2793.0487990324232</v>
      </c>
    </row>
    <row r="119" spans="1:3" ht="42.75" x14ac:dyDescent="0.2">
      <c r="A119" s="59" t="s">
        <v>187</v>
      </c>
      <c r="B119" s="86" t="s">
        <v>188</v>
      </c>
      <c r="C119" s="34">
        <f>[20]С4!F33</f>
        <v>1554.7185999298906</v>
      </c>
    </row>
    <row r="120" spans="1:3" ht="30" x14ac:dyDescent="0.2">
      <c r="A120" s="59" t="s">
        <v>189</v>
      </c>
      <c r="B120" s="87" t="s">
        <v>190</v>
      </c>
      <c r="C120" s="34">
        <f>[20]С4!F35</f>
        <v>18.902267999999999</v>
      </c>
    </row>
    <row r="121" spans="1:3" ht="14.25" x14ac:dyDescent="0.2">
      <c r="A121" s="59" t="s">
        <v>191</v>
      </c>
      <c r="B121" s="56" t="s">
        <v>192</v>
      </c>
      <c r="C121" s="34">
        <f>[20]С4!F36</f>
        <v>14319.9</v>
      </c>
    </row>
    <row r="122" spans="1:3" ht="43.5" customHeight="1" thickBot="1" x14ac:dyDescent="0.25">
      <c r="A122" s="72" t="s">
        <v>193</v>
      </c>
      <c r="B122" s="88" t="s">
        <v>194</v>
      </c>
      <c r="C122" s="83">
        <f>[20]С4!F37</f>
        <v>1.32</v>
      </c>
    </row>
    <row r="123" spans="1:3" s="89" customFormat="1" ht="13.5" thickBot="1" x14ac:dyDescent="0.25">
      <c r="A123" s="47"/>
      <c r="B123" s="75"/>
      <c r="C123" s="15"/>
    </row>
    <row r="124" spans="1:3" s="63" customFormat="1" ht="30" customHeight="1" x14ac:dyDescent="0.2">
      <c r="A124" s="76" t="s">
        <v>195</v>
      </c>
      <c r="B124" s="145" t="s">
        <v>196</v>
      </c>
      <c r="C124" s="145"/>
    </row>
    <row r="125" spans="1:3" ht="16.5" thickBot="1" x14ac:dyDescent="0.25">
      <c r="A125" s="27" t="s">
        <v>197</v>
      </c>
      <c r="B125" s="90" t="s">
        <v>198</v>
      </c>
      <c r="C125" s="83">
        <f>[20]С5!F17</f>
        <v>0.02</v>
      </c>
    </row>
    <row r="126" spans="1:3" s="89" customFormat="1" ht="13.5" thickBot="1" x14ac:dyDescent="0.25">
      <c r="A126" s="47"/>
      <c r="B126" s="75"/>
      <c r="C126" s="15"/>
    </row>
    <row r="127" spans="1:3" ht="42.75" customHeight="1" x14ac:dyDescent="0.2">
      <c r="A127" s="84" t="s">
        <v>199</v>
      </c>
      <c r="B127" s="146" t="s">
        <v>200</v>
      </c>
      <c r="C127" s="146"/>
    </row>
    <row r="128" spans="1:3" ht="68.25" x14ac:dyDescent="0.2">
      <c r="A128" s="59" t="s">
        <v>201</v>
      </c>
      <c r="B128" s="91" t="s">
        <v>202</v>
      </c>
      <c r="C128" s="34" t="s">
        <v>203</v>
      </c>
    </row>
    <row r="129" spans="1:3" ht="42.75" hidden="1" x14ac:dyDescent="0.2">
      <c r="A129" s="59" t="s">
        <v>204</v>
      </c>
      <c r="B129" s="86" t="s">
        <v>205</v>
      </c>
      <c r="C129" s="92"/>
    </row>
    <row r="130" spans="1:3" ht="69" thickBot="1" x14ac:dyDescent="0.25">
      <c r="A130" s="72" t="s">
        <v>206</v>
      </c>
      <c r="B130" s="93" t="s">
        <v>207</v>
      </c>
      <c r="C130" s="94" t="s">
        <v>203</v>
      </c>
    </row>
    <row r="131" spans="1:3" ht="62.25" hidden="1" customHeight="1" x14ac:dyDescent="0.2">
      <c r="A131" s="95" t="s">
        <v>208</v>
      </c>
      <c r="B131" s="96" t="s">
        <v>209</v>
      </c>
      <c r="C131" s="97"/>
    </row>
    <row r="132" spans="1:3" ht="68.25" hidden="1" x14ac:dyDescent="0.2">
      <c r="A132" s="59" t="s">
        <v>210</v>
      </c>
      <c r="B132" s="86" t="s">
        <v>211</v>
      </c>
      <c r="C132" s="35"/>
    </row>
    <row r="133" spans="1:3" ht="69" hidden="1" thickBot="1" x14ac:dyDescent="0.25">
      <c r="A133" s="72" t="s">
        <v>212</v>
      </c>
      <c r="B133" s="98" t="s">
        <v>213</v>
      </c>
      <c r="C133" s="74"/>
    </row>
    <row r="134" spans="1:3" s="89" customFormat="1" ht="13.5" thickBot="1" x14ac:dyDescent="0.25">
      <c r="A134" s="47"/>
      <c r="B134" s="75"/>
      <c r="C134" s="15"/>
    </row>
    <row r="135" spans="1:3" ht="26.25" customHeight="1" x14ac:dyDescent="0.2">
      <c r="A135" s="84" t="s">
        <v>214</v>
      </c>
      <c r="B135" s="99" t="s">
        <v>215</v>
      </c>
      <c r="C135" s="100">
        <f>[20]С2!F37</f>
        <v>20.818139999999996</v>
      </c>
    </row>
    <row r="136" spans="1:3" ht="14.25" x14ac:dyDescent="0.2">
      <c r="A136" s="59" t="s">
        <v>216</v>
      </c>
      <c r="B136" s="101" t="s">
        <v>217</v>
      </c>
      <c r="C136" s="34">
        <f>[20]С2!F38</f>
        <v>7</v>
      </c>
    </row>
    <row r="137" spans="1:3" ht="17.25" x14ac:dyDescent="0.2">
      <c r="A137" s="59" t="s">
        <v>218</v>
      </c>
      <c r="B137" s="101" t="s">
        <v>219</v>
      </c>
      <c r="C137" s="34">
        <f>[20]С2!F40</f>
        <v>0.97</v>
      </c>
    </row>
    <row r="138" spans="1:3" ht="15" thickBot="1" x14ac:dyDescent="0.25">
      <c r="A138" s="72" t="s">
        <v>220</v>
      </c>
      <c r="B138" s="102" t="s">
        <v>221</v>
      </c>
      <c r="C138" s="46">
        <f>[20]С2!F42</f>
        <v>0.35</v>
      </c>
    </row>
    <row r="139" spans="1:3" s="89" customFormat="1" ht="13.5" thickBot="1" x14ac:dyDescent="0.25">
      <c r="A139" s="47"/>
      <c r="B139" s="75"/>
      <c r="C139" s="15"/>
    </row>
    <row r="140" spans="1:3" ht="30" x14ac:dyDescent="0.2">
      <c r="A140" s="84" t="s">
        <v>222</v>
      </c>
      <c r="B140" s="103" t="s">
        <v>223</v>
      </c>
      <c r="C140" s="104">
        <f>[20]С2!F35</f>
        <v>1.7157947422665329</v>
      </c>
    </row>
    <row r="141" spans="1:3" ht="22.7" customHeight="1" thickBot="1" x14ac:dyDescent="0.25">
      <c r="A141" s="72" t="s">
        <v>224</v>
      </c>
      <c r="B141" s="141" t="s">
        <v>225</v>
      </c>
      <c r="C141" s="141"/>
    </row>
    <row r="142" spans="1:3" ht="13.5" thickBot="1" x14ac:dyDescent="0.25">
      <c r="A142" s="105"/>
      <c r="B142" s="106" t="s">
        <v>226</v>
      </c>
      <c r="C142" s="107"/>
    </row>
    <row r="143" spans="1:3" x14ac:dyDescent="0.2">
      <c r="A143" s="105"/>
      <c r="B143" s="108">
        <v>2020</v>
      </c>
      <c r="C143" s="109">
        <f>[20]С2.5!$E$11</f>
        <v>-2.9000000000000026E-2</v>
      </c>
    </row>
    <row r="144" spans="1:3" x14ac:dyDescent="0.2">
      <c r="A144" s="105"/>
      <c r="B144" s="110">
        <f>B143+1</f>
        <v>2021</v>
      </c>
      <c r="C144" s="111">
        <f>[20]С2.5!$F$11</f>
        <v>0.245</v>
      </c>
    </row>
    <row r="145" spans="1:3" x14ac:dyDescent="0.2">
      <c r="A145" s="105"/>
      <c r="B145" s="110">
        <f t="shared" ref="B145:B208" si="0">B144+1</f>
        <v>2022</v>
      </c>
      <c r="C145" s="111">
        <f>[20]С2.5!$G$11</f>
        <v>0.114</v>
      </c>
    </row>
    <row r="146" spans="1:3" ht="13.5" thickBot="1" x14ac:dyDescent="0.25">
      <c r="A146" s="105"/>
      <c r="B146" s="112">
        <f t="shared" si="0"/>
        <v>2023</v>
      </c>
      <c r="C146" s="113">
        <f>[20]С2.5!$H$11</f>
        <v>0.04</v>
      </c>
    </row>
    <row r="147" spans="1:3" x14ac:dyDescent="0.2">
      <c r="A147" s="105"/>
      <c r="B147" s="114">
        <f t="shared" si="0"/>
        <v>2024</v>
      </c>
      <c r="C147" s="115">
        <f>[20]С2.5!$I$11</f>
        <v>0.121</v>
      </c>
    </row>
    <row r="148" spans="1:3" x14ac:dyDescent="0.2">
      <c r="A148" s="105"/>
      <c r="B148" s="110">
        <f t="shared" si="0"/>
        <v>2025</v>
      </c>
      <c r="C148" s="111">
        <f>[20]С2.5!$J$11</f>
        <v>0.03</v>
      </c>
    </row>
    <row r="149" spans="1:3" x14ac:dyDescent="0.2">
      <c r="A149" s="105"/>
      <c r="B149" s="110">
        <f t="shared" si="0"/>
        <v>2026</v>
      </c>
      <c r="C149" s="111">
        <f>[20]С2.5!$K$11</f>
        <v>6.0999999999999999E-2</v>
      </c>
    </row>
    <row r="150" spans="1:3" hidden="1" x14ac:dyDescent="0.2">
      <c r="A150" s="105"/>
      <c r="B150" s="110">
        <f t="shared" si="0"/>
        <v>2027</v>
      </c>
      <c r="C150" s="111">
        <f>[20]С2.5!$L$11</f>
        <v>3.2682303599220003E-2</v>
      </c>
    </row>
    <row r="151" spans="1:3" hidden="1" x14ac:dyDescent="0.2">
      <c r="A151" s="105"/>
      <c r="B151" s="110">
        <f t="shared" si="0"/>
        <v>2028</v>
      </c>
      <c r="C151" s="111">
        <f>[20]С2.5!$M$11</f>
        <v>0</v>
      </c>
    </row>
    <row r="152" spans="1:3" hidden="1" x14ac:dyDescent="0.2">
      <c r="A152" s="105"/>
      <c r="B152" s="110">
        <f t="shared" si="0"/>
        <v>2029</v>
      </c>
      <c r="C152" s="111">
        <f>[20]С2.5!$N$11</f>
        <v>0</v>
      </c>
    </row>
    <row r="153" spans="1:3" hidden="1" x14ac:dyDescent="0.2">
      <c r="A153" s="105"/>
      <c r="B153" s="110">
        <f t="shared" si="0"/>
        <v>2030</v>
      </c>
      <c r="C153" s="111">
        <f>[20]С2.5!$O$11</f>
        <v>0</v>
      </c>
    </row>
    <row r="154" spans="1:3" hidden="1" x14ac:dyDescent="0.2">
      <c r="A154" s="105"/>
      <c r="B154" s="110">
        <f t="shared" si="0"/>
        <v>2031</v>
      </c>
      <c r="C154" s="111">
        <f>[20]С2.5!$P$11</f>
        <v>0</v>
      </c>
    </row>
    <row r="155" spans="1:3" hidden="1" x14ac:dyDescent="0.2">
      <c r="A155" s="89"/>
      <c r="B155" s="110">
        <f t="shared" si="0"/>
        <v>2032</v>
      </c>
      <c r="C155" s="111">
        <f>[20]С2.5!$Q$11</f>
        <v>0</v>
      </c>
    </row>
    <row r="156" spans="1:3" hidden="1" x14ac:dyDescent="0.2">
      <c r="A156" s="89"/>
      <c r="B156" s="110">
        <f t="shared" si="0"/>
        <v>2033</v>
      </c>
      <c r="C156" s="111">
        <f>[20]С2.5!$R$11</f>
        <v>0</v>
      </c>
    </row>
    <row r="157" spans="1:3" hidden="1" x14ac:dyDescent="0.2">
      <c r="B157" s="110">
        <f t="shared" si="0"/>
        <v>2034</v>
      </c>
      <c r="C157" s="111">
        <f>[20]С2.5!$S$11</f>
        <v>0</v>
      </c>
    </row>
    <row r="158" spans="1:3" hidden="1" x14ac:dyDescent="0.2">
      <c r="B158" s="110">
        <f t="shared" si="0"/>
        <v>2035</v>
      </c>
      <c r="C158" s="111">
        <f>[20]С2.5!$T$11</f>
        <v>0</v>
      </c>
    </row>
    <row r="159" spans="1:3" hidden="1" x14ac:dyDescent="0.2">
      <c r="B159" s="110">
        <f t="shared" si="0"/>
        <v>2036</v>
      </c>
      <c r="C159" s="111">
        <f>[20]С2.5!$U$11</f>
        <v>0</v>
      </c>
    </row>
    <row r="160" spans="1:3" hidden="1" x14ac:dyDescent="0.2">
      <c r="B160" s="110">
        <f t="shared" si="0"/>
        <v>2037</v>
      </c>
      <c r="C160" s="111">
        <f>[20]С2.5!$V$11</f>
        <v>0</v>
      </c>
    </row>
    <row r="161" spans="2:3" hidden="1" x14ac:dyDescent="0.2">
      <c r="B161" s="110">
        <f t="shared" si="0"/>
        <v>2038</v>
      </c>
      <c r="C161" s="111">
        <f>[20]С2.5!$W$11</f>
        <v>0</v>
      </c>
    </row>
    <row r="162" spans="2:3" hidden="1" x14ac:dyDescent="0.2">
      <c r="B162" s="110">
        <f t="shared" si="0"/>
        <v>2039</v>
      </c>
      <c r="C162" s="111">
        <f>[20]С2.5!$X$11</f>
        <v>0</v>
      </c>
    </row>
    <row r="163" spans="2:3" hidden="1" x14ac:dyDescent="0.2">
      <c r="B163" s="110">
        <f t="shared" si="0"/>
        <v>2040</v>
      </c>
      <c r="C163" s="111">
        <f>[20]С2.5!$Y$11</f>
        <v>0</v>
      </c>
    </row>
    <row r="164" spans="2:3" hidden="1" x14ac:dyDescent="0.2">
      <c r="B164" s="110">
        <f t="shared" si="0"/>
        <v>2041</v>
      </c>
      <c r="C164" s="111">
        <f>[20]С2.5!$Z$11</f>
        <v>0</v>
      </c>
    </row>
    <row r="165" spans="2:3" hidden="1" x14ac:dyDescent="0.2">
      <c r="B165" s="110">
        <f t="shared" si="0"/>
        <v>2042</v>
      </c>
      <c r="C165" s="111">
        <f>[20]С2.5!$AA$11</f>
        <v>0</v>
      </c>
    </row>
    <row r="166" spans="2:3" hidden="1" x14ac:dyDescent="0.2">
      <c r="B166" s="110">
        <f t="shared" si="0"/>
        <v>2043</v>
      </c>
      <c r="C166" s="111">
        <f>[20]С2.5!$AB$11</f>
        <v>0</v>
      </c>
    </row>
    <row r="167" spans="2:3" hidden="1" x14ac:dyDescent="0.2">
      <c r="B167" s="110">
        <f t="shared" si="0"/>
        <v>2044</v>
      </c>
      <c r="C167" s="111">
        <f>[20]С2.5!$AC$11</f>
        <v>0</v>
      </c>
    </row>
    <row r="168" spans="2:3" hidden="1" x14ac:dyDescent="0.2">
      <c r="B168" s="110">
        <f t="shared" si="0"/>
        <v>2045</v>
      </c>
      <c r="C168" s="111">
        <f>[20]С2.5!$AD$11</f>
        <v>0</v>
      </c>
    </row>
    <row r="169" spans="2:3" hidden="1" x14ac:dyDescent="0.2">
      <c r="B169" s="110">
        <f t="shared" si="0"/>
        <v>2046</v>
      </c>
      <c r="C169" s="111">
        <f>[20]С2.5!$AE$11</f>
        <v>0</v>
      </c>
    </row>
    <row r="170" spans="2:3" hidden="1" x14ac:dyDescent="0.2">
      <c r="B170" s="110">
        <f t="shared" si="0"/>
        <v>2047</v>
      </c>
      <c r="C170" s="111">
        <f>[20]С2.5!$AF$11</f>
        <v>0</v>
      </c>
    </row>
    <row r="171" spans="2:3" hidden="1" x14ac:dyDescent="0.2">
      <c r="B171" s="110">
        <f t="shared" si="0"/>
        <v>2048</v>
      </c>
      <c r="C171" s="111">
        <f>[20]С2.5!$AG$11</f>
        <v>0</v>
      </c>
    </row>
    <row r="172" spans="2:3" hidden="1" x14ac:dyDescent="0.2">
      <c r="B172" s="110">
        <f t="shared" si="0"/>
        <v>2049</v>
      </c>
      <c r="C172" s="111">
        <f>[20]С2.5!$AH$11</f>
        <v>0</v>
      </c>
    </row>
    <row r="173" spans="2:3" hidden="1" x14ac:dyDescent="0.2">
      <c r="B173" s="110">
        <f t="shared" si="0"/>
        <v>2050</v>
      </c>
      <c r="C173" s="111">
        <f>[20]С2.5!$AI$11</f>
        <v>0</v>
      </c>
    </row>
    <row r="174" spans="2:3" hidden="1" x14ac:dyDescent="0.2">
      <c r="B174" s="110">
        <f t="shared" si="0"/>
        <v>2051</v>
      </c>
      <c r="C174" s="111">
        <f>[20]С2.5!$AJ$11</f>
        <v>0</v>
      </c>
    </row>
    <row r="175" spans="2:3" hidden="1" x14ac:dyDescent="0.2">
      <c r="B175" s="110">
        <f t="shared" si="0"/>
        <v>2052</v>
      </c>
      <c r="C175" s="111">
        <f>[20]С2.5!$AK$11</f>
        <v>0</v>
      </c>
    </row>
    <row r="176" spans="2:3" hidden="1" x14ac:dyDescent="0.2">
      <c r="B176" s="110">
        <f t="shared" si="0"/>
        <v>2053</v>
      </c>
      <c r="C176" s="111">
        <f>[20]С2.5!$AL$11</f>
        <v>0</v>
      </c>
    </row>
    <row r="177" spans="2:3" hidden="1" x14ac:dyDescent="0.2">
      <c r="B177" s="110">
        <f t="shared" si="0"/>
        <v>2054</v>
      </c>
      <c r="C177" s="111">
        <f>[20]С2.5!$AM$11</f>
        <v>0</v>
      </c>
    </row>
    <row r="178" spans="2:3" hidden="1" x14ac:dyDescent="0.2">
      <c r="B178" s="110">
        <f t="shared" si="0"/>
        <v>2055</v>
      </c>
      <c r="C178" s="111">
        <f>[20]С2.5!$AN$11</f>
        <v>0</v>
      </c>
    </row>
    <row r="179" spans="2:3" hidden="1" x14ac:dyDescent="0.2">
      <c r="B179" s="110">
        <f t="shared" si="0"/>
        <v>2056</v>
      </c>
      <c r="C179" s="111">
        <f>[20]С2.5!$AO$11</f>
        <v>0</v>
      </c>
    </row>
    <row r="180" spans="2:3" hidden="1" x14ac:dyDescent="0.2">
      <c r="B180" s="110">
        <f t="shared" si="0"/>
        <v>2057</v>
      </c>
      <c r="C180" s="111">
        <f>[20]С2.5!$AP$11</f>
        <v>0</v>
      </c>
    </row>
    <row r="181" spans="2:3" hidden="1" x14ac:dyDescent="0.2">
      <c r="B181" s="110">
        <f t="shared" si="0"/>
        <v>2058</v>
      </c>
      <c r="C181" s="111">
        <f>[20]С2.5!$AQ$11</f>
        <v>0</v>
      </c>
    </row>
    <row r="182" spans="2:3" hidden="1" x14ac:dyDescent="0.2">
      <c r="B182" s="110">
        <f t="shared" si="0"/>
        <v>2059</v>
      </c>
      <c r="C182" s="111">
        <f>[20]С2.5!$AR$11</f>
        <v>0</v>
      </c>
    </row>
    <row r="183" spans="2:3" hidden="1" x14ac:dyDescent="0.2">
      <c r="B183" s="110">
        <f t="shared" si="0"/>
        <v>2060</v>
      </c>
      <c r="C183" s="111">
        <f>[20]С2.5!$AS$11</f>
        <v>0</v>
      </c>
    </row>
    <row r="184" spans="2:3" hidden="1" x14ac:dyDescent="0.2">
      <c r="B184" s="110">
        <f t="shared" si="0"/>
        <v>2061</v>
      </c>
      <c r="C184" s="111">
        <f>[20]С2.5!$AT$11</f>
        <v>0</v>
      </c>
    </row>
    <row r="185" spans="2:3" hidden="1" x14ac:dyDescent="0.2">
      <c r="B185" s="110">
        <f t="shared" si="0"/>
        <v>2062</v>
      </c>
      <c r="C185" s="111">
        <f>[20]С2.5!$AU$11</f>
        <v>0</v>
      </c>
    </row>
    <row r="186" spans="2:3" hidden="1" x14ac:dyDescent="0.2">
      <c r="B186" s="110">
        <f t="shared" si="0"/>
        <v>2063</v>
      </c>
      <c r="C186" s="111">
        <f>[20]С2.5!$AV$11</f>
        <v>0</v>
      </c>
    </row>
    <row r="187" spans="2:3" hidden="1" x14ac:dyDescent="0.2">
      <c r="B187" s="110">
        <f t="shared" si="0"/>
        <v>2064</v>
      </c>
      <c r="C187" s="111">
        <f>[20]С2.5!$AW$11</f>
        <v>0</v>
      </c>
    </row>
    <row r="188" spans="2:3" hidden="1" x14ac:dyDescent="0.2">
      <c r="B188" s="110">
        <f t="shared" si="0"/>
        <v>2065</v>
      </c>
      <c r="C188" s="111">
        <f>[20]С2.5!$AX$11</f>
        <v>0</v>
      </c>
    </row>
    <row r="189" spans="2:3" hidden="1" x14ac:dyDescent="0.2">
      <c r="B189" s="110">
        <f t="shared" si="0"/>
        <v>2066</v>
      </c>
      <c r="C189" s="111">
        <f>[20]С2.5!$AY$11</f>
        <v>0</v>
      </c>
    </row>
    <row r="190" spans="2:3" hidden="1" x14ac:dyDescent="0.2">
      <c r="B190" s="110">
        <f t="shared" si="0"/>
        <v>2067</v>
      </c>
      <c r="C190" s="111">
        <f>[20]С2.5!$AZ$11</f>
        <v>0</v>
      </c>
    </row>
    <row r="191" spans="2:3" hidden="1" x14ac:dyDescent="0.2">
      <c r="B191" s="110">
        <f t="shared" si="0"/>
        <v>2068</v>
      </c>
      <c r="C191" s="111">
        <f>[20]С2.5!$BA$11</f>
        <v>0</v>
      </c>
    </row>
    <row r="192" spans="2:3" hidden="1" x14ac:dyDescent="0.2">
      <c r="B192" s="110">
        <f t="shared" si="0"/>
        <v>2069</v>
      </c>
      <c r="C192" s="111">
        <f>[20]С2.5!$BB$11</f>
        <v>0</v>
      </c>
    </row>
    <row r="193" spans="2:3" hidden="1" x14ac:dyDescent="0.2">
      <c r="B193" s="110">
        <f t="shared" si="0"/>
        <v>2070</v>
      </c>
      <c r="C193" s="111">
        <f>[20]С2.5!$BC$11</f>
        <v>0</v>
      </c>
    </row>
    <row r="194" spans="2:3" hidden="1" x14ac:dyDescent="0.2">
      <c r="B194" s="110">
        <f t="shared" si="0"/>
        <v>2071</v>
      </c>
      <c r="C194" s="111">
        <f>[20]С2.5!$BD$11</f>
        <v>0</v>
      </c>
    </row>
    <row r="195" spans="2:3" hidden="1" x14ac:dyDescent="0.2">
      <c r="B195" s="110">
        <f t="shared" si="0"/>
        <v>2072</v>
      </c>
      <c r="C195" s="111">
        <f>[20]С2.5!$BE$11</f>
        <v>0</v>
      </c>
    </row>
    <row r="196" spans="2:3" hidden="1" x14ac:dyDescent="0.2">
      <c r="B196" s="110">
        <f t="shared" si="0"/>
        <v>2073</v>
      </c>
      <c r="C196" s="111">
        <f>[20]С2.5!$BF$11</f>
        <v>0</v>
      </c>
    </row>
    <row r="197" spans="2:3" hidden="1" x14ac:dyDescent="0.2">
      <c r="B197" s="110">
        <f t="shared" si="0"/>
        <v>2074</v>
      </c>
      <c r="C197" s="111">
        <f>[20]С2.5!$BG$11</f>
        <v>0</v>
      </c>
    </row>
    <row r="198" spans="2:3" hidden="1" x14ac:dyDescent="0.2">
      <c r="B198" s="110">
        <f t="shared" si="0"/>
        <v>2075</v>
      </c>
      <c r="C198" s="111">
        <f>[20]С2.5!$BH$11</f>
        <v>0</v>
      </c>
    </row>
    <row r="199" spans="2:3" hidden="1" x14ac:dyDescent="0.2">
      <c r="B199" s="110">
        <f t="shared" si="0"/>
        <v>2076</v>
      </c>
      <c r="C199" s="111">
        <f>[20]С2.5!$BI$11</f>
        <v>0</v>
      </c>
    </row>
    <row r="200" spans="2:3" hidden="1" x14ac:dyDescent="0.2">
      <c r="B200" s="110">
        <f t="shared" si="0"/>
        <v>2077</v>
      </c>
      <c r="C200" s="111">
        <f>[20]С2.5!$BJ$11</f>
        <v>0</v>
      </c>
    </row>
    <row r="201" spans="2:3" hidden="1" x14ac:dyDescent="0.2">
      <c r="B201" s="110">
        <f t="shared" si="0"/>
        <v>2078</v>
      </c>
      <c r="C201" s="111">
        <f>[20]С2.5!$BK$11</f>
        <v>0</v>
      </c>
    </row>
    <row r="202" spans="2:3" hidden="1" x14ac:dyDescent="0.2">
      <c r="B202" s="110">
        <f t="shared" si="0"/>
        <v>2079</v>
      </c>
      <c r="C202" s="111">
        <f>[20]С2.5!$BL$11</f>
        <v>0</v>
      </c>
    </row>
    <row r="203" spans="2:3" hidden="1" x14ac:dyDescent="0.2">
      <c r="B203" s="110">
        <f t="shared" si="0"/>
        <v>2080</v>
      </c>
      <c r="C203" s="111">
        <f>[20]С2.5!$BM$11</f>
        <v>0</v>
      </c>
    </row>
    <row r="204" spans="2:3" hidden="1" x14ac:dyDescent="0.2">
      <c r="B204" s="110">
        <f t="shared" si="0"/>
        <v>2081</v>
      </c>
      <c r="C204" s="111">
        <f>[20]С2.5!$BN$11</f>
        <v>0</v>
      </c>
    </row>
    <row r="205" spans="2:3" hidden="1" x14ac:dyDescent="0.2">
      <c r="B205" s="110">
        <f t="shared" si="0"/>
        <v>2082</v>
      </c>
      <c r="C205" s="111">
        <f>[20]С2.5!$BO$11</f>
        <v>0</v>
      </c>
    </row>
    <row r="206" spans="2:3" hidden="1" x14ac:dyDescent="0.2">
      <c r="B206" s="110">
        <f t="shared" si="0"/>
        <v>2083</v>
      </c>
      <c r="C206" s="111">
        <f>[20]С2.5!$BP$11</f>
        <v>0</v>
      </c>
    </row>
    <row r="207" spans="2:3" hidden="1" x14ac:dyDescent="0.2">
      <c r="B207" s="110">
        <f t="shared" si="0"/>
        <v>2084</v>
      </c>
      <c r="C207" s="111">
        <f>[20]С2.5!$BQ$11</f>
        <v>0</v>
      </c>
    </row>
    <row r="208" spans="2:3" hidden="1" x14ac:dyDescent="0.2">
      <c r="B208" s="110">
        <f t="shared" si="0"/>
        <v>2085</v>
      </c>
      <c r="C208" s="111">
        <f>[20]С2.5!$BR$11</f>
        <v>0</v>
      </c>
    </row>
    <row r="209" spans="2:3" hidden="1" x14ac:dyDescent="0.2">
      <c r="B209" s="110">
        <f t="shared" ref="B209:B223" si="1">B208+1</f>
        <v>2086</v>
      </c>
      <c r="C209" s="111">
        <f>[20]С2.5!$BS$11</f>
        <v>0</v>
      </c>
    </row>
    <row r="210" spans="2:3" hidden="1" x14ac:dyDescent="0.2">
      <c r="B210" s="110">
        <f t="shared" si="1"/>
        <v>2087</v>
      </c>
      <c r="C210" s="111">
        <f>[20]С2.5!$BT$11</f>
        <v>0</v>
      </c>
    </row>
    <row r="211" spans="2:3" hidden="1" x14ac:dyDescent="0.2">
      <c r="B211" s="110">
        <f t="shared" si="1"/>
        <v>2088</v>
      </c>
      <c r="C211" s="111">
        <f>[20]С2.5!$BU$11</f>
        <v>0</v>
      </c>
    </row>
    <row r="212" spans="2:3" hidden="1" x14ac:dyDescent="0.2">
      <c r="B212" s="110">
        <f t="shared" si="1"/>
        <v>2089</v>
      </c>
      <c r="C212" s="111">
        <f>[20]С2.5!$BV$11</f>
        <v>0</v>
      </c>
    </row>
    <row r="213" spans="2:3" hidden="1" x14ac:dyDescent="0.2">
      <c r="B213" s="110">
        <f t="shared" si="1"/>
        <v>2090</v>
      </c>
      <c r="C213" s="111">
        <f>[20]С2.5!$BW$11</f>
        <v>0</v>
      </c>
    </row>
    <row r="214" spans="2:3" hidden="1" x14ac:dyDescent="0.2">
      <c r="B214" s="110">
        <f t="shared" si="1"/>
        <v>2091</v>
      </c>
      <c r="C214" s="111">
        <f>[20]С2.5!$BX$11</f>
        <v>0</v>
      </c>
    </row>
    <row r="215" spans="2:3" hidden="1" x14ac:dyDescent="0.2">
      <c r="B215" s="110">
        <f t="shared" si="1"/>
        <v>2092</v>
      </c>
      <c r="C215" s="111">
        <f>[20]С2.5!$BY$11</f>
        <v>0</v>
      </c>
    </row>
    <row r="216" spans="2:3" hidden="1" x14ac:dyDescent="0.2">
      <c r="B216" s="110">
        <f t="shared" si="1"/>
        <v>2093</v>
      </c>
      <c r="C216" s="111">
        <f>[20]С2.5!$BZ$11</f>
        <v>0</v>
      </c>
    </row>
    <row r="217" spans="2:3" hidden="1" x14ac:dyDescent="0.2">
      <c r="B217" s="110">
        <f t="shared" si="1"/>
        <v>2094</v>
      </c>
      <c r="C217" s="111">
        <f>[20]С2.5!$CA$11</f>
        <v>0</v>
      </c>
    </row>
    <row r="218" spans="2:3" hidden="1" x14ac:dyDescent="0.2">
      <c r="B218" s="110">
        <f t="shared" si="1"/>
        <v>2095</v>
      </c>
      <c r="C218" s="111">
        <f>[20]С2.5!$CB$11</f>
        <v>0</v>
      </c>
    </row>
    <row r="219" spans="2:3" hidden="1" x14ac:dyDescent="0.2">
      <c r="B219" s="110">
        <f t="shared" si="1"/>
        <v>2096</v>
      </c>
      <c r="C219" s="111">
        <f>[20]С2.5!$CC$11</f>
        <v>0</v>
      </c>
    </row>
    <row r="220" spans="2:3" hidden="1" x14ac:dyDescent="0.2">
      <c r="B220" s="110">
        <f t="shared" si="1"/>
        <v>2097</v>
      </c>
      <c r="C220" s="111">
        <f>[20]С2.5!$CD$11</f>
        <v>0</v>
      </c>
    </row>
    <row r="221" spans="2:3" hidden="1" x14ac:dyDescent="0.2">
      <c r="B221" s="110">
        <f t="shared" si="1"/>
        <v>2098</v>
      </c>
      <c r="C221" s="111">
        <f>[20]С2.5!$CE$11</f>
        <v>0</v>
      </c>
    </row>
    <row r="222" spans="2:3" hidden="1" x14ac:dyDescent="0.2">
      <c r="B222" s="110">
        <f t="shared" si="1"/>
        <v>2099</v>
      </c>
      <c r="C222" s="111">
        <f>[20]С2.5!$CF$11</f>
        <v>0</v>
      </c>
    </row>
    <row r="223" spans="2:3" ht="13.5" hidden="1" thickBot="1" x14ac:dyDescent="0.25">
      <c r="B223" s="112">
        <f t="shared" si="1"/>
        <v>2100</v>
      </c>
      <c r="C223" s="113">
        <f>[20]С2.5!$CG$11</f>
        <v>0</v>
      </c>
    </row>
    <row r="224" spans="2:3" hidden="1" x14ac:dyDescent="0.2">
      <c r="C224" s="116"/>
    </row>
    <row r="225" spans="3:3" hidden="1" x14ac:dyDescent="0.2">
      <c r="C225" s="116"/>
    </row>
    <row r="226" spans="3:3" x14ac:dyDescent="0.2">
      <c r="C226" s="116"/>
    </row>
  </sheetData>
  <mergeCells count="9">
    <mergeCell ref="B141:C141"/>
    <mergeCell ref="A14:C14"/>
    <mergeCell ref="B1:C1"/>
    <mergeCell ref="B27:C27"/>
    <mergeCell ref="B40:C40"/>
    <mergeCell ref="B84:C84"/>
    <mergeCell ref="B95:C95"/>
    <mergeCell ref="B124:C124"/>
    <mergeCell ref="B127:C127"/>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26"/>
  <sheetViews>
    <sheetView workbookViewId="0">
      <selection activeCell="C7" sqref="C7"/>
    </sheetView>
  </sheetViews>
  <sheetFormatPr defaultRowHeight="12.75" x14ac:dyDescent="0.2"/>
  <cols>
    <col min="1" max="1" width="7.28515625" style="2" customWidth="1"/>
    <col min="2" max="2" width="100.7109375" style="2" customWidth="1"/>
    <col min="3" max="3" width="20.85546875" style="139" customWidth="1"/>
    <col min="4" max="153" width="9.140625" style="2"/>
    <col min="154" max="235" width="0" style="2" hidden="1" customWidth="1"/>
    <col min="236" max="244" width="9.140625" style="2"/>
    <col min="245" max="245" width="3.7109375" style="2" customWidth="1"/>
    <col min="246" max="246" width="96.85546875" style="2" customWidth="1"/>
    <col min="247" max="247" width="30.85546875" style="2" customWidth="1"/>
    <col min="248" max="248" width="12.5703125" style="2" customWidth="1"/>
    <col min="249" max="249" width="5.140625" style="2" customWidth="1"/>
    <col min="250" max="250" width="9.140625" style="2"/>
    <col min="251" max="251" width="4.85546875" style="2" customWidth="1"/>
    <col min="252" max="252" width="30.5703125" style="2" customWidth="1"/>
    <col min="253" max="253" width="33.85546875" style="2" customWidth="1"/>
    <col min="254" max="254" width="5.140625" style="2" customWidth="1"/>
    <col min="255" max="256" width="17.5703125" style="2" customWidth="1"/>
    <col min="257" max="500" width="9.140625" style="2"/>
    <col min="501" max="501" width="3.7109375" style="2" customWidth="1"/>
    <col min="502" max="502" width="96.85546875" style="2" customWidth="1"/>
    <col min="503" max="503" width="30.85546875" style="2" customWidth="1"/>
    <col min="504" max="504" width="12.5703125" style="2" customWidth="1"/>
    <col min="505" max="505" width="5.140625" style="2" customWidth="1"/>
    <col min="506" max="506" width="9.140625" style="2"/>
    <col min="507" max="507" width="4.85546875" style="2" customWidth="1"/>
    <col min="508" max="508" width="30.5703125" style="2" customWidth="1"/>
    <col min="509" max="509" width="33.85546875" style="2" customWidth="1"/>
    <col min="510" max="510" width="5.140625" style="2" customWidth="1"/>
    <col min="511" max="512" width="17.5703125" style="2" customWidth="1"/>
    <col min="513" max="756" width="9.140625" style="2"/>
    <col min="757" max="757" width="3.7109375" style="2" customWidth="1"/>
    <col min="758" max="758" width="96.85546875" style="2" customWidth="1"/>
    <col min="759" max="759" width="30.85546875" style="2" customWidth="1"/>
    <col min="760" max="760" width="12.5703125" style="2" customWidth="1"/>
    <col min="761" max="761" width="5.140625" style="2" customWidth="1"/>
    <col min="762" max="762" width="9.140625" style="2"/>
    <col min="763" max="763" width="4.85546875" style="2" customWidth="1"/>
    <col min="764" max="764" width="30.5703125" style="2" customWidth="1"/>
    <col min="765" max="765" width="33.85546875" style="2" customWidth="1"/>
    <col min="766" max="766" width="5.140625" style="2" customWidth="1"/>
    <col min="767" max="768" width="17.5703125" style="2" customWidth="1"/>
    <col min="769" max="1012" width="9.140625" style="2"/>
    <col min="1013" max="1013" width="3.7109375" style="2" customWidth="1"/>
    <col min="1014" max="1014" width="96.85546875" style="2" customWidth="1"/>
    <col min="1015" max="1015" width="30.85546875" style="2" customWidth="1"/>
    <col min="1016" max="1016" width="12.5703125" style="2" customWidth="1"/>
    <col min="1017" max="1017" width="5.140625" style="2" customWidth="1"/>
    <col min="1018" max="1018" width="9.140625" style="2"/>
    <col min="1019" max="1019" width="4.85546875" style="2" customWidth="1"/>
    <col min="1020" max="1020" width="30.5703125" style="2" customWidth="1"/>
    <col min="1021" max="1021" width="33.85546875" style="2" customWidth="1"/>
    <col min="1022" max="1022" width="5.140625" style="2" customWidth="1"/>
    <col min="1023" max="1024" width="17.5703125" style="2" customWidth="1"/>
    <col min="1025" max="1268" width="9.140625" style="2"/>
    <col min="1269" max="1269" width="3.7109375" style="2" customWidth="1"/>
    <col min="1270" max="1270" width="96.85546875" style="2" customWidth="1"/>
    <col min="1271" max="1271" width="30.85546875" style="2" customWidth="1"/>
    <col min="1272" max="1272" width="12.5703125" style="2" customWidth="1"/>
    <col min="1273" max="1273" width="5.140625" style="2" customWidth="1"/>
    <col min="1274" max="1274" width="9.140625" style="2"/>
    <col min="1275" max="1275" width="4.85546875" style="2" customWidth="1"/>
    <col min="1276" max="1276" width="30.5703125" style="2" customWidth="1"/>
    <col min="1277" max="1277" width="33.85546875" style="2" customWidth="1"/>
    <col min="1278" max="1278" width="5.140625" style="2" customWidth="1"/>
    <col min="1279" max="1280" width="17.5703125" style="2" customWidth="1"/>
    <col min="1281" max="1524" width="9.140625" style="2"/>
    <col min="1525" max="1525" width="3.7109375" style="2" customWidth="1"/>
    <col min="1526" max="1526" width="96.85546875" style="2" customWidth="1"/>
    <col min="1527" max="1527" width="30.85546875" style="2" customWidth="1"/>
    <col min="1528" max="1528" width="12.5703125" style="2" customWidth="1"/>
    <col min="1529" max="1529" width="5.140625" style="2" customWidth="1"/>
    <col min="1530" max="1530" width="9.140625" style="2"/>
    <col min="1531" max="1531" width="4.85546875" style="2" customWidth="1"/>
    <col min="1532" max="1532" width="30.5703125" style="2" customWidth="1"/>
    <col min="1533" max="1533" width="33.85546875" style="2" customWidth="1"/>
    <col min="1534" max="1534" width="5.140625" style="2" customWidth="1"/>
    <col min="1535" max="1536" width="17.5703125" style="2" customWidth="1"/>
    <col min="1537" max="1780" width="9.140625" style="2"/>
    <col min="1781" max="1781" width="3.7109375" style="2" customWidth="1"/>
    <col min="1782" max="1782" width="96.85546875" style="2" customWidth="1"/>
    <col min="1783" max="1783" width="30.85546875" style="2" customWidth="1"/>
    <col min="1784" max="1784" width="12.5703125" style="2" customWidth="1"/>
    <col min="1785" max="1785" width="5.140625" style="2" customWidth="1"/>
    <col min="1786" max="1786" width="9.140625" style="2"/>
    <col min="1787" max="1787" width="4.85546875" style="2" customWidth="1"/>
    <col min="1788" max="1788" width="30.5703125" style="2" customWidth="1"/>
    <col min="1789" max="1789" width="33.85546875" style="2" customWidth="1"/>
    <col min="1790" max="1790" width="5.140625" style="2" customWidth="1"/>
    <col min="1791" max="1792" width="17.5703125" style="2" customWidth="1"/>
    <col min="1793" max="2036" width="9.140625" style="2"/>
    <col min="2037" max="2037" width="3.7109375" style="2" customWidth="1"/>
    <col min="2038" max="2038" width="96.85546875" style="2" customWidth="1"/>
    <col min="2039" max="2039" width="30.85546875" style="2" customWidth="1"/>
    <col min="2040" max="2040" width="12.5703125" style="2" customWidth="1"/>
    <col min="2041" max="2041" width="5.140625" style="2" customWidth="1"/>
    <col min="2042" max="2042" width="9.140625" style="2"/>
    <col min="2043" max="2043" width="4.85546875" style="2" customWidth="1"/>
    <col min="2044" max="2044" width="30.5703125" style="2" customWidth="1"/>
    <col min="2045" max="2045" width="33.85546875" style="2" customWidth="1"/>
    <col min="2046" max="2046" width="5.140625" style="2" customWidth="1"/>
    <col min="2047" max="2048" width="17.5703125" style="2" customWidth="1"/>
    <col min="2049" max="2292" width="9.140625" style="2"/>
    <col min="2293" max="2293" width="3.7109375" style="2" customWidth="1"/>
    <col min="2294" max="2294" width="96.85546875" style="2" customWidth="1"/>
    <col min="2295" max="2295" width="30.85546875" style="2" customWidth="1"/>
    <col min="2296" max="2296" width="12.5703125" style="2" customWidth="1"/>
    <col min="2297" max="2297" width="5.140625" style="2" customWidth="1"/>
    <col min="2298" max="2298" width="9.140625" style="2"/>
    <col min="2299" max="2299" width="4.85546875" style="2" customWidth="1"/>
    <col min="2300" max="2300" width="30.5703125" style="2" customWidth="1"/>
    <col min="2301" max="2301" width="33.85546875" style="2" customWidth="1"/>
    <col min="2302" max="2302" width="5.140625" style="2" customWidth="1"/>
    <col min="2303" max="2304" width="17.5703125" style="2" customWidth="1"/>
    <col min="2305" max="2548" width="9.140625" style="2"/>
    <col min="2549" max="2549" width="3.7109375" style="2" customWidth="1"/>
    <col min="2550" max="2550" width="96.85546875" style="2" customWidth="1"/>
    <col min="2551" max="2551" width="30.85546875" style="2" customWidth="1"/>
    <col min="2552" max="2552" width="12.5703125" style="2" customWidth="1"/>
    <col min="2553" max="2553" width="5.140625" style="2" customWidth="1"/>
    <col min="2554" max="2554" width="9.140625" style="2"/>
    <col min="2555" max="2555" width="4.85546875" style="2" customWidth="1"/>
    <col min="2556" max="2556" width="30.5703125" style="2" customWidth="1"/>
    <col min="2557" max="2557" width="33.85546875" style="2" customWidth="1"/>
    <col min="2558" max="2558" width="5.140625" style="2" customWidth="1"/>
    <col min="2559" max="2560" width="17.5703125" style="2" customWidth="1"/>
    <col min="2561" max="2804" width="9.140625" style="2"/>
    <col min="2805" max="2805" width="3.7109375" style="2" customWidth="1"/>
    <col min="2806" max="2806" width="96.85546875" style="2" customWidth="1"/>
    <col min="2807" max="2807" width="30.85546875" style="2" customWidth="1"/>
    <col min="2808" max="2808" width="12.5703125" style="2" customWidth="1"/>
    <col min="2809" max="2809" width="5.140625" style="2" customWidth="1"/>
    <col min="2810" max="2810" width="9.140625" style="2"/>
    <col min="2811" max="2811" width="4.85546875" style="2" customWidth="1"/>
    <col min="2812" max="2812" width="30.5703125" style="2" customWidth="1"/>
    <col min="2813" max="2813" width="33.85546875" style="2" customWidth="1"/>
    <col min="2814" max="2814" width="5.140625" style="2" customWidth="1"/>
    <col min="2815" max="2816" width="17.5703125" style="2" customWidth="1"/>
    <col min="2817" max="3060" width="9.140625" style="2"/>
    <col min="3061" max="3061" width="3.7109375" style="2" customWidth="1"/>
    <col min="3062" max="3062" width="96.85546875" style="2" customWidth="1"/>
    <col min="3063" max="3063" width="30.85546875" style="2" customWidth="1"/>
    <col min="3064" max="3064" width="12.5703125" style="2" customWidth="1"/>
    <col min="3065" max="3065" width="5.140625" style="2" customWidth="1"/>
    <col min="3066" max="3066" width="9.140625" style="2"/>
    <col min="3067" max="3067" width="4.85546875" style="2" customWidth="1"/>
    <col min="3068" max="3068" width="30.5703125" style="2" customWidth="1"/>
    <col min="3069" max="3069" width="33.85546875" style="2" customWidth="1"/>
    <col min="3070" max="3070" width="5.140625" style="2" customWidth="1"/>
    <col min="3071" max="3072" width="17.5703125" style="2" customWidth="1"/>
    <col min="3073" max="3316" width="9.140625" style="2"/>
    <col min="3317" max="3317" width="3.7109375" style="2" customWidth="1"/>
    <col min="3318" max="3318" width="96.85546875" style="2" customWidth="1"/>
    <col min="3319" max="3319" width="30.85546875" style="2" customWidth="1"/>
    <col min="3320" max="3320" width="12.5703125" style="2" customWidth="1"/>
    <col min="3321" max="3321" width="5.140625" style="2" customWidth="1"/>
    <col min="3322" max="3322" width="9.140625" style="2"/>
    <col min="3323" max="3323" width="4.85546875" style="2" customWidth="1"/>
    <col min="3324" max="3324" width="30.5703125" style="2" customWidth="1"/>
    <col min="3325" max="3325" width="33.85546875" style="2" customWidth="1"/>
    <col min="3326" max="3326" width="5.140625" style="2" customWidth="1"/>
    <col min="3327" max="3328" width="17.5703125" style="2" customWidth="1"/>
    <col min="3329" max="3572" width="9.140625" style="2"/>
    <col min="3573" max="3573" width="3.7109375" style="2" customWidth="1"/>
    <col min="3574" max="3574" width="96.85546875" style="2" customWidth="1"/>
    <col min="3575" max="3575" width="30.85546875" style="2" customWidth="1"/>
    <col min="3576" max="3576" width="12.5703125" style="2" customWidth="1"/>
    <col min="3577" max="3577" width="5.140625" style="2" customWidth="1"/>
    <col min="3578" max="3578" width="9.140625" style="2"/>
    <col min="3579" max="3579" width="4.85546875" style="2" customWidth="1"/>
    <col min="3580" max="3580" width="30.5703125" style="2" customWidth="1"/>
    <col min="3581" max="3581" width="33.85546875" style="2" customWidth="1"/>
    <col min="3582" max="3582" width="5.140625" style="2" customWidth="1"/>
    <col min="3583" max="3584" width="17.5703125" style="2" customWidth="1"/>
    <col min="3585" max="3828" width="9.140625" style="2"/>
    <col min="3829" max="3829" width="3.7109375" style="2" customWidth="1"/>
    <col min="3830" max="3830" width="96.85546875" style="2" customWidth="1"/>
    <col min="3831" max="3831" width="30.85546875" style="2" customWidth="1"/>
    <col min="3832" max="3832" width="12.5703125" style="2" customWidth="1"/>
    <col min="3833" max="3833" width="5.140625" style="2" customWidth="1"/>
    <col min="3834" max="3834" width="9.140625" style="2"/>
    <col min="3835" max="3835" width="4.85546875" style="2" customWidth="1"/>
    <col min="3836" max="3836" width="30.5703125" style="2" customWidth="1"/>
    <col min="3837" max="3837" width="33.85546875" style="2" customWidth="1"/>
    <col min="3838" max="3838" width="5.140625" style="2" customWidth="1"/>
    <col min="3839" max="3840" width="17.5703125" style="2" customWidth="1"/>
    <col min="3841" max="4084" width="9.140625" style="2"/>
    <col min="4085" max="4085" width="3.7109375" style="2" customWidth="1"/>
    <col min="4086" max="4086" width="96.85546875" style="2" customWidth="1"/>
    <col min="4087" max="4087" width="30.85546875" style="2" customWidth="1"/>
    <col min="4088" max="4088" width="12.5703125" style="2" customWidth="1"/>
    <col min="4089" max="4089" width="5.140625" style="2" customWidth="1"/>
    <col min="4090" max="4090" width="9.140625" style="2"/>
    <col min="4091" max="4091" width="4.85546875" style="2" customWidth="1"/>
    <col min="4092" max="4092" width="30.5703125" style="2" customWidth="1"/>
    <col min="4093" max="4093" width="33.85546875" style="2" customWidth="1"/>
    <col min="4094" max="4094" width="5.140625" style="2" customWidth="1"/>
    <col min="4095" max="4096" width="17.5703125" style="2" customWidth="1"/>
    <col min="4097" max="4340" width="9.140625" style="2"/>
    <col min="4341" max="4341" width="3.7109375" style="2" customWidth="1"/>
    <col min="4342" max="4342" width="96.85546875" style="2" customWidth="1"/>
    <col min="4343" max="4343" width="30.85546875" style="2" customWidth="1"/>
    <col min="4344" max="4344" width="12.5703125" style="2" customWidth="1"/>
    <col min="4345" max="4345" width="5.140625" style="2" customWidth="1"/>
    <col min="4346" max="4346" width="9.140625" style="2"/>
    <col min="4347" max="4347" width="4.85546875" style="2" customWidth="1"/>
    <col min="4348" max="4348" width="30.5703125" style="2" customWidth="1"/>
    <col min="4349" max="4349" width="33.85546875" style="2" customWidth="1"/>
    <col min="4350" max="4350" width="5.140625" style="2" customWidth="1"/>
    <col min="4351" max="4352" width="17.5703125" style="2" customWidth="1"/>
    <col min="4353" max="4596" width="9.140625" style="2"/>
    <col min="4597" max="4597" width="3.7109375" style="2" customWidth="1"/>
    <col min="4598" max="4598" width="96.85546875" style="2" customWidth="1"/>
    <col min="4599" max="4599" width="30.85546875" style="2" customWidth="1"/>
    <col min="4600" max="4600" width="12.5703125" style="2" customWidth="1"/>
    <col min="4601" max="4601" width="5.140625" style="2" customWidth="1"/>
    <col min="4602" max="4602" width="9.140625" style="2"/>
    <col min="4603" max="4603" width="4.85546875" style="2" customWidth="1"/>
    <col min="4604" max="4604" width="30.5703125" style="2" customWidth="1"/>
    <col min="4605" max="4605" width="33.85546875" style="2" customWidth="1"/>
    <col min="4606" max="4606" width="5.140625" style="2" customWidth="1"/>
    <col min="4607" max="4608" width="17.5703125" style="2" customWidth="1"/>
    <col min="4609" max="4852" width="9.140625" style="2"/>
    <col min="4853" max="4853" width="3.7109375" style="2" customWidth="1"/>
    <col min="4854" max="4854" width="96.85546875" style="2" customWidth="1"/>
    <col min="4855" max="4855" width="30.85546875" style="2" customWidth="1"/>
    <col min="4856" max="4856" width="12.5703125" style="2" customWidth="1"/>
    <col min="4857" max="4857" width="5.140625" style="2" customWidth="1"/>
    <col min="4858" max="4858" width="9.140625" style="2"/>
    <col min="4859" max="4859" width="4.85546875" style="2" customWidth="1"/>
    <col min="4860" max="4860" width="30.5703125" style="2" customWidth="1"/>
    <col min="4861" max="4861" width="33.85546875" style="2" customWidth="1"/>
    <col min="4862" max="4862" width="5.140625" style="2" customWidth="1"/>
    <col min="4863" max="4864" width="17.5703125" style="2" customWidth="1"/>
    <col min="4865" max="5108" width="9.140625" style="2"/>
    <col min="5109" max="5109" width="3.7109375" style="2" customWidth="1"/>
    <col min="5110" max="5110" width="96.85546875" style="2" customWidth="1"/>
    <col min="5111" max="5111" width="30.85546875" style="2" customWidth="1"/>
    <col min="5112" max="5112" width="12.5703125" style="2" customWidth="1"/>
    <col min="5113" max="5113" width="5.140625" style="2" customWidth="1"/>
    <col min="5114" max="5114" width="9.140625" style="2"/>
    <col min="5115" max="5115" width="4.85546875" style="2" customWidth="1"/>
    <col min="5116" max="5116" width="30.5703125" style="2" customWidth="1"/>
    <col min="5117" max="5117" width="33.85546875" style="2" customWidth="1"/>
    <col min="5118" max="5118" width="5.140625" style="2" customWidth="1"/>
    <col min="5119" max="5120" width="17.5703125" style="2" customWidth="1"/>
    <col min="5121" max="5364" width="9.140625" style="2"/>
    <col min="5365" max="5365" width="3.7109375" style="2" customWidth="1"/>
    <col min="5366" max="5366" width="96.85546875" style="2" customWidth="1"/>
    <col min="5367" max="5367" width="30.85546875" style="2" customWidth="1"/>
    <col min="5368" max="5368" width="12.5703125" style="2" customWidth="1"/>
    <col min="5369" max="5369" width="5.140625" style="2" customWidth="1"/>
    <col min="5370" max="5370" width="9.140625" style="2"/>
    <col min="5371" max="5371" width="4.85546875" style="2" customWidth="1"/>
    <col min="5372" max="5372" width="30.5703125" style="2" customWidth="1"/>
    <col min="5373" max="5373" width="33.85546875" style="2" customWidth="1"/>
    <col min="5374" max="5374" width="5.140625" style="2" customWidth="1"/>
    <col min="5375" max="5376" width="17.5703125" style="2" customWidth="1"/>
    <col min="5377" max="5620" width="9.140625" style="2"/>
    <col min="5621" max="5621" width="3.7109375" style="2" customWidth="1"/>
    <col min="5622" max="5622" width="96.85546875" style="2" customWidth="1"/>
    <col min="5623" max="5623" width="30.85546875" style="2" customWidth="1"/>
    <col min="5624" max="5624" width="12.5703125" style="2" customWidth="1"/>
    <col min="5625" max="5625" width="5.140625" style="2" customWidth="1"/>
    <col min="5626" max="5626" width="9.140625" style="2"/>
    <col min="5627" max="5627" width="4.85546875" style="2" customWidth="1"/>
    <col min="5628" max="5628" width="30.5703125" style="2" customWidth="1"/>
    <col min="5629" max="5629" width="33.85546875" style="2" customWidth="1"/>
    <col min="5630" max="5630" width="5.140625" style="2" customWidth="1"/>
    <col min="5631" max="5632" width="17.5703125" style="2" customWidth="1"/>
    <col min="5633" max="5876" width="9.140625" style="2"/>
    <col min="5877" max="5877" width="3.7109375" style="2" customWidth="1"/>
    <col min="5878" max="5878" width="96.85546875" style="2" customWidth="1"/>
    <col min="5879" max="5879" width="30.85546875" style="2" customWidth="1"/>
    <col min="5880" max="5880" width="12.5703125" style="2" customWidth="1"/>
    <col min="5881" max="5881" width="5.140625" style="2" customWidth="1"/>
    <col min="5882" max="5882" width="9.140625" style="2"/>
    <col min="5883" max="5883" width="4.85546875" style="2" customWidth="1"/>
    <col min="5884" max="5884" width="30.5703125" style="2" customWidth="1"/>
    <col min="5885" max="5885" width="33.85546875" style="2" customWidth="1"/>
    <col min="5886" max="5886" width="5.140625" style="2" customWidth="1"/>
    <col min="5887" max="5888" width="17.5703125" style="2" customWidth="1"/>
    <col min="5889" max="6132" width="9.140625" style="2"/>
    <col min="6133" max="6133" width="3.7109375" style="2" customWidth="1"/>
    <col min="6134" max="6134" width="96.85546875" style="2" customWidth="1"/>
    <col min="6135" max="6135" width="30.85546875" style="2" customWidth="1"/>
    <col min="6136" max="6136" width="12.5703125" style="2" customWidth="1"/>
    <col min="6137" max="6137" width="5.140625" style="2" customWidth="1"/>
    <col min="6138" max="6138" width="9.140625" style="2"/>
    <col min="6139" max="6139" width="4.85546875" style="2" customWidth="1"/>
    <col min="6140" max="6140" width="30.5703125" style="2" customWidth="1"/>
    <col min="6141" max="6141" width="33.85546875" style="2" customWidth="1"/>
    <col min="6142" max="6142" width="5.140625" style="2" customWidth="1"/>
    <col min="6143" max="6144" width="17.5703125" style="2" customWidth="1"/>
    <col min="6145" max="6388" width="9.140625" style="2"/>
    <col min="6389" max="6389" width="3.7109375" style="2" customWidth="1"/>
    <col min="6390" max="6390" width="96.85546875" style="2" customWidth="1"/>
    <col min="6391" max="6391" width="30.85546875" style="2" customWidth="1"/>
    <col min="6392" max="6392" width="12.5703125" style="2" customWidth="1"/>
    <col min="6393" max="6393" width="5.140625" style="2" customWidth="1"/>
    <col min="6394" max="6394" width="9.140625" style="2"/>
    <col min="6395" max="6395" width="4.85546875" style="2" customWidth="1"/>
    <col min="6396" max="6396" width="30.5703125" style="2" customWidth="1"/>
    <col min="6397" max="6397" width="33.85546875" style="2" customWidth="1"/>
    <col min="6398" max="6398" width="5.140625" style="2" customWidth="1"/>
    <col min="6399" max="6400" width="17.5703125" style="2" customWidth="1"/>
    <col min="6401" max="6644" width="9.140625" style="2"/>
    <col min="6645" max="6645" width="3.7109375" style="2" customWidth="1"/>
    <col min="6646" max="6646" width="96.85546875" style="2" customWidth="1"/>
    <col min="6647" max="6647" width="30.85546875" style="2" customWidth="1"/>
    <col min="6648" max="6648" width="12.5703125" style="2" customWidth="1"/>
    <col min="6649" max="6649" width="5.140625" style="2" customWidth="1"/>
    <col min="6650" max="6650" width="9.140625" style="2"/>
    <col min="6651" max="6651" width="4.85546875" style="2" customWidth="1"/>
    <col min="6652" max="6652" width="30.5703125" style="2" customWidth="1"/>
    <col min="6653" max="6653" width="33.85546875" style="2" customWidth="1"/>
    <col min="6654" max="6654" width="5.140625" style="2" customWidth="1"/>
    <col min="6655" max="6656" width="17.5703125" style="2" customWidth="1"/>
    <col min="6657" max="6900" width="9.140625" style="2"/>
    <col min="6901" max="6901" width="3.7109375" style="2" customWidth="1"/>
    <col min="6902" max="6902" width="96.85546875" style="2" customWidth="1"/>
    <col min="6903" max="6903" width="30.85546875" style="2" customWidth="1"/>
    <col min="6904" max="6904" width="12.5703125" style="2" customWidth="1"/>
    <col min="6905" max="6905" width="5.140625" style="2" customWidth="1"/>
    <col min="6906" max="6906" width="9.140625" style="2"/>
    <col min="6907" max="6907" width="4.85546875" style="2" customWidth="1"/>
    <col min="6908" max="6908" width="30.5703125" style="2" customWidth="1"/>
    <col min="6909" max="6909" width="33.85546875" style="2" customWidth="1"/>
    <col min="6910" max="6910" width="5.140625" style="2" customWidth="1"/>
    <col min="6911" max="6912" width="17.5703125" style="2" customWidth="1"/>
    <col min="6913" max="7156" width="9.140625" style="2"/>
    <col min="7157" max="7157" width="3.7109375" style="2" customWidth="1"/>
    <col min="7158" max="7158" width="96.85546875" style="2" customWidth="1"/>
    <col min="7159" max="7159" width="30.85546875" style="2" customWidth="1"/>
    <col min="7160" max="7160" width="12.5703125" style="2" customWidth="1"/>
    <col min="7161" max="7161" width="5.140625" style="2" customWidth="1"/>
    <col min="7162" max="7162" width="9.140625" style="2"/>
    <col min="7163" max="7163" width="4.85546875" style="2" customWidth="1"/>
    <col min="7164" max="7164" width="30.5703125" style="2" customWidth="1"/>
    <col min="7165" max="7165" width="33.85546875" style="2" customWidth="1"/>
    <col min="7166" max="7166" width="5.140625" style="2" customWidth="1"/>
    <col min="7167" max="7168" width="17.5703125" style="2" customWidth="1"/>
    <col min="7169" max="7412" width="9.140625" style="2"/>
    <col min="7413" max="7413" width="3.7109375" style="2" customWidth="1"/>
    <col min="7414" max="7414" width="96.85546875" style="2" customWidth="1"/>
    <col min="7415" max="7415" width="30.85546875" style="2" customWidth="1"/>
    <col min="7416" max="7416" width="12.5703125" style="2" customWidth="1"/>
    <col min="7417" max="7417" width="5.140625" style="2" customWidth="1"/>
    <col min="7418" max="7418" width="9.140625" style="2"/>
    <col min="7419" max="7419" width="4.85546875" style="2" customWidth="1"/>
    <col min="7420" max="7420" width="30.5703125" style="2" customWidth="1"/>
    <col min="7421" max="7421" width="33.85546875" style="2" customWidth="1"/>
    <col min="7422" max="7422" width="5.140625" style="2" customWidth="1"/>
    <col min="7423" max="7424" width="17.5703125" style="2" customWidth="1"/>
    <col min="7425" max="7668" width="9.140625" style="2"/>
    <col min="7669" max="7669" width="3.7109375" style="2" customWidth="1"/>
    <col min="7670" max="7670" width="96.85546875" style="2" customWidth="1"/>
    <col min="7671" max="7671" width="30.85546875" style="2" customWidth="1"/>
    <col min="7672" max="7672" width="12.5703125" style="2" customWidth="1"/>
    <col min="7673" max="7673" width="5.140625" style="2" customWidth="1"/>
    <col min="7674" max="7674" width="9.140625" style="2"/>
    <col min="7675" max="7675" width="4.85546875" style="2" customWidth="1"/>
    <col min="7676" max="7676" width="30.5703125" style="2" customWidth="1"/>
    <col min="7677" max="7677" width="33.85546875" style="2" customWidth="1"/>
    <col min="7678" max="7678" width="5.140625" style="2" customWidth="1"/>
    <col min="7679" max="7680" width="17.5703125" style="2" customWidth="1"/>
    <col min="7681" max="7924" width="9.140625" style="2"/>
    <col min="7925" max="7925" width="3.7109375" style="2" customWidth="1"/>
    <col min="7926" max="7926" width="96.85546875" style="2" customWidth="1"/>
    <col min="7927" max="7927" width="30.85546875" style="2" customWidth="1"/>
    <col min="7928" max="7928" width="12.5703125" style="2" customWidth="1"/>
    <col min="7929" max="7929" width="5.140625" style="2" customWidth="1"/>
    <col min="7930" max="7930" width="9.140625" style="2"/>
    <col min="7931" max="7931" width="4.85546875" style="2" customWidth="1"/>
    <col min="7932" max="7932" width="30.5703125" style="2" customWidth="1"/>
    <col min="7933" max="7933" width="33.85546875" style="2" customWidth="1"/>
    <col min="7934" max="7934" width="5.140625" style="2" customWidth="1"/>
    <col min="7935" max="7936" width="17.5703125" style="2" customWidth="1"/>
    <col min="7937" max="8180" width="9.140625" style="2"/>
    <col min="8181" max="8181" width="3.7109375" style="2" customWidth="1"/>
    <col min="8182" max="8182" width="96.85546875" style="2" customWidth="1"/>
    <col min="8183" max="8183" width="30.85546875" style="2" customWidth="1"/>
    <col min="8184" max="8184" width="12.5703125" style="2" customWidth="1"/>
    <col min="8185" max="8185" width="5.140625" style="2" customWidth="1"/>
    <col min="8186" max="8186" width="9.140625" style="2"/>
    <col min="8187" max="8187" width="4.85546875" style="2" customWidth="1"/>
    <col min="8188" max="8188" width="30.5703125" style="2" customWidth="1"/>
    <col min="8189" max="8189" width="33.85546875" style="2" customWidth="1"/>
    <col min="8190" max="8190" width="5.140625" style="2" customWidth="1"/>
    <col min="8191" max="8192" width="17.5703125" style="2" customWidth="1"/>
    <col min="8193" max="8436" width="9.140625" style="2"/>
    <col min="8437" max="8437" width="3.7109375" style="2" customWidth="1"/>
    <col min="8438" max="8438" width="96.85546875" style="2" customWidth="1"/>
    <col min="8439" max="8439" width="30.85546875" style="2" customWidth="1"/>
    <col min="8440" max="8440" width="12.5703125" style="2" customWidth="1"/>
    <col min="8441" max="8441" width="5.140625" style="2" customWidth="1"/>
    <col min="8442" max="8442" width="9.140625" style="2"/>
    <col min="8443" max="8443" width="4.85546875" style="2" customWidth="1"/>
    <col min="8444" max="8444" width="30.5703125" style="2" customWidth="1"/>
    <col min="8445" max="8445" width="33.85546875" style="2" customWidth="1"/>
    <col min="8446" max="8446" width="5.140625" style="2" customWidth="1"/>
    <col min="8447" max="8448" width="17.5703125" style="2" customWidth="1"/>
    <col min="8449" max="8692" width="9.140625" style="2"/>
    <col min="8693" max="8693" width="3.7109375" style="2" customWidth="1"/>
    <col min="8694" max="8694" width="96.85546875" style="2" customWidth="1"/>
    <col min="8695" max="8695" width="30.85546875" style="2" customWidth="1"/>
    <col min="8696" max="8696" width="12.5703125" style="2" customWidth="1"/>
    <col min="8697" max="8697" width="5.140625" style="2" customWidth="1"/>
    <col min="8698" max="8698" width="9.140625" style="2"/>
    <col min="8699" max="8699" width="4.85546875" style="2" customWidth="1"/>
    <col min="8700" max="8700" width="30.5703125" style="2" customWidth="1"/>
    <col min="8701" max="8701" width="33.85546875" style="2" customWidth="1"/>
    <col min="8702" max="8702" width="5.140625" style="2" customWidth="1"/>
    <col min="8703" max="8704" width="17.5703125" style="2" customWidth="1"/>
    <col min="8705" max="8948" width="9.140625" style="2"/>
    <col min="8949" max="8949" width="3.7109375" style="2" customWidth="1"/>
    <col min="8950" max="8950" width="96.85546875" style="2" customWidth="1"/>
    <col min="8951" max="8951" width="30.85546875" style="2" customWidth="1"/>
    <col min="8952" max="8952" width="12.5703125" style="2" customWidth="1"/>
    <col min="8953" max="8953" width="5.140625" style="2" customWidth="1"/>
    <col min="8954" max="8954" width="9.140625" style="2"/>
    <col min="8955" max="8955" width="4.85546875" style="2" customWidth="1"/>
    <col min="8956" max="8956" width="30.5703125" style="2" customWidth="1"/>
    <col min="8957" max="8957" width="33.85546875" style="2" customWidth="1"/>
    <col min="8958" max="8958" width="5.140625" style="2" customWidth="1"/>
    <col min="8959" max="8960" width="17.5703125" style="2" customWidth="1"/>
    <col min="8961" max="9204" width="9.140625" style="2"/>
    <col min="9205" max="9205" width="3.7109375" style="2" customWidth="1"/>
    <col min="9206" max="9206" width="96.85546875" style="2" customWidth="1"/>
    <col min="9207" max="9207" width="30.85546875" style="2" customWidth="1"/>
    <col min="9208" max="9208" width="12.5703125" style="2" customWidth="1"/>
    <col min="9209" max="9209" width="5.140625" style="2" customWidth="1"/>
    <col min="9210" max="9210" width="9.140625" style="2"/>
    <col min="9211" max="9211" width="4.85546875" style="2" customWidth="1"/>
    <col min="9212" max="9212" width="30.5703125" style="2" customWidth="1"/>
    <col min="9213" max="9213" width="33.85546875" style="2" customWidth="1"/>
    <col min="9214" max="9214" width="5.140625" style="2" customWidth="1"/>
    <col min="9215" max="9216" width="17.5703125" style="2" customWidth="1"/>
    <col min="9217" max="9460" width="9.140625" style="2"/>
    <col min="9461" max="9461" width="3.7109375" style="2" customWidth="1"/>
    <col min="9462" max="9462" width="96.85546875" style="2" customWidth="1"/>
    <col min="9463" max="9463" width="30.85546875" style="2" customWidth="1"/>
    <col min="9464" max="9464" width="12.5703125" style="2" customWidth="1"/>
    <col min="9465" max="9465" width="5.140625" style="2" customWidth="1"/>
    <col min="9466" max="9466" width="9.140625" style="2"/>
    <col min="9467" max="9467" width="4.85546875" style="2" customWidth="1"/>
    <col min="9468" max="9468" width="30.5703125" style="2" customWidth="1"/>
    <col min="9469" max="9469" width="33.85546875" style="2" customWidth="1"/>
    <col min="9470" max="9470" width="5.140625" style="2" customWidth="1"/>
    <col min="9471" max="9472" width="17.5703125" style="2" customWidth="1"/>
    <col min="9473" max="9716" width="9.140625" style="2"/>
    <col min="9717" max="9717" width="3.7109375" style="2" customWidth="1"/>
    <col min="9718" max="9718" width="96.85546875" style="2" customWidth="1"/>
    <col min="9719" max="9719" width="30.85546875" style="2" customWidth="1"/>
    <col min="9720" max="9720" width="12.5703125" style="2" customWidth="1"/>
    <col min="9721" max="9721" width="5.140625" style="2" customWidth="1"/>
    <col min="9722" max="9722" width="9.140625" style="2"/>
    <col min="9723" max="9723" width="4.85546875" style="2" customWidth="1"/>
    <col min="9724" max="9724" width="30.5703125" style="2" customWidth="1"/>
    <col min="9725" max="9725" width="33.85546875" style="2" customWidth="1"/>
    <col min="9726" max="9726" width="5.140625" style="2" customWidth="1"/>
    <col min="9727" max="9728" width="17.5703125" style="2" customWidth="1"/>
    <col min="9729" max="9972" width="9.140625" style="2"/>
    <col min="9973" max="9973" width="3.7109375" style="2" customWidth="1"/>
    <col min="9974" max="9974" width="96.85546875" style="2" customWidth="1"/>
    <col min="9975" max="9975" width="30.85546875" style="2" customWidth="1"/>
    <col min="9976" max="9976" width="12.5703125" style="2" customWidth="1"/>
    <col min="9977" max="9977" width="5.140625" style="2" customWidth="1"/>
    <col min="9978" max="9978" width="9.140625" style="2"/>
    <col min="9979" max="9979" width="4.85546875" style="2" customWidth="1"/>
    <col min="9980" max="9980" width="30.5703125" style="2" customWidth="1"/>
    <col min="9981" max="9981" width="33.85546875" style="2" customWidth="1"/>
    <col min="9982" max="9982" width="5.140625" style="2" customWidth="1"/>
    <col min="9983" max="9984" width="17.5703125" style="2" customWidth="1"/>
    <col min="9985" max="10228" width="9.140625" style="2"/>
    <col min="10229" max="10229" width="3.7109375" style="2" customWidth="1"/>
    <col min="10230" max="10230" width="96.85546875" style="2" customWidth="1"/>
    <col min="10231" max="10231" width="30.85546875" style="2" customWidth="1"/>
    <col min="10232" max="10232" width="12.5703125" style="2" customWidth="1"/>
    <col min="10233" max="10233" width="5.140625" style="2" customWidth="1"/>
    <col min="10234" max="10234" width="9.140625" style="2"/>
    <col min="10235" max="10235" width="4.85546875" style="2" customWidth="1"/>
    <col min="10236" max="10236" width="30.5703125" style="2" customWidth="1"/>
    <col min="10237" max="10237" width="33.85546875" style="2" customWidth="1"/>
    <col min="10238" max="10238" width="5.140625" style="2" customWidth="1"/>
    <col min="10239" max="10240" width="17.5703125" style="2" customWidth="1"/>
    <col min="10241" max="10484" width="9.140625" style="2"/>
    <col min="10485" max="10485" width="3.7109375" style="2" customWidth="1"/>
    <col min="10486" max="10486" width="96.85546875" style="2" customWidth="1"/>
    <col min="10487" max="10487" width="30.85546875" style="2" customWidth="1"/>
    <col min="10488" max="10488" width="12.5703125" style="2" customWidth="1"/>
    <col min="10489" max="10489" width="5.140625" style="2" customWidth="1"/>
    <col min="10490" max="10490" width="9.140625" style="2"/>
    <col min="10491" max="10491" width="4.85546875" style="2" customWidth="1"/>
    <col min="10492" max="10492" width="30.5703125" style="2" customWidth="1"/>
    <col min="10493" max="10493" width="33.85546875" style="2" customWidth="1"/>
    <col min="10494" max="10494" width="5.140625" style="2" customWidth="1"/>
    <col min="10495" max="10496" width="17.5703125" style="2" customWidth="1"/>
    <col min="10497" max="10740" width="9.140625" style="2"/>
    <col min="10741" max="10741" width="3.7109375" style="2" customWidth="1"/>
    <col min="10742" max="10742" width="96.85546875" style="2" customWidth="1"/>
    <col min="10743" max="10743" width="30.85546875" style="2" customWidth="1"/>
    <col min="10744" max="10744" width="12.5703125" style="2" customWidth="1"/>
    <col min="10745" max="10745" width="5.140625" style="2" customWidth="1"/>
    <col min="10746" max="10746" width="9.140625" style="2"/>
    <col min="10747" max="10747" width="4.85546875" style="2" customWidth="1"/>
    <col min="10748" max="10748" width="30.5703125" style="2" customWidth="1"/>
    <col min="10749" max="10749" width="33.85546875" style="2" customWidth="1"/>
    <col min="10750" max="10750" width="5.140625" style="2" customWidth="1"/>
    <col min="10751" max="10752" width="17.5703125" style="2" customWidth="1"/>
    <col min="10753" max="10996" width="9.140625" style="2"/>
    <col min="10997" max="10997" width="3.7109375" style="2" customWidth="1"/>
    <col min="10998" max="10998" width="96.85546875" style="2" customWidth="1"/>
    <col min="10999" max="10999" width="30.85546875" style="2" customWidth="1"/>
    <col min="11000" max="11000" width="12.5703125" style="2" customWidth="1"/>
    <col min="11001" max="11001" width="5.140625" style="2" customWidth="1"/>
    <col min="11002" max="11002" width="9.140625" style="2"/>
    <col min="11003" max="11003" width="4.85546875" style="2" customWidth="1"/>
    <col min="11004" max="11004" width="30.5703125" style="2" customWidth="1"/>
    <col min="11005" max="11005" width="33.85546875" style="2" customWidth="1"/>
    <col min="11006" max="11006" width="5.140625" style="2" customWidth="1"/>
    <col min="11007" max="11008" width="17.5703125" style="2" customWidth="1"/>
    <col min="11009" max="11252" width="9.140625" style="2"/>
    <col min="11253" max="11253" width="3.7109375" style="2" customWidth="1"/>
    <col min="11254" max="11254" width="96.85546875" style="2" customWidth="1"/>
    <col min="11255" max="11255" width="30.85546875" style="2" customWidth="1"/>
    <col min="11256" max="11256" width="12.5703125" style="2" customWidth="1"/>
    <col min="11257" max="11257" width="5.140625" style="2" customWidth="1"/>
    <col min="11258" max="11258" width="9.140625" style="2"/>
    <col min="11259" max="11259" width="4.85546875" style="2" customWidth="1"/>
    <col min="11260" max="11260" width="30.5703125" style="2" customWidth="1"/>
    <col min="11261" max="11261" width="33.85546875" style="2" customWidth="1"/>
    <col min="11262" max="11262" width="5.140625" style="2" customWidth="1"/>
    <col min="11263" max="11264" width="17.5703125" style="2" customWidth="1"/>
    <col min="11265" max="11508" width="9.140625" style="2"/>
    <col min="11509" max="11509" width="3.7109375" style="2" customWidth="1"/>
    <col min="11510" max="11510" width="96.85546875" style="2" customWidth="1"/>
    <col min="11511" max="11511" width="30.85546875" style="2" customWidth="1"/>
    <col min="11512" max="11512" width="12.5703125" style="2" customWidth="1"/>
    <col min="11513" max="11513" width="5.140625" style="2" customWidth="1"/>
    <col min="11514" max="11514" width="9.140625" style="2"/>
    <col min="11515" max="11515" width="4.85546875" style="2" customWidth="1"/>
    <col min="11516" max="11516" width="30.5703125" style="2" customWidth="1"/>
    <col min="11517" max="11517" width="33.85546875" style="2" customWidth="1"/>
    <col min="11518" max="11518" width="5.140625" style="2" customWidth="1"/>
    <col min="11519" max="11520" width="17.5703125" style="2" customWidth="1"/>
    <col min="11521" max="11764" width="9.140625" style="2"/>
    <col min="11765" max="11765" width="3.7109375" style="2" customWidth="1"/>
    <col min="11766" max="11766" width="96.85546875" style="2" customWidth="1"/>
    <col min="11767" max="11767" width="30.85546875" style="2" customWidth="1"/>
    <col min="11768" max="11768" width="12.5703125" style="2" customWidth="1"/>
    <col min="11769" max="11769" width="5.140625" style="2" customWidth="1"/>
    <col min="11770" max="11770" width="9.140625" style="2"/>
    <col min="11771" max="11771" width="4.85546875" style="2" customWidth="1"/>
    <col min="11772" max="11772" width="30.5703125" style="2" customWidth="1"/>
    <col min="11773" max="11773" width="33.85546875" style="2" customWidth="1"/>
    <col min="11774" max="11774" width="5.140625" style="2" customWidth="1"/>
    <col min="11775" max="11776" width="17.5703125" style="2" customWidth="1"/>
    <col min="11777" max="12020" width="9.140625" style="2"/>
    <col min="12021" max="12021" width="3.7109375" style="2" customWidth="1"/>
    <col min="12022" max="12022" width="96.85546875" style="2" customWidth="1"/>
    <col min="12023" max="12023" width="30.85546875" style="2" customWidth="1"/>
    <col min="12024" max="12024" width="12.5703125" style="2" customWidth="1"/>
    <col min="12025" max="12025" width="5.140625" style="2" customWidth="1"/>
    <col min="12026" max="12026" width="9.140625" style="2"/>
    <col min="12027" max="12027" width="4.85546875" style="2" customWidth="1"/>
    <col min="12028" max="12028" width="30.5703125" style="2" customWidth="1"/>
    <col min="12029" max="12029" width="33.85546875" style="2" customWidth="1"/>
    <col min="12030" max="12030" width="5.140625" style="2" customWidth="1"/>
    <col min="12031" max="12032" width="17.5703125" style="2" customWidth="1"/>
    <col min="12033" max="12276" width="9.140625" style="2"/>
    <col min="12277" max="12277" width="3.7109375" style="2" customWidth="1"/>
    <col min="12278" max="12278" width="96.85546875" style="2" customWidth="1"/>
    <col min="12279" max="12279" width="30.85546875" style="2" customWidth="1"/>
    <col min="12280" max="12280" width="12.5703125" style="2" customWidth="1"/>
    <col min="12281" max="12281" width="5.140625" style="2" customWidth="1"/>
    <col min="12282" max="12282" width="9.140625" style="2"/>
    <col min="12283" max="12283" width="4.85546875" style="2" customWidth="1"/>
    <col min="12284" max="12284" width="30.5703125" style="2" customWidth="1"/>
    <col min="12285" max="12285" width="33.85546875" style="2" customWidth="1"/>
    <col min="12286" max="12286" width="5.140625" style="2" customWidth="1"/>
    <col min="12287" max="12288" width="17.5703125" style="2" customWidth="1"/>
    <col min="12289" max="12532" width="9.140625" style="2"/>
    <col min="12533" max="12533" width="3.7109375" style="2" customWidth="1"/>
    <col min="12534" max="12534" width="96.85546875" style="2" customWidth="1"/>
    <col min="12535" max="12535" width="30.85546875" style="2" customWidth="1"/>
    <col min="12536" max="12536" width="12.5703125" style="2" customWidth="1"/>
    <col min="12537" max="12537" width="5.140625" style="2" customWidth="1"/>
    <col min="12538" max="12538" width="9.140625" style="2"/>
    <col min="12539" max="12539" width="4.85546875" style="2" customWidth="1"/>
    <col min="12540" max="12540" width="30.5703125" style="2" customWidth="1"/>
    <col min="12541" max="12541" width="33.85546875" style="2" customWidth="1"/>
    <col min="12542" max="12542" width="5.140625" style="2" customWidth="1"/>
    <col min="12543" max="12544" width="17.5703125" style="2" customWidth="1"/>
    <col min="12545" max="12788" width="9.140625" style="2"/>
    <col min="12789" max="12789" width="3.7109375" style="2" customWidth="1"/>
    <col min="12790" max="12790" width="96.85546875" style="2" customWidth="1"/>
    <col min="12791" max="12791" width="30.85546875" style="2" customWidth="1"/>
    <col min="12792" max="12792" width="12.5703125" style="2" customWidth="1"/>
    <col min="12793" max="12793" width="5.140625" style="2" customWidth="1"/>
    <col min="12794" max="12794" width="9.140625" style="2"/>
    <col min="12795" max="12795" width="4.85546875" style="2" customWidth="1"/>
    <col min="12796" max="12796" width="30.5703125" style="2" customWidth="1"/>
    <col min="12797" max="12797" width="33.85546875" style="2" customWidth="1"/>
    <col min="12798" max="12798" width="5.140625" style="2" customWidth="1"/>
    <col min="12799" max="12800" width="17.5703125" style="2" customWidth="1"/>
    <col min="12801" max="13044" width="9.140625" style="2"/>
    <col min="13045" max="13045" width="3.7109375" style="2" customWidth="1"/>
    <col min="13046" max="13046" width="96.85546875" style="2" customWidth="1"/>
    <col min="13047" max="13047" width="30.85546875" style="2" customWidth="1"/>
    <col min="13048" max="13048" width="12.5703125" style="2" customWidth="1"/>
    <col min="13049" max="13049" width="5.140625" style="2" customWidth="1"/>
    <col min="13050" max="13050" width="9.140625" style="2"/>
    <col min="13051" max="13051" width="4.85546875" style="2" customWidth="1"/>
    <col min="13052" max="13052" width="30.5703125" style="2" customWidth="1"/>
    <col min="13053" max="13053" width="33.85546875" style="2" customWidth="1"/>
    <col min="13054" max="13054" width="5.140625" style="2" customWidth="1"/>
    <col min="13055" max="13056" width="17.5703125" style="2" customWidth="1"/>
    <col min="13057" max="13300" width="9.140625" style="2"/>
    <col min="13301" max="13301" width="3.7109375" style="2" customWidth="1"/>
    <col min="13302" max="13302" width="96.85546875" style="2" customWidth="1"/>
    <col min="13303" max="13303" width="30.85546875" style="2" customWidth="1"/>
    <col min="13304" max="13304" width="12.5703125" style="2" customWidth="1"/>
    <col min="13305" max="13305" width="5.140625" style="2" customWidth="1"/>
    <col min="13306" max="13306" width="9.140625" style="2"/>
    <col min="13307" max="13307" width="4.85546875" style="2" customWidth="1"/>
    <col min="13308" max="13308" width="30.5703125" style="2" customWidth="1"/>
    <col min="13309" max="13309" width="33.85546875" style="2" customWidth="1"/>
    <col min="13310" max="13310" width="5.140625" style="2" customWidth="1"/>
    <col min="13311" max="13312" width="17.5703125" style="2" customWidth="1"/>
    <col min="13313" max="13556" width="9.140625" style="2"/>
    <col min="13557" max="13557" width="3.7109375" style="2" customWidth="1"/>
    <col min="13558" max="13558" width="96.85546875" style="2" customWidth="1"/>
    <col min="13559" max="13559" width="30.85546875" style="2" customWidth="1"/>
    <col min="13560" max="13560" width="12.5703125" style="2" customWidth="1"/>
    <col min="13561" max="13561" width="5.140625" style="2" customWidth="1"/>
    <col min="13562" max="13562" width="9.140625" style="2"/>
    <col min="13563" max="13563" width="4.85546875" style="2" customWidth="1"/>
    <col min="13564" max="13564" width="30.5703125" style="2" customWidth="1"/>
    <col min="13565" max="13565" width="33.85546875" style="2" customWidth="1"/>
    <col min="13566" max="13566" width="5.140625" style="2" customWidth="1"/>
    <col min="13567" max="13568" width="17.5703125" style="2" customWidth="1"/>
    <col min="13569" max="13812" width="9.140625" style="2"/>
    <col min="13813" max="13813" width="3.7109375" style="2" customWidth="1"/>
    <col min="13814" max="13814" width="96.85546875" style="2" customWidth="1"/>
    <col min="13815" max="13815" width="30.85546875" style="2" customWidth="1"/>
    <col min="13816" max="13816" width="12.5703125" style="2" customWidth="1"/>
    <col min="13817" max="13817" width="5.140625" style="2" customWidth="1"/>
    <col min="13818" max="13818" width="9.140625" style="2"/>
    <col min="13819" max="13819" width="4.85546875" style="2" customWidth="1"/>
    <col min="13820" max="13820" width="30.5703125" style="2" customWidth="1"/>
    <col min="13821" max="13821" width="33.85546875" style="2" customWidth="1"/>
    <col min="13822" max="13822" width="5.140625" style="2" customWidth="1"/>
    <col min="13823" max="13824" width="17.5703125" style="2" customWidth="1"/>
    <col min="13825" max="14068" width="9.140625" style="2"/>
    <col min="14069" max="14069" width="3.7109375" style="2" customWidth="1"/>
    <col min="14070" max="14070" width="96.85546875" style="2" customWidth="1"/>
    <col min="14071" max="14071" width="30.85546875" style="2" customWidth="1"/>
    <col min="14072" max="14072" width="12.5703125" style="2" customWidth="1"/>
    <col min="14073" max="14073" width="5.140625" style="2" customWidth="1"/>
    <col min="14074" max="14074" width="9.140625" style="2"/>
    <col min="14075" max="14075" width="4.85546875" style="2" customWidth="1"/>
    <col min="14076" max="14076" width="30.5703125" style="2" customWidth="1"/>
    <col min="14077" max="14077" width="33.85546875" style="2" customWidth="1"/>
    <col min="14078" max="14078" width="5.140625" style="2" customWidth="1"/>
    <col min="14079" max="14080" width="17.5703125" style="2" customWidth="1"/>
    <col min="14081" max="14324" width="9.140625" style="2"/>
    <col min="14325" max="14325" width="3.7109375" style="2" customWidth="1"/>
    <col min="14326" max="14326" width="96.85546875" style="2" customWidth="1"/>
    <col min="14327" max="14327" width="30.85546875" style="2" customWidth="1"/>
    <col min="14328" max="14328" width="12.5703125" style="2" customWidth="1"/>
    <col min="14329" max="14329" width="5.140625" style="2" customWidth="1"/>
    <col min="14330" max="14330" width="9.140625" style="2"/>
    <col min="14331" max="14331" width="4.85546875" style="2" customWidth="1"/>
    <col min="14332" max="14332" width="30.5703125" style="2" customWidth="1"/>
    <col min="14333" max="14333" width="33.85546875" style="2" customWidth="1"/>
    <col min="14334" max="14334" width="5.140625" style="2" customWidth="1"/>
    <col min="14335" max="14336" width="17.5703125" style="2" customWidth="1"/>
    <col min="14337" max="14580" width="9.140625" style="2"/>
    <col min="14581" max="14581" width="3.7109375" style="2" customWidth="1"/>
    <col min="14582" max="14582" width="96.85546875" style="2" customWidth="1"/>
    <col min="14583" max="14583" width="30.85546875" style="2" customWidth="1"/>
    <col min="14584" max="14584" width="12.5703125" style="2" customWidth="1"/>
    <col min="14585" max="14585" width="5.140625" style="2" customWidth="1"/>
    <col min="14586" max="14586" width="9.140625" style="2"/>
    <col min="14587" max="14587" width="4.85546875" style="2" customWidth="1"/>
    <col min="14588" max="14588" width="30.5703125" style="2" customWidth="1"/>
    <col min="14589" max="14589" width="33.85546875" style="2" customWidth="1"/>
    <col min="14590" max="14590" width="5.140625" style="2" customWidth="1"/>
    <col min="14591" max="14592" width="17.5703125" style="2" customWidth="1"/>
    <col min="14593" max="14836" width="9.140625" style="2"/>
    <col min="14837" max="14837" width="3.7109375" style="2" customWidth="1"/>
    <col min="14838" max="14838" width="96.85546875" style="2" customWidth="1"/>
    <col min="14839" max="14839" width="30.85546875" style="2" customWidth="1"/>
    <col min="14840" max="14840" width="12.5703125" style="2" customWidth="1"/>
    <col min="14841" max="14841" width="5.140625" style="2" customWidth="1"/>
    <col min="14842" max="14842" width="9.140625" style="2"/>
    <col min="14843" max="14843" width="4.85546875" style="2" customWidth="1"/>
    <col min="14844" max="14844" width="30.5703125" style="2" customWidth="1"/>
    <col min="14845" max="14845" width="33.85546875" style="2" customWidth="1"/>
    <col min="14846" max="14846" width="5.140625" style="2" customWidth="1"/>
    <col min="14847" max="14848" width="17.5703125" style="2" customWidth="1"/>
    <col min="14849" max="15092" width="9.140625" style="2"/>
    <col min="15093" max="15093" width="3.7109375" style="2" customWidth="1"/>
    <col min="15094" max="15094" width="96.85546875" style="2" customWidth="1"/>
    <col min="15095" max="15095" width="30.85546875" style="2" customWidth="1"/>
    <col min="15096" max="15096" width="12.5703125" style="2" customWidth="1"/>
    <col min="15097" max="15097" width="5.140625" style="2" customWidth="1"/>
    <col min="15098" max="15098" width="9.140625" style="2"/>
    <col min="15099" max="15099" width="4.85546875" style="2" customWidth="1"/>
    <col min="15100" max="15100" width="30.5703125" style="2" customWidth="1"/>
    <col min="15101" max="15101" width="33.85546875" style="2" customWidth="1"/>
    <col min="15102" max="15102" width="5.140625" style="2" customWidth="1"/>
    <col min="15103" max="15104" width="17.5703125" style="2" customWidth="1"/>
    <col min="15105" max="15348" width="9.140625" style="2"/>
    <col min="15349" max="15349" width="3.7109375" style="2" customWidth="1"/>
    <col min="15350" max="15350" width="96.85546875" style="2" customWidth="1"/>
    <col min="15351" max="15351" width="30.85546875" style="2" customWidth="1"/>
    <col min="15352" max="15352" width="12.5703125" style="2" customWidth="1"/>
    <col min="15353" max="15353" width="5.140625" style="2" customWidth="1"/>
    <col min="15354" max="15354" width="9.140625" style="2"/>
    <col min="15355" max="15355" width="4.85546875" style="2" customWidth="1"/>
    <col min="15356" max="15356" width="30.5703125" style="2" customWidth="1"/>
    <col min="15357" max="15357" width="33.85546875" style="2" customWidth="1"/>
    <col min="15358" max="15358" width="5.140625" style="2" customWidth="1"/>
    <col min="15359" max="15360" width="17.5703125" style="2" customWidth="1"/>
    <col min="15361" max="15604" width="9.140625" style="2"/>
    <col min="15605" max="15605" width="3.7109375" style="2" customWidth="1"/>
    <col min="15606" max="15606" width="96.85546875" style="2" customWidth="1"/>
    <col min="15607" max="15607" width="30.85546875" style="2" customWidth="1"/>
    <col min="15608" max="15608" width="12.5703125" style="2" customWidth="1"/>
    <col min="15609" max="15609" width="5.140625" style="2" customWidth="1"/>
    <col min="15610" max="15610" width="9.140625" style="2"/>
    <col min="15611" max="15611" width="4.85546875" style="2" customWidth="1"/>
    <col min="15612" max="15612" width="30.5703125" style="2" customWidth="1"/>
    <col min="15613" max="15613" width="33.85546875" style="2" customWidth="1"/>
    <col min="15614" max="15614" width="5.140625" style="2" customWidth="1"/>
    <col min="15615" max="15616" width="17.5703125" style="2" customWidth="1"/>
    <col min="15617" max="15860" width="9.140625" style="2"/>
    <col min="15861" max="15861" width="3.7109375" style="2" customWidth="1"/>
    <col min="15862" max="15862" width="96.85546875" style="2" customWidth="1"/>
    <col min="15863" max="15863" width="30.85546875" style="2" customWidth="1"/>
    <col min="15864" max="15864" width="12.5703125" style="2" customWidth="1"/>
    <col min="15865" max="15865" width="5.140625" style="2" customWidth="1"/>
    <col min="15866" max="15866" width="9.140625" style="2"/>
    <col min="15867" max="15867" width="4.85546875" style="2" customWidth="1"/>
    <col min="15868" max="15868" width="30.5703125" style="2" customWidth="1"/>
    <col min="15869" max="15869" width="33.85546875" style="2" customWidth="1"/>
    <col min="15870" max="15870" width="5.140625" style="2" customWidth="1"/>
    <col min="15871" max="15872" width="17.5703125" style="2" customWidth="1"/>
    <col min="15873" max="16116" width="9.140625" style="2"/>
    <col min="16117" max="16117" width="3.7109375" style="2" customWidth="1"/>
    <col min="16118" max="16118" width="96.85546875" style="2" customWidth="1"/>
    <col min="16119" max="16119" width="30.85546875" style="2" customWidth="1"/>
    <col min="16120" max="16120" width="12.5703125" style="2" customWidth="1"/>
    <col min="16121" max="16121" width="5.140625" style="2" customWidth="1"/>
    <col min="16122" max="16122" width="9.140625" style="2"/>
    <col min="16123" max="16123" width="4.85546875" style="2" customWidth="1"/>
    <col min="16124" max="16124" width="30.5703125" style="2" customWidth="1"/>
    <col min="16125" max="16125" width="33.85546875" style="2" customWidth="1"/>
    <col min="16126" max="16126" width="5.140625" style="2" customWidth="1"/>
    <col min="16127" max="16128" width="17.5703125" style="2" customWidth="1"/>
    <col min="16129" max="16384" width="9.140625" style="2"/>
  </cols>
  <sheetData>
    <row r="1" spans="1:3" ht="48" customHeight="1" x14ac:dyDescent="0.2">
      <c r="A1" s="3"/>
      <c r="B1" s="143" t="s">
        <v>227</v>
      </c>
      <c r="C1" s="143"/>
    </row>
    <row r="2" spans="1:3" x14ac:dyDescent="0.2">
      <c r="A2" s="3"/>
      <c r="B2" s="4" t="s">
        <v>1</v>
      </c>
      <c r="C2" s="5">
        <v>46052</v>
      </c>
    </row>
    <row r="3" spans="1:3" x14ac:dyDescent="0.2">
      <c r="A3" s="3"/>
      <c r="B3" s="117" t="s">
        <v>2</v>
      </c>
      <c r="C3" s="7"/>
    </row>
    <row r="4" spans="1:3" ht="21" customHeight="1" x14ac:dyDescent="0.2">
      <c r="A4" s="8"/>
      <c r="B4" s="9" t="str">
        <f>[22]И1!D13</f>
        <v>Субъект Российской Федерации</v>
      </c>
      <c r="C4" s="10" t="str">
        <f>[22]И1!E13</f>
        <v>Новосибирская область</v>
      </c>
    </row>
    <row r="5" spans="1:3" ht="37.5" customHeight="1" x14ac:dyDescent="0.2">
      <c r="A5" s="8"/>
      <c r="B5" s="9" t="str">
        <f>[22]И1!D14</f>
        <v>Тип муниципального образования (выберите из списка)</v>
      </c>
      <c r="C5" s="10" t="str">
        <f>[23]И1!E14</f>
        <v>поселок Керамкомбинат, Искитимский муниципальный район</v>
      </c>
    </row>
    <row r="6" spans="1:3" x14ac:dyDescent="0.2">
      <c r="A6" s="8"/>
      <c r="B6" s="9" t="str">
        <f>IF([22]И1!E15="","",[22]И1!D15)</f>
        <v/>
      </c>
      <c r="C6" s="7">
        <f>IF([22]И1!E15="","",[22]И1!E15)</f>
        <v>0</v>
      </c>
    </row>
    <row r="7" spans="1:3" x14ac:dyDescent="0.2">
      <c r="A7" s="8"/>
      <c r="B7" s="9" t="str">
        <f>[22]И1!D16</f>
        <v>Код ОКТМО</v>
      </c>
      <c r="C7" s="11" t="str">
        <f>[23]И1!E16</f>
        <v xml:space="preserve"> (50615420101)</v>
      </c>
    </row>
    <row r="8" spans="1:3" x14ac:dyDescent="0.2">
      <c r="A8" s="8"/>
      <c r="B8" s="12" t="str">
        <f>[22]И1!D17</f>
        <v>Система теплоснабжения</v>
      </c>
      <c r="C8" s="13">
        <f>[22]И1!E17</f>
        <v>0</v>
      </c>
    </row>
    <row r="9" spans="1:3" x14ac:dyDescent="0.2">
      <c r="A9" s="8"/>
      <c r="B9" s="9" t="str">
        <f>[22]И1!D8</f>
        <v>Период регулирования (i)-й</v>
      </c>
      <c r="C9" s="14">
        <f>[22]И1!E8</f>
        <v>2026</v>
      </c>
    </row>
    <row r="10" spans="1:3" x14ac:dyDescent="0.2">
      <c r="A10" s="8"/>
      <c r="B10" s="9" t="str">
        <f>[22]И1!D9</f>
        <v>Период регулирования (i-1)-й</v>
      </c>
      <c r="C10" s="14">
        <f>[22]И1!E9</f>
        <v>2025</v>
      </c>
    </row>
    <row r="11" spans="1:3" x14ac:dyDescent="0.2">
      <c r="A11" s="8"/>
      <c r="B11" s="9" t="str">
        <f>[22]И1!D10</f>
        <v>Период регулирования (i-2)-й</v>
      </c>
      <c r="C11" s="14">
        <f>[22]И1!E10</f>
        <v>2024</v>
      </c>
    </row>
    <row r="12" spans="1:3" x14ac:dyDescent="0.2">
      <c r="A12" s="8"/>
      <c r="B12" s="9" t="str">
        <f>[22]И1!D11</f>
        <v>Базовый год (б)</v>
      </c>
      <c r="C12" s="14">
        <f>[22]И1!E11</f>
        <v>2019</v>
      </c>
    </row>
    <row r="13" spans="1:3" x14ac:dyDescent="0.2">
      <c r="A13" s="8"/>
      <c r="B13" s="9" t="str">
        <f>[22]И1!D18</f>
        <v>Вид топлива, использование которого преобладает в системе теплоснабжения</v>
      </c>
      <c r="C13" s="15" t="str">
        <f>[22]И1!E18</f>
        <v>Газ</v>
      </c>
    </row>
    <row r="14" spans="1:3" ht="26.25" customHeight="1" thickBot="1" x14ac:dyDescent="0.25">
      <c r="A14" s="147" t="s">
        <v>3</v>
      </c>
      <c r="B14" s="147"/>
      <c r="C14" s="147"/>
    </row>
    <row r="15" spans="1:3" x14ac:dyDescent="0.2">
      <c r="A15" s="16" t="s">
        <v>4</v>
      </c>
      <c r="B15" s="30" t="s">
        <v>5</v>
      </c>
      <c r="C15" s="118" t="s">
        <v>6</v>
      </c>
    </row>
    <row r="16" spans="1:3" x14ac:dyDescent="0.2">
      <c r="A16" s="19">
        <v>1</v>
      </c>
      <c r="B16" s="119">
        <v>2</v>
      </c>
      <c r="C16" s="120">
        <v>3</v>
      </c>
    </row>
    <row r="17" spans="1:3" x14ac:dyDescent="0.2">
      <c r="A17" s="22">
        <v>1</v>
      </c>
      <c r="B17" s="23" t="s">
        <v>7</v>
      </c>
      <c r="C17" s="24">
        <f>SUM(C18:C23)</f>
        <v>4354.7537785102486</v>
      </c>
    </row>
    <row r="18" spans="1:3" ht="42.75" x14ac:dyDescent="0.2">
      <c r="A18" s="22" t="s">
        <v>8</v>
      </c>
      <c r="B18" s="25" t="s">
        <v>9</v>
      </c>
      <c r="C18" s="26">
        <f>[22]С1!F12</f>
        <v>1278.3072413778675</v>
      </c>
    </row>
    <row r="19" spans="1:3" ht="42.75" x14ac:dyDescent="0.2">
      <c r="A19" s="22" t="s">
        <v>10</v>
      </c>
      <c r="B19" s="25" t="s">
        <v>11</v>
      </c>
      <c r="C19" s="26">
        <f>[22]С2!F12</f>
        <v>2138.4809328120286</v>
      </c>
    </row>
    <row r="20" spans="1:3" ht="30" x14ac:dyDescent="0.2">
      <c r="A20" s="22" t="s">
        <v>12</v>
      </c>
      <c r="B20" s="25" t="s">
        <v>13</v>
      </c>
      <c r="C20" s="26">
        <f>[22]С3!F12</f>
        <v>648.30389958699197</v>
      </c>
    </row>
    <row r="21" spans="1:3" ht="42.75" x14ac:dyDescent="0.2">
      <c r="A21" s="22" t="s">
        <v>14</v>
      </c>
      <c r="B21" s="25" t="s">
        <v>228</v>
      </c>
      <c r="C21" s="26">
        <f>[22]С4!F12</f>
        <v>204.2743757429636</v>
      </c>
    </row>
    <row r="22" spans="1:3" ht="33" customHeight="1" x14ac:dyDescent="0.2">
      <c r="A22" s="22" t="s">
        <v>16</v>
      </c>
      <c r="B22" s="25" t="s">
        <v>229</v>
      </c>
      <c r="C22" s="26">
        <f>[22]С5!F12</f>
        <v>85.387328990397037</v>
      </c>
    </row>
    <row r="23" spans="1:3" ht="45.75" customHeight="1" thickBot="1" x14ac:dyDescent="0.25">
      <c r="A23" s="27" t="s">
        <v>18</v>
      </c>
      <c r="B23" s="140" t="s">
        <v>230</v>
      </c>
      <c r="C23" s="28">
        <f>[22]С6!F12</f>
        <v>0</v>
      </c>
    </row>
    <row r="24" spans="1:3" ht="13.5" thickBot="1" x14ac:dyDescent="0.25">
      <c r="A24" s="3"/>
      <c r="C24" s="7"/>
    </row>
    <row r="25" spans="1:3" x14ac:dyDescent="0.2">
      <c r="A25" s="16" t="s">
        <v>4</v>
      </c>
      <c r="B25" s="29" t="s">
        <v>5</v>
      </c>
      <c r="C25" s="30" t="s">
        <v>6</v>
      </c>
    </row>
    <row r="26" spans="1:3" x14ac:dyDescent="0.2">
      <c r="A26" s="19">
        <v>1</v>
      </c>
      <c r="B26" s="31">
        <v>2</v>
      </c>
      <c r="C26" s="32">
        <v>3</v>
      </c>
    </row>
    <row r="27" spans="1:3" ht="30" customHeight="1" x14ac:dyDescent="0.2">
      <c r="A27" s="22">
        <v>1</v>
      </c>
      <c r="B27" s="144" t="s">
        <v>20</v>
      </c>
      <c r="C27" s="144"/>
    </row>
    <row r="28" spans="1:3" x14ac:dyDescent="0.2">
      <c r="A28" s="22" t="s">
        <v>8</v>
      </c>
      <c r="B28" s="33" t="s">
        <v>231</v>
      </c>
      <c r="C28" s="34">
        <f>[22]С1.1!E16</f>
        <v>7900</v>
      </c>
    </row>
    <row r="29" spans="1:3" ht="42.75" x14ac:dyDescent="0.2">
      <c r="A29" s="22" t="s">
        <v>10</v>
      </c>
      <c r="B29" s="33" t="s">
        <v>232</v>
      </c>
      <c r="C29" s="34">
        <f>[22]С1.1!E32</f>
        <v>6710.12</v>
      </c>
    </row>
    <row r="30" spans="1:3" ht="128.25" customHeight="1" x14ac:dyDescent="0.2">
      <c r="A30" s="22" t="s">
        <v>233</v>
      </c>
      <c r="B30" s="33" t="s">
        <v>234</v>
      </c>
      <c r="C30" s="85" t="str">
        <f>[22]С1.1!E25</f>
        <v>ООО "Газпром межрегионгаз Новосибирск", ООО "Газпром газораспределение Томск" (с 17.02.2025 ООО "Газпром газораспределение Сибирь")</v>
      </c>
    </row>
    <row r="31" spans="1:3" ht="38.25" x14ac:dyDescent="0.2">
      <c r="A31" s="22" t="s">
        <v>235</v>
      </c>
      <c r="B31" s="33" t="str">
        <f>[22]С1.1!D26</f>
        <v>Среднеарифметическое значение между установленными предельными максимальным и минимальным уровнями оптовых цен, действовавшими на день окончания (i-2)-го расчетного периода регулирования в системе теплоснабжения, без НДС, руб./тыс. куб. м</v>
      </c>
      <c r="C31" s="34">
        <f>[22]С1.1!E26</f>
        <v>5670</v>
      </c>
    </row>
    <row r="32" spans="1:3" ht="46.5" customHeight="1" x14ac:dyDescent="0.2">
      <c r="A32" s="22" t="s">
        <v>236</v>
      </c>
      <c r="B32" s="33" t="str">
        <f>[22]С1.1!D27</f>
        <v>Тариф на услуги по транспортировке газа по газораспределительным сетям, действовавший на день окончания (i-2)-го расчетного периода регулирования в системе теплоснабжения, без НДС, руб./тыс. куб. м</v>
      </c>
      <c r="C32" s="34">
        <f>[22]С1.1!E27</f>
        <v>689.14</v>
      </c>
    </row>
    <row r="33" spans="1:3" ht="39" customHeight="1" x14ac:dyDescent="0.2">
      <c r="A33" s="22" t="s">
        <v>237</v>
      </c>
      <c r="B33" s="33" t="str">
        <f>[22]С1.1!D28</f>
        <v>Размер платы за снабженческо-сбытовые услуги, действовавший на день окончания (i-2)-го расчетного периода регулирования в системе теплоснабжения, без НДС, руб./тыс. куб. м</v>
      </c>
      <c r="C33" s="34">
        <f>[22]С1.1!E28</f>
        <v>144.72999999999999</v>
      </c>
    </row>
    <row r="34" spans="1:3" ht="90" customHeight="1" x14ac:dyDescent="0.2">
      <c r="A34" s="22" t="s">
        <v>238</v>
      </c>
      <c r="B34" s="33" t="str">
        <f>[22]С1.1!D29</f>
        <v>Специальная надбавка к тарифам на услуги по транспортировке газа по газораспределительным сетям, действовавшая на день окончания (i-2)-го расчетного периода регулирования в системе теплоснабжения, без НДС, руб./тыс. куб. м</v>
      </c>
      <c r="C34" s="34">
        <f>[22]С1.1!E29</f>
        <v>206.25</v>
      </c>
    </row>
    <row r="35" spans="1:3" ht="287.25" customHeight="1" x14ac:dyDescent="0.2">
      <c r="A35" s="22" t="s">
        <v>12</v>
      </c>
      <c r="B35" s="33" t="s">
        <v>23</v>
      </c>
      <c r="C35" s="35">
        <f>[22]С1.1!E20</f>
        <v>0.21299999999999999</v>
      </c>
    </row>
    <row r="36" spans="1:3" ht="298.5" customHeight="1" x14ac:dyDescent="0.2">
      <c r="A36" s="22" t="s">
        <v>14</v>
      </c>
      <c r="B36" s="33" t="s">
        <v>24</v>
      </c>
      <c r="C36" s="35">
        <f>[22]С1.1!E21</f>
        <v>9.6000000000000002E-2</v>
      </c>
    </row>
    <row r="37" spans="1:3" ht="30" x14ac:dyDescent="0.2">
      <c r="A37" s="22" t="s">
        <v>16</v>
      </c>
      <c r="B37" s="36" t="s">
        <v>239</v>
      </c>
      <c r="C37" s="121">
        <f>[22]С1!F13</f>
        <v>156.1</v>
      </c>
    </row>
    <row r="38" spans="1:3" x14ac:dyDescent="0.2">
      <c r="A38" s="22" t="s">
        <v>18</v>
      </c>
      <c r="B38" s="36" t="s">
        <v>26</v>
      </c>
      <c r="C38" s="38">
        <f>[22]С1!F16</f>
        <v>7000</v>
      </c>
    </row>
    <row r="39" spans="1:3" ht="14.25" x14ac:dyDescent="0.2">
      <c r="A39" s="122" t="s">
        <v>27</v>
      </c>
      <c r="B39" s="39" t="s">
        <v>240</v>
      </c>
      <c r="C39" s="40">
        <f>[22]С1!F17</f>
        <v>1.1285714285714286</v>
      </c>
    </row>
    <row r="40" spans="1:3" ht="15.75" x14ac:dyDescent="0.2">
      <c r="A40" s="123" t="s">
        <v>29</v>
      </c>
      <c r="B40" s="42" t="s">
        <v>30</v>
      </c>
      <c r="C40" s="40">
        <f>[22]С1!F20</f>
        <v>22.307053372799995</v>
      </c>
    </row>
    <row r="41" spans="1:3" ht="15.75" x14ac:dyDescent="0.2">
      <c r="A41" s="123" t="s">
        <v>31</v>
      </c>
      <c r="B41" s="43" t="s">
        <v>32</v>
      </c>
      <c r="C41" s="40">
        <f>[22]С1!F21</f>
        <v>21.531904799999996</v>
      </c>
    </row>
    <row r="42" spans="1:3" ht="14.25" x14ac:dyDescent="0.2">
      <c r="A42" s="123" t="s">
        <v>33</v>
      </c>
      <c r="B42" s="44" t="s">
        <v>34</v>
      </c>
      <c r="C42" s="40">
        <f>[22]С1!F22</f>
        <v>1.036</v>
      </c>
    </row>
    <row r="43" spans="1:3" ht="53.25" thickBot="1" x14ac:dyDescent="0.25">
      <c r="A43" s="27" t="s">
        <v>35</v>
      </c>
      <c r="B43" s="45" t="s">
        <v>36</v>
      </c>
      <c r="C43" s="46" t="str">
        <f>[22]С1!F23</f>
        <v>-</v>
      </c>
    </row>
    <row r="44" spans="1:3" ht="13.5" thickBot="1" x14ac:dyDescent="0.25">
      <c r="A44" s="47"/>
      <c r="B44" s="75"/>
      <c r="C44" s="15"/>
    </row>
    <row r="45" spans="1:3" ht="30" customHeight="1" x14ac:dyDescent="0.2">
      <c r="A45" s="50" t="s">
        <v>37</v>
      </c>
      <c r="B45" s="145" t="s">
        <v>38</v>
      </c>
      <c r="C45" s="145"/>
    </row>
    <row r="46" spans="1:3" ht="25.5" x14ac:dyDescent="0.2">
      <c r="A46" s="22" t="s">
        <v>39</v>
      </c>
      <c r="B46" s="36" t="s">
        <v>40</v>
      </c>
      <c r="C46" s="51" t="str">
        <f>[22]С2.1!E12</f>
        <v>V</v>
      </c>
    </row>
    <row r="47" spans="1:3" ht="25.5" x14ac:dyDescent="0.2">
      <c r="A47" s="22" t="s">
        <v>41</v>
      </c>
      <c r="B47" s="33" t="s">
        <v>42</v>
      </c>
      <c r="C47" s="51" t="str">
        <f>[22]С2.1!E13</f>
        <v>6 и менее баллов</v>
      </c>
    </row>
    <row r="48" spans="1:3" ht="25.5" x14ac:dyDescent="0.2">
      <c r="A48" s="22" t="s">
        <v>43</v>
      </c>
      <c r="B48" s="33" t="s">
        <v>241</v>
      </c>
      <c r="C48" s="51" t="str">
        <f>[22]С2.1!E14</f>
        <v>до 200</v>
      </c>
    </row>
    <row r="49" spans="1:3" ht="25.5" x14ac:dyDescent="0.2">
      <c r="A49" s="22" t="s">
        <v>45</v>
      </c>
      <c r="B49" s="33" t="s">
        <v>242</v>
      </c>
      <c r="C49" s="52" t="str">
        <f>[22]С2.1!E15</f>
        <v>нет</v>
      </c>
    </row>
    <row r="50" spans="1:3" ht="30" x14ac:dyDescent="0.2">
      <c r="A50" s="22" t="s">
        <v>47</v>
      </c>
      <c r="B50" s="33" t="s">
        <v>48</v>
      </c>
      <c r="C50" s="34">
        <f>[22]С2!F18</f>
        <v>40220.845230503684</v>
      </c>
    </row>
    <row r="51" spans="1:3" ht="30" x14ac:dyDescent="0.2">
      <c r="A51" s="22" t="s">
        <v>49</v>
      </c>
      <c r="B51" s="53" t="s">
        <v>50</v>
      </c>
      <c r="C51" s="34">
        <f>IF([22]С2!F19&gt;0,[22]С2!F19,[22]С2!F20)</f>
        <v>23441.524932855718</v>
      </c>
    </row>
    <row r="52" spans="1:3" ht="163.5" customHeight="1" x14ac:dyDescent="0.2">
      <c r="A52" s="22" t="s">
        <v>51</v>
      </c>
      <c r="B52" s="54" t="s">
        <v>52</v>
      </c>
      <c r="C52" s="34">
        <f>[22]С2.1!E20</f>
        <v>-37</v>
      </c>
    </row>
    <row r="53" spans="1:3" ht="42.75" customHeight="1" x14ac:dyDescent="0.2">
      <c r="A53" s="22" t="s">
        <v>53</v>
      </c>
      <c r="B53" s="54" t="s">
        <v>54</v>
      </c>
      <c r="C53" s="34" t="str">
        <f>[22]С2.1!E23</f>
        <v>нет</v>
      </c>
    </row>
    <row r="54" spans="1:3" ht="38.25" x14ac:dyDescent="0.2">
      <c r="A54" s="22" t="s">
        <v>55</v>
      </c>
      <c r="B54" s="55" t="s">
        <v>56</v>
      </c>
      <c r="C54" s="34">
        <f>[22]С2.2!E10</f>
        <v>1287</v>
      </c>
    </row>
    <row r="55" spans="1:3" ht="25.5" x14ac:dyDescent="0.2">
      <c r="A55" s="22" t="s">
        <v>57</v>
      </c>
      <c r="B55" s="56" t="s">
        <v>58</v>
      </c>
      <c r="C55" s="34">
        <f>[22]С2.2!E12</f>
        <v>5.97</v>
      </c>
    </row>
    <row r="56" spans="1:3" ht="52.5" x14ac:dyDescent="0.2">
      <c r="A56" s="22" t="s">
        <v>59</v>
      </c>
      <c r="B56" s="57" t="s">
        <v>60</v>
      </c>
      <c r="C56" s="34">
        <f>[22]С2.2!E13</f>
        <v>1</v>
      </c>
    </row>
    <row r="57" spans="1:3" ht="27.75" x14ac:dyDescent="0.2">
      <c r="A57" s="22" t="s">
        <v>61</v>
      </c>
      <c r="B57" s="56" t="s">
        <v>62</v>
      </c>
      <c r="C57" s="34">
        <f>[22]С2.2!E14</f>
        <v>12104</v>
      </c>
    </row>
    <row r="58" spans="1:3" ht="109.5" customHeight="1" x14ac:dyDescent="0.2">
      <c r="A58" s="22" t="s">
        <v>63</v>
      </c>
      <c r="B58" s="57" t="s">
        <v>64</v>
      </c>
      <c r="C58" s="35">
        <f>[22]С2.2!E15</f>
        <v>4.8000000000000001E-2</v>
      </c>
    </row>
    <row r="59" spans="1:3" ht="104.25" customHeight="1" x14ac:dyDescent="0.2">
      <c r="A59" s="22" t="s">
        <v>65</v>
      </c>
      <c r="B59" s="57" t="s">
        <v>66</v>
      </c>
      <c r="C59" s="124">
        <f>[22]С2.2!E16</f>
        <v>1</v>
      </c>
    </row>
    <row r="60" spans="1:3" ht="15.75" x14ac:dyDescent="0.2">
      <c r="A60" s="22" t="s">
        <v>67</v>
      </c>
      <c r="B60" s="58" t="s">
        <v>68</v>
      </c>
      <c r="C60" s="34">
        <f>[22]С2!F21</f>
        <v>1</v>
      </c>
    </row>
    <row r="61" spans="1:3" ht="30" x14ac:dyDescent="0.2">
      <c r="A61" s="59" t="s">
        <v>69</v>
      </c>
      <c r="B61" s="33" t="s">
        <v>243</v>
      </c>
      <c r="C61" s="34">
        <f>[22]С2!F13</f>
        <v>119259.45174981897</v>
      </c>
    </row>
    <row r="62" spans="1:3" ht="30" x14ac:dyDescent="0.2">
      <c r="A62" s="59" t="s">
        <v>71</v>
      </c>
      <c r="B62" s="60" t="s">
        <v>244</v>
      </c>
      <c r="C62" s="34">
        <f>[22]С2!F14</f>
        <v>64899</v>
      </c>
    </row>
    <row r="63" spans="1:3" ht="15.75" x14ac:dyDescent="0.2">
      <c r="A63" s="59" t="s">
        <v>73</v>
      </c>
      <c r="B63" s="60" t="s">
        <v>74</v>
      </c>
      <c r="C63" s="40">
        <f>[22]С2!F15</f>
        <v>1.071</v>
      </c>
    </row>
    <row r="64" spans="1:3" ht="15.75" x14ac:dyDescent="0.2">
      <c r="A64" s="59" t="s">
        <v>75</v>
      </c>
      <c r="B64" s="60" t="s">
        <v>76</v>
      </c>
      <c r="C64" s="125">
        <f>[22]С2!F16</f>
        <v>1</v>
      </c>
    </row>
    <row r="65" spans="1:3" ht="17.25" x14ac:dyDescent="0.2">
      <c r="A65" s="59" t="s">
        <v>77</v>
      </c>
      <c r="B65" s="60" t="s">
        <v>78</v>
      </c>
      <c r="C65" s="126">
        <f>[22]С2!F17</f>
        <v>1</v>
      </c>
    </row>
    <row r="66" spans="1:3" s="63" customFormat="1" ht="14.25" x14ac:dyDescent="0.2">
      <c r="A66" s="59" t="s">
        <v>79</v>
      </c>
      <c r="B66" s="61" t="s">
        <v>80</v>
      </c>
      <c r="C66" s="62">
        <f>[22]С2!F35</f>
        <v>10</v>
      </c>
    </row>
    <row r="67" spans="1:3" ht="30" x14ac:dyDescent="0.2">
      <c r="A67" s="59" t="s">
        <v>81</v>
      </c>
      <c r="B67" s="64" t="s">
        <v>82</v>
      </c>
      <c r="C67" s="34">
        <f>[22]С2!F28</f>
        <v>379.2714742785962</v>
      </c>
    </row>
    <row r="68" spans="1:3" ht="274.5" customHeight="1" x14ac:dyDescent="0.2">
      <c r="A68" s="59" t="s">
        <v>83</v>
      </c>
      <c r="B68" s="53" t="s">
        <v>245</v>
      </c>
      <c r="C68" s="40">
        <f>[22]С2!F29</f>
        <v>0.44209422600000003</v>
      </c>
    </row>
    <row r="69" spans="1:3" ht="17.25" x14ac:dyDescent="0.2">
      <c r="A69" s="59" t="s">
        <v>85</v>
      </c>
      <c r="B69" s="58" t="s">
        <v>246</v>
      </c>
      <c r="C69" s="62">
        <f>[22]С2!F30</f>
        <v>500</v>
      </c>
    </row>
    <row r="70" spans="1:3" ht="42.75" x14ac:dyDescent="0.2">
      <c r="A70" s="59" t="s">
        <v>87</v>
      </c>
      <c r="B70" s="33" t="s">
        <v>247</v>
      </c>
      <c r="C70" s="34">
        <f>[22]С2!F22</f>
        <v>24548.869037237404</v>
      </c>
    </row>
    <row r="71" spans="1:3" ht="30" x14ac:dyDescent="0.2">
      <c r="A71" s="59" t="s">
        <v>89</v>
      </c>
      <c r="B71" s="60" t="s">
        <v>248</v>
      </c>
      <c r="C71" s="34">
        <f>[22]С2!F23</f>
        <v>21</v>
      </c>
    </row>
    <row r="72" spans="1:3" ht="30" x14ac:dyDescent="0.2">
      <c r="A72" s="59" t="s">
        <v>91</v>
      </c>
      <c r="B72" s="53" t="s">
        <v>92</v>
      </c>
      <c r="C72" s="34">
        <f>[22]С2.1!E28</f>
        <v>5515.9310416666667</v>
      </c>
    </row>
    <row r="73" spans="1:3" ht="38.25" x14ac:dyDescent="0.2">
      <c r="A73" s="59" t="s">
        <v>93</v>
      </c>
      <c r="B73" s="65" t="s">
        <v>94</v>
      </c>
      <c r="C73" s="52" t="str">
        <f>[22]С2.3!E21</f>
        <v>МУП г. Новосибирска "Горводоканал"</v>
      </c>
    </row>
    <row r="74" spans="1:3" ht="25.5" x14ac:dyDescent="0.2">
      <c r="A74" s="59" t="s">
        <v>95</v>
      </c>
      <c r="B74" s="66" t="s">
        <v>96</v>
      </c>
      <c r="C74" s="67">
        <f>[22]С2.3!E11</f>
        <v>5.45</v>
      </c>
    </row>
    <row r="75" spans="1:3" ht="25.5" x14ac:dyDescent="0.2">
      <c r="A75" s="59" t="s">
        <v>97</v>
      </c>
      <c r="B75" s="66" t="s">
        <v>98</v>
      </c>
      <c r="C75" s="62">
        <f>[22]С2.3!E13</f>
        <v>300</v>
      </c>
    </row>
    <row r="76" spans="1:3" ht="336" customHeight="1" x14ac:dyDescent="0.2">
      <c r="A76" s="59" t="s">
        <v>99</v>
      </c>
      <c r="B76" s="65" t="s">
        <v>100</v>
      </c>
      <c r="C76" s="68">
        <f>IF([22]С2.3!E22&gt;0,[22]С2.3!E22,[22]С2.3!E14)</f>
        <v>20170.833333333332</v>
      </c>
    </row>
    <row r="77" spans="1:3" ht="38.25" x14ac:dyDescent="0.2">
      <c r="A77" s="59" t="s">
        <v>101</v>
      </c>
      <c r="B77" s="65" t="s">
        <v>102</v>
      </c>
      <c r="C77" s="68">
        <f>IF([22]С2.3!E23&gt;0,[22]С2.3!E23,[22]С2.3!E15)</f>
        <v>18020</v>
      </c>
    </row>
    <row r="78" spans="1:3" ht="30" x14ac:dyDescent="0.2">
      <c r="A78" s="59" t="s">
        <v>103</v>
      </c>
      <c r="B78" s="53" t="s">
        <v>104</v>
      </c>
      <c r="C78" s="34">
        <f>[22]С2.1!E29</f>
        <v>5878.6480833333326</v>
      </c>
    </row>
    <row r="79" spans="1:3" ht="38.25" x14ac:dyDescent="0.2">
      <c r="A79" s="59" t="s">
        <v>105</v>
      </c>
      <c r="B79" s="65" t="s">
        <v>106</v>
      </c>
      <c r="C79" s="52" t="str">
        <f>[22]С2.3!E25</f>
        <v>МУП г. Новосибирска "Горводоканал"</v>
      </c>
    </row>
    <row r="80" spans="1:3" ht="25.5" x14ac:dyDescent="0.2">
      <c r="A80" s="59" t="s">
        <v>107</v>
      </c>
      <c r="B80" s="66" t="s">
        <v>108</v>
      </c>
      <c r="C80" s="67">
        <f>[22]С2.3!E12</f>
        <v>0.2</v>
      </c>
    </row>
    <row r="81" spans="1:3" ht="25.5" x14ac:dyDescent="0.2">
      <c r="A81" s="59" t="s">
        <v>109</v>
      </c>
      <c r="B81" s="66" t="s">
        <v>98</v>
      </c>
      <c r="C81" s="62">
        <f>[22]С2.3!E13</f>
        <v>300</v>
      </c>
    </row>
    <row r="82" spans="1:3" ht="330" customHeight="1" x14ac:dyDescent="0.2">
      <c r="A82" s="59" t="s">
        <v>110</v>
      </c>
      <c r="B82" s="69" t="s">
        <v>111</v>
      </c>
      <c r="C82" s="68">
        <f>IF([22]С2.3!E26&gt;0,[22]С2.3!E26,[22]С2.3!E16)</f>
        <v>38240.416666666664</v>
      </c>
    </row>
    <row r="83" spans="1:3" ht="322.5" customHeight="1" x14ac:dyDescent="0.2">
      <c r="A83" s="59" t="s">
        <v>112</v>
      </c>
      <c r="B83" s="69" t="s">
        <v>113</v>
      </c>
      <c r="C83" s="68">
        <f>IF([22]С2.3!E27&gt;0,[22]С2.3!E27,[22]С2.3!E17)</f>
        <v>19570</v>
      </c>
    </row>
    <row r="84" spans="1:3" ht="30" x14ac:dyDescent="0.2">
      <c r="A84" s="59" t="s">
        <v>249</v>
      </c>
      <c r="B84" s="60" t="s">
        <v>250</v>
      </c>
      <c r="C84" s="68">
        <f>IF([22]С2.1!E19&gt;0,[22]С2.1!E19,[22]С2!F26)</f>
        <v>2892</v>
      </c>
    </row>
    <row r="85" spans="1:3" ht="17.25" x14ac:dyDescent="0.2">
      <c r="A85" s="59" t="s">
        <v>114</v>
      </c>
      <c r="B85" s="33" t="s">
        <v>115</v>
      </c>
      <c r="C85" s="35">
        <f>[22]С2!F31</f>
        <v>0.21369165990259753</v>
      </c>
    </row>
    <row r="86" spans="1:3" ht="30" x14ac:dyDescent="0.2">
      <c r="A86" s="59" t="s">
        <v>116</v>
      </c>
      <c r="B86" s="53" t="s">
        <v>117</v>
      </c>
      <c r="C86" s="70">
        <f>[22]С2!F32</f>
        <v>0.20047619047619047</v>
      </c>
    </row>
    <row r="87" spans="1:3" ht="17.25" x14ac:dyDescent="0.2">
      <c r="A87" s="59" t="s">
        <v>118</v>
      </c>
      <c r="B87" s="71" t="s">
        <v>119</v>
      </c>
      <c r="C87" s="35">
        <f>[22]С2!F33</f>
        <v>0.13880000000000001</v>
      </c>
    </row>
    <row r="88" spans="1:3" s="63" customFormat="1" ht="18" thickBot="1" x14ac:dyDescent="0.25">
      <c r="A88" s="72" t="s">
        <v>120</v>
      </c>
      <c r="B88" s="73" t="s">
        <v>121</v>
      </c>
      <c r="C88" s="74">
        <f>[22]С2!F34</f>
        <v>0.12640000000000001</v>
      </c>
    </row>
    <row r="89" spans="1:3" ht="13.5" thickBot="1" x14ac:dyDescent="0.25">
      <c r="A89" s="47"/>
      <c r="B89" s="75"/>
      <c r="C89" s="15"/>
    </row>
    <row r="90" spans="1:3" s="63" customFormat="1" ht="30" customHeight="1" x14ac:dyDescent="0.2">
      <c r="A90" s="76" t="s">
        <v>122</v>
      </c>
      <c r="B90" s="145" t="s">
        <v>123</v>
      </c>
      <c r="C90" s="145"/>
    </row>
    <row r="91" spans="1:3" s="63" customFormat="1" ht="30" x14ac:dyDescent="0.2">
      <c r="A91" s="77" t="s">
        <v>124</v>
      </c>
      <c r="B91" s="33" t="s">
        <v>125</v>
      </c>
      <c r="C91" s="34">
        <f>[22]С3!F14</f>
        <v>11258.985598028818</v>
      </c>
    </row>
    <row r="92" spans="1:3" s="63" customFormat="1" ht="42.75" x14ac:dyDescent="0.2">
      <c r="A92" s="77" t="s">
        <v>126</v>
      </c>
      <c r="B92" s="53" t="s">
        <v>127</v>
      </c>
      <c r="C92" s="78">
        <f>[22]С3!F15</f>
        <v>0.25</v>
      </c>
    </row>
    <row r="93" spans="1:3" s="63" customFormat="1" ht="14.25" x14ac:dyDescent="0.2">
      <c r="A93" s="77" t="s">
        <v>128</v>
      </c>
      <c r="B93" s="79" t="s">
        <v>129</v>
      </c>
      <c r="C93" s="62">
        <f>[22]С3!F18</f>
        <v>15</v>
      </c>
    </row>
    <row r="94" spans="1:3" s="63" customFormat="1" ht="17.25" x14ac:dyDescent="0.2">
      <c r="A94" s="77" t="s">
        <v>130</v>
      </c>
      <c r="B94" s="33" t="s">
        <v>131</v>
      </c>
      <c r="C94" s="34">
        <f>[22]С3!F19</f>
        <v>2699.0944349242141</v>
      </c>
    </row>
    <row r="95" spans="1:3" s="63" customFormat="1" ht="55.5" x14ac:dyDescent="0.2">
      <c r="A95" s="77" t="s">
        <v>132</v>
      </c>
      <c r="B95" s="53" t="s">
        <v>133</v>
      </c>
      <c r="C95" s="80">
        <f>[22]С3!F20</f>
        <v>2.1999999999999999E-2</v>
      </c>
    </row>
    <row r="96" spans="1:3" s="63" customFormat="1" ht="14.25" x14ac:dyDescent="0.2">
      <c r="A96" s="77" t="s">
        <v>134</v>
      </c>
      <c r="B96" s="58" t="s">
        <v>80</v>
      </c>
      <c r="C96" s="62">
        <f>[22]С3!F21</f>
        <v>10</v>
      </c>
    </row>
    <row r="97" spans="1:3" s="63" customFormat="1" ht="17.25" x14ac:dyDescent="0.2">
      <c r="A97" s="77" t="s">
        <v>135</v>
      </c>
      <c r="B97" s="33" t="s">
        <v>136</v>
      </c>
      <c r="C97" s="34">
        <f>[22]С3!F22</f>
        <v>1.1378144228357887</v>
      </c>
    </row>
    <row r="98" spans="1:3" s="63" customFormat="1" ht="161.25" customHeight="1" x14ac:dyDescent="0.2">
      <c r="A98" s="77" t="s">
        <v>137</v>
      </c>
      <c r="B98" s="53" t="s">
        <v>138</v>
      </c>
      <c r="C98" s="80">
        <f>[22]С3!F23</f>
        <v>3.0000000000000001E-3</v>
      </c>
    </row>
    <row r="99" spans="1:3" s="63" customFormat="1" ht="30.75" thickBot="1" x14ac:dyDescent="0.25">
      <c r="A99" s="81" t="s">
        <v>139</v>
      </c>
      <c r="B99" s="82" t="s">
        <v>82</v>
      </c>
      <c r="C99" s="83">
        <f>[22]С3!F24</f>
        <v>379.2714742785962</v>
      </c>
    </row>
    <row r="100" spans="1:3" ht="13.5" thickBot="1" x14ac:dyDescent="0.25">
      <c r="A100" s="47"/>
      <c r="B100" s="75"/>
      <c r="C100" s="15"/>
    </row>
    <row r="101" spans="1:3" ht="30" customHeight="1" x14ac:dyDescent="0.2">
      <c r="A101" s="84" t="s">
        <v>141</v>
      </c>
      <c r="B101" s="145" t="s">
        <v>142</v>
      </c>
      <c r="C101" s="145"/>
    </row>
    <row r="102" spans="1:3" ht="30" x14ac:dyDescent="0.2">
      <c r="A102" s="59" t="s">
        <v>143</v>
      </c>
      <c r="B102" s="33" t="s">
        <v>251</v>
      </c>
      <c r="C102" s="34">
        <f>[22]С4!F16</f>
        <v>832.33500000000004</v>
      </c>
    </row>
    <row r="103" spans="1:3" ht="30" x14ac:dyDescent="0.2">
      <c r="A103" s="59" t="s">
        <v>145</v>
      </c>
      <c r="B103" s="58" t="s">
        <v>252</v>
      </c>
      <c r="C103" s="34">
        <f>[22]С4!F17</f>
        <v>43385</v>
      </c>
    </row>
    <row r="104" spans="1:3" ht="17.25" x14ac:dyDescent="0.2">
      <c r="A104" s="59" t="s">
        <v>147</v>
      </c>
      <c r="B104" s="58" t="s">
        <v>148</v>
      </c>
      <c r="C104" s="40">
        <f>[22]С4!F18</f>
        <v>1.4999999999999999E-2</v>
      </c>
    </row>
    <row r="105" spans="1:3" ht="30" x14ac:dyDescent="0.2">
      <c r="A105" s="59" t="s">
        <v>149</v>
      </c>
      <c r="B105" s="58" t="s">
        <v>150</v>
      </c>
      <c r="C105" s="34">
        <f>[22]С4!F19</f>
        <v>12104</v>
      </c>
    </row>
    <row r="106" spans="1:3" ht="31.5" x14ac:dyDescent="0.2">
      <c r="A106" s="59" t="s">
        <v>151</v>
      </c>
      <c r="B106" s="58" t="s">
        <v>152</v>
      </c>
      <c r="C106" s="40">
        <f>[22]С4!F20</f>
        <v>1.4999999999999999E-2</v>
      </c>
    </row>
    <row r="107" spans="1:3" ht="30" x14ac:dyDescent="0.2">
      <c r="A107" s="59" t="s">
        <v>153</v>
      </c>
      <c r="B107" s="33" t="s">
        <v>253</v>
      </c>
      <c r="C107" s="34">
        <f>[22]С4!F21</f>
        <v>1221.9019409821399</v>
      </c>
    </row>
    <row r="108" spans="1:3" ht="45.6" customHeight="1" x14ac:dyDescent="0.2">
      <c r="A108" s="59" t="s">
        <v>155</v>
      </c>
      <c r="B108" s="53" t="s">
        <v>156</v>
      </c>
      <c r="C108" s="85" t="str">
        <f>IF([22]С4.2!F8="да",[22]С4.2!D21,[22]С4.2!D15)</f>
        <v>АО "Новосибирскэнергосбыт"</v>
      </c>
    </row>
    <row r="109" spans="1:3" ht="68.25" customHeight="1" x14ac:dyDescent="0.2">
      <c r="A109" s="59" t="s">
        <v>157</v>
      </c>
      <c r="B109" s="53" t="s">
        <v>158</v>
      </c>
      <c r="C109" s="34">
        <f>[22]С4!F22</f>
        <v>3.6112641666666665</v>
      </c>
    </row>
    <row r="110" spans="1:3" ht="30" x14ac:dyDescent="0.2">
      <c r="A110" s="59" t="s">
        <v>159</v>
      </c>
      <c r="B110" s="58" t="s">
        <v>254</v>
      </c>
      <c r="C110" s="62">
        <f>[22]С4!F23</f>
        <v>110</v>
      </c>
    </row>
    <row r="111" spans="1:3" ht="14.25" x14ac:dyDescent="0.2">
      <c r="A111" s="59" t="s">
        <v>161</v>
      </c>
      <c r="B111" s="53" t="s">
        <v>162</v>
      </c>
      <c r="C111" s="34">
        <f>[22]С4!F24</f>
        <v>8497.1999999999989</v>
      </c>
    </row>
    <row r="112" spans="1:3" ht="14.25" x14ac:dyDescent="0.2">
      <c r="A112" s="59" t="s">
        <v>163</v>
      </c>
      <c r="B112" s="58" t="s">
        <v>164</v>
      </c>
      <c r="C112" s="40">
        <f>[22]С4!F25</f>
        <v>0.36199999999999999</v>
      </c>
    </row>
    <row r="113" spans="1:3" ht="17.25" x14ac:dyDescent="0.2">
      <c r="A113" s="59" t="s">
        <v>165</v>
      </c>
      <c r="B113" s="33" t="s">
        <v>166</v>
      </c>
      <c r="C113" s="34">
        <f>[22]С4!F26</f>
        <v>57.949419999999996</v>
      </c>
    </row>
    <row r="114" spans="1:3" ht="25.5" x14ac:dyDescent="0.2">
      <c r="A114" s="59" t="s">
        <v>167</v>
      </c>
      <c r="B114" s="53" t="s">
        <v>94</v>
      </c>
      <c r="C114" s="85">
        <f>[22]С4.3!E16</f>
        <v>0</v>
      </c>
    </row>
    <row r="115" spans="1:3" ht="360" customHeight="1" x14ac:dyDescent="0.2">
      <c r="A115" s="59" t="s">
        <v>168</v>
      </c>
      <c r="B115" s="53" t="s">
        <v>169</v>
      </c>
      <c r="C115" s="34">
        <f>[22]С4.3!E17</f>
        <v>28.83</v>
      </c>
    </row>
    <row r="116" spans="1:3" ht="38.25" x14ac:dyDescent="0.2">
      <c r="A116" s="59" t="s">
        <v>170</v>
      </c>
      <c r="B116" s="53" t="s">
        <v>106</v>
      </c>
      <c r="C116" s="85">
        <f>[22]С4.3!E18</f>
        <v>0</v>
      </c>
    </row>
    <row r="117" spans="1:3" ht="374.25" customHeight="1" x14ac:dyDescent="0.2">
      <c r="A117" s="59" t="s">
        <v>171</v>
      </c>
      <c r="B117" s="53" t="s">
        <v>172</v>
      </c>
      <c r="C117" s="34">
        <f>[22]С4.3!E19</f>
        <v>30.82</v>
      </c>
    </row>
    <row r="118" spans="1:3" x14ac:dyDescent="0.2">
      <c r="A118" s="59" t="s">
        <v>173</v>
      </c>
      <c r="B118" s="58" t="s">
        <v>174</v>
      </c>
      <c r="C118" s="62">
        <f>[22]С4.3!E11</f>
        <v>1871</v>
      </c>
    </row>
    <row r="119" spans="1:3" x14ac:dyDescent="0.2">
      <c r="A119" s="59" t="s">
        <v>175</v>
      </c>
      <c r="B119" s="58" t="s">
        <v>176</v>
      </c>
      <c r="C119" s="52">
        <f>[22]С4.3!E12</f>
        <v>61</v>
      </c>
    </row>
    <row r="120" spans="1:3" x14ac:dyDescent="0.2">
      <c r="A120" s="59" t="s">
        <v>177</v>
      </c>
      <c r="B120" s="58" t="s">
        <v>178</v>
      </c>
      <c r="C120" s="52">
        <f>[22]С4.3!E13</f>
        <v>73</v>
      </c>
    </row>
    <row r="121" spans="1:3" ht="30" x14ac:dyDescent="0.2">
      <c r="A121" s="59" t="s">
        <v>179</v>
      </c>
      <c r="B121" s="33" t="s">
        <v>255</v>
      </c>
      <c r="C121" s="34">
        <f>[22]С4!F27</f>
        <v>0</v>
      </c>
    </row>
    <row r="122" spans="1:3" ht="25.5" x14ac:dyDescent="0.2">
      <c r="A122" s="59" t="s">
        <v>181</v>
      </c>
      <c r="B122" s="53" t="s">
        <v>256</v>
      </c>
      <c r="C122" s="34">
        <f>[22]С4!F28</f>
        <v>0</v>
      </c>
    </row>
    <row r="123" spans="1:3" ht="42.75" x14ac:dyDescent="0.2">
      <c r="A123" s="59" t="s">
        <v>183</v>
      </c>
      <c r="B123" s="53" t="s">
        <v>184</v>
      </c>
      <c r="C123" s="34">
        <f>[22]С4!F29</f>
        <v>0</v>
      </c>
    </row>
    <row r="124" spans="1:3" ht="30.75" thickBot="1" x14ac:dyDescent="0.25">
      <c r="A124" s="72" t="s">
        <v>185</v>
      </c>
      <c r="B124" s="90" t="s">
        <v>186</v>
      </c>
      <c r="C124" s="83">
        <f>[22]С4!F30</f>
        <v>774.33815871668401</v>
      </c>
    </row>
    <row r="125" spans="1:3" s="89" customFormat="1" ht="13.5" thickBot="1" x14ac:dyDescent="0.25">
      <c r="A125" s="47"/>
      <c r="B125" s="75"/>
      <c r="C125" s="15"/>
    </row>
    <row r="126" spans="1:3" s="63" customFormat="1" ht="30" customHeight="1" x14ac:dyDescent="0.2">
      <c r="A126" s="76" t="s">
        <v>195</v>
      </c>
      <c r="B126" s="145" t="s">
        <v>196</v>
      </c>
      <c r="C126" s="145"/>
    </row>
    <row r="127" spans="1:3" ht="30.6" customHeight="1" thickBot="1" x14ac:dyDescent="0.25">
      <c r="A127" s="27" t="s">
        <v>197</v>
      </c>
      <c r="B127" s="90" t="s">
        <v>198</v>
      </c>
      <c r="C127" s="83">
        <f>[22]С5!F17</f>
        <v>0.02</v>
      </c>
    </row>
    <row r="128" spans="1:3" s="89" customFormat="1" ht="13.5" thickBot="1" x14ac:dyDescent="0.25">
      <c r="A128" s="47"/>
      <c r="B128" s="75"/>
      <c r="C128" s="15"/>
    </row>
    <row r="129" spans="1:3" ht="42.75" customHeight="1" x14ac:dyDescent="0.2">
      <c r="A129" s="84" t="s">
        <v>199</v>
      </c>
      <c r="B129" s="145" t="s">
        <v>200</v>
      </c>
      <c r="C129" s="145"/>
    </row>
    <row r="130" spans="1:3" ht="68.25" x14ac:dyDescent="0.2">
      <c r="A130" s="59" t="s">
        <v>201</v>
      </c>
      <c r="B130" s="91" t="s">
        <v>202</v>
      </c>
      <c r="C130" s="34" t="str">
        <f>IF([22]С6.1!E11="нет",[22]С6!F13,"")</f>
        <v/>
      </c>
    </row>
    <row r="131" spans="1:3" ht="42.75" x14ac:dyDescent="0.2">
      <c r="A131" s="59" t="s">
        <v>204</v>
      </c>
      <c r="B131" s="86" t="s">
        <v>205</v>
      </c>
      <c r="C131" s="92" t="str">
        <f>IF([22]С6.1!E12="нет",[22]С6.1!E17,"")</f>
        <v/>
      </c>
    </row>
    <row r="132" spans="1:3" ht="68.25" x14ac:dyDescent="0.2">
      <c r="A132" s="59" t="s">
        <v>206</v>
      </c>
      <c r="B132" s="91" t="s">
        <v>207</v>
      </c>
      <c r="C132" s="127" t="str">
        <f>IF([22]С6.1!E18="нет",[22]С6!F19,"")</f>
        <v/>
      </c>
    </row>
    <row r="133" spans="1:3" ht="55.5" x14ac:dyDescent="0.2">
      <c r="A133" s="59" t="s">
        <v>208</v>
      </c>
      <c r="B133" s="86" t="s">
        <v>209</v>
      </c>
      <c r="C133" s="35" t="str">
        <f>IF([22]С6.1!E18="нет",[22]С6.1!E19,"")</f>
        <v/>
      </c>
    </row>
    <row r="134" spans="1:3" ht="61.5" customHeight="1" x14ac:dyDescent="0.2">
      <c r="A134" s="59" t="s">
        <v>210</v>
      </c>
      <c r="B134" s="86" t="s">
        <v>257</v>
      </c>
      <c r="C134" s="35" t="str">
        <f>IF([22]С6.1!E18="нет",[22]С6.1!E22,"")</f>
        <v/>
      </c>
    </row>
    <row r="135" spans="1:3" ht="69" thickBot="1" x14ac:dyDescent="0.25">
      <c r="A135" s="72" t="s">
        <v>212</v>
      </c>
      <c r="B135" s="98" t="s">
        <v>213</v>
      </c>
      <c r="C135" s="74" t="str">
        <f>IF([22]С6.1!E18="нет",[22]С6.1!E23,"")</f>
        <v/>
      </c>
    </row>
    <row r="136" spans="1:3" s="89" customFormat="1" ht="13.5" thickBot="1" x14ac:dyDescent="0.25">
      <c r="A136" s="47"/>
      <c r="B136" s="75"/>
      <c r="C136" s="15"/>
    </row>
    <row r="137" spans="1:3" ht="15.75" x14ac:dyDescent="0.2">
      <c r="A137" s="84" t="s">
        <v>214</v>
      </c>
      <c r="B137" s="99" t="s">
        <v>215</v>
      </c>
      <c r="C137" s="100">
        <f>[22]С2!F39</f>
        <v>21.531904799999996</v>
      </c>
    </row>
    <row r="138" spans="1:3" ht="14.25" x14ac:dyDescent="0.2">
      <c r="A138" s="59" t="s">
        <v>216</v>
      </c>
      <c r="B138" s="58" t="s">
        <v>217</v>
      </c>
      <c r="C138" s="34">
        <f>[22]С2!F40</f>
        <v>7</v>
      </c>
    </row>
    <row r="139" spans="1:3" ht="17.25" x14ac:dyDescent="0.2">
      <c r="A139" s="59" t="s">
        <v>218</v>
      </c>
      <c r="B139" s="58" t="s">
        <v>219</v>
      </c>
      <c r="C139" s="34">
        <f>[22]С2!F42</f>
        <v>0.97</v>
      </c>
    </row>
    <row r="140" spans="1:3" ht="15" thickBot="1" x14ac:dyDescent="0.25">
      <c r="A140" s="72" t="s">
        <v>220</v>
      </c>
      <c r="B140" s="73" t="s">
        <v>221</v>
      </c>
      <c r="C140" s="46">
        <f>[22]С2!F44</f>
        <v>0.36199999999999999</v>
      </c>
    </row>
    <row r="141" spans="1:3" s="89" customFormat="1" ht="13.5" thickBot="1" x14ac:dyDescent="0.25">
      <c r="A141" s="47"/>
      <c r="B141" s="75"/>
      <c r="C141" s="15"/>
    </row>
    <row r="142" spans="1:3" ht="17.25" x14ac:dyDescent="0.2">
      <c r="A142" s="84" t="s">
        <v>222</v>
      </c>
      <c r="B142" s="103" t="s">
        <v>258</v>
      </c>
      <c r="C142" s="128">
        <f>[22]С2!F37</f>
        <v>1.7157947422665329</v>
      </c>
    </row>
    <row r="143" spans="1:3" ht="17.25" customHeight="1" thickBot="1" x14ac:dyDescent="0.25">
      <c r="A143" s="72" t="s">
        <v>224</v>
      </c>
      <c r="B143" s="141" t="s">
        <v>225</v>
      </c>
      <c r="C143" s="141"/>
    </row>
    <row r="144" spans="1:3" x14ac:dyDescent="0.2">
      <c r="A144" s="105"/>
      <c r="B144" s="129" t="s">
        <v>226</v>
      </c>
      <c r="C144" s="130"/>
    </row>
    <row r="145" spans="1:3" x14ac:dyDescent="0.2">
      <c r="A145" s="105"/>
      <c r="B145" s="131">
        <v>2020</v>
      </c>
      <c r="C145" s="132">
        <f>[22]С2.5!$E$11</f>
        <v>-2.9000000000000026E-2</v>
      </c>
    </row>
    <row r="146" spans="1:3" x14ac:dyDescent="0.2">
      <c r="B146" s="131">
        <f>B145+1</f>
        <v>2021</v>
      </c>
      <c r="C146" s="133">
        <f>[22]С2.5!$F$11</f>
        <v>0.245</v>
      </c>
    </row>
    <row r="147" spans="1:3" x14ac:dyDescent="0.2">
      <c r="B147" s="131">
        <f t="shared" ref="B147:B210" si="0">B146+1</f>
        <v>2022</v>
      </c>
      <c r="C147" s="134">
        <f>[22]С2.5!$G$11</f>
        <v>0.114</v>
      </c>
    </row>
    <row r="148" spans="1:3" x14ac:dyDescent="0.2">
      <c r="B148" s="110">
        <f t="shared" si="0"/>
        <v>2023</v>
      </c>
      <c r="C148" s="135">
        <f>[22]С2.5!$H$11</f>
        <v>0.04</v>
      </c>
    </row>
    <row r="149" spans="1:3" x14ac:dyDescent="0.2">
      <c r="B149" s="110">
        <f t="shared" si="0"/>
        <v>2024</v>
      </c>
      <c r="C149" s="135">
        <f>[22]С2.5!$I$11</f>
        <v>0.121</v>
      </c>
    </row>
    <row r="150" spans="1:3" x14ac:dyDescent="0.2">
      <c r="B150" s="110">
        <f t="shared" si="0"/>
        <v>2025</v>
      </c>
      <c r="C150" s="135">
        <f>[22]С2.5!$J$11</f>
        <v>0.03</v>
      </c>
    </row>
    <row r="151" spans="1:3" ht="13.5" thickBot="1" x14ac:dyDescent="0.25">
      <c r="B151" s="110">
        <f t="shared" si="0"/>
        <v>2026</v>
      </c>
      <c r="C151" s="135">
        <f>[22]С2.5!$K$11</f>
        <v>6.0999999999999999E-2</v>
      </c>
    </row>
    <row r="152" spans="1:3" ht="13.5" hidden="1" thickBot="1" x14ac:dyDescent="0.25">
      <c r="B152" s="110">
        <f t="shared" si="0"/>
        <v>2027</v>
      </c>
      <c r="C152" s="135">
        <f>[22]С2.5!$L$11</f>
        <v>0</v>
      </c>
    </row>
    <row r="153" spans="1:3" ht="13.5" hidden="1" thickBot="1" x14ac:dyDescent="0.25">
      <c r="B153" s="110">
        <f t="shared" si="0"/>
        <v>2028</v>
      </c>
      <c r="C153" s="135">
        <f>[22]С2.5!$M$11</f>
        <v>0</v>
      </c>
    </row>
    <row r="154" spans="1:3" ht="13.5" hidden="1" thickBot="1" x14ac:dyDescent="0.25">
      <c r="B154" s="110">
        <f t="shared" si="0"/>
        <v>2029</v>
      </c>
      <c r="C154" s="135">
        <f>[22]С2.5!$N$11</f>
        <v>0</v>
      </c>
    </row>
    <row r="155" spans="1:3" ht="13.5" hidden="1" thickBot="1" x14ac:dyDescent="0.25">
      <c r="B155" s="110">
        <f t="shared" si="0"/>
        <v>2030</v>
      </c>
      <c r="C155" s="135">
        <f>[22]С2.5!$O$11</f>
        <v>0</v>
      </c>
    </row>
    <row r="156" spans="1:3" ht="13.5" hidden="1" thickBot="1" x14ac:dyDescent="0.25">
      <c r="B156" s="110">
        <f t="shared" si="0"/>
        <v>2031</v>
      </c>
      <c r="C156" s="135">
        <f>[22]С2.5!$P$11</f>
        <v>0</v>
      </c>
    </row>
    <row r="157" spans="1:3" ht="13.5" hidden="1" thickBot="1" x14ac:dyDescent="0.25">
      <c r="B157" s="110">
        <f t="shared" si="0"/>
        <v>2032</v>
      </c>
      <c r="C157" s="135">
        <f>[22]С2.5!$Q$11</f>
        <v>0</v>
      </c>
    </row>
    <row r="158" spans="1:3" ht="13.5" hidden="1" thickBot="1" x14ac:dyDescent="0.25">
      <c r="B158" s="110">
        <f t="shared" si="0"/>
        <v>2033</v>
      </c>
      <c r="C158" s="135">
        <f>[22]С2.5!$R$11</f>
        <v>0</v>
      </c>
    </row>
    <row r="159" spans="1:3" ht="13.5" hidden="1" thickBot="1" x14ac:dyDescent="0.25">
      <c r="B159" s="110">
        <f t="shared" si="0"/>
        <v>2034</v>
      </c>
      <c r="C159" s="135">
        <f>[22]С2.5!$S$11</f>
        <v>0</v>
      </c>
    </row>
    <row r="160" spans="1:3" ht="13.5" hidden="1" thickBot="1" x14ac:dyDescent="0.25">
      <c r="B160" s="110">
        <f t="shared" si="0"/>
        <v>2035</v>
      </c>
      <c r="C160" s="135">
        <f>[22]С2.5!$T$11</f>
        <v>0</v>
      </c>
    </row>
    <row r="161" spans="2:3" ht="13.5" hidden="1" thickBot="1" x14ac:dyDescent="0.25">
      <c r="B161" s="110">
        <f t="shared" si="0"/>
        <v>2036</v>
      </c>
      <c r="C161" s="135">
        <f>[22]С2.5!$U$11</f>
        <v>0</v>
      </c>
    </row>
    <row r="162" spans="2:3" ht="13.5" hidden="1" thickBot="1" x14ac:dyDescent="0.25">
      <c r="B162" s="110">
        <f t="shared" si="0"/>
        <v>2037</v>
      </c>
      <c r="C162" s="135">
        <f>[22]С2.5!$V$11</f>
        <v>0</v>
      </c>
    </row>
    <row r="163" spans="2:3" ht="13.5" hidden="1" thickBot="1" x14ac:dyDescent="0.25">
      <c r="B163" s="110">
        <f t="shared" si="0"/>
        <v>2038</v>
      </c>
      <c r="C163" s="135">
        <f>[22]С2.5!$W$11</f>
        <v>0</v>
      </c>
    </row>
    <row r="164" spans="2:3" ht="13.5" hidden="1" thickBot="1" x14ac:dyDescent="0.25">
      <c r="B164" s="110">
        <f t="shared" si="0"/>
        <v>2039</v>
      </c>
      <c r="C164" s="135">
        <f>[22]С2.5!$X$11</f>
        <v>0</v>
      </c>
    </row>
    <row r="165" spans="2:3" ht="13.5" hidden="1" thickBot="1" x14ac:dyDescent="0.25">
      <c r="B165" s="110">
        <f t="shared" si="0"/>
        <v>2040</v>
      </c>
      <c r="C165" s="135">
        <f>[22]С2.5!$Y$11</f>
        <v>0</v>
      </c>
    </row>
    <row r="166" spans="2:3" ht="13.5" hidden="1" thickBot="1" x14ac:dyDescent="0.25">
      <c r="B166" s="110">
        <f t="shared" si="0"/>
        <v>2041</v>
      </c>
      <c r="C166" s="135">
        <f>[22]С2.5!$Z$11</f>
        <v>0</v>
      </c>
    </row>
    <row r="167" spans="2:3" ht="13.5" hidden="1" thickBot="1" x14ac:dyDescent="0.25">
      <c r="B167" s="110">
        <f t="shared" si="0"/>
        <v>2042</v>
      </c>
      <c r="C167" s="135">
        <f>[22]С2.5!$AA$11</f>
        <v>0</v>
      </c>
    </row>
    <row r="168" spans="2:3" ht="13.5" hidden="1" thickBot="1" x14ac:dyDescent="0.25">
      <c r="B168" s="110">
        <f t="shared" si="0"/>
        <v>2043</v>
      </c>
      <c r="C168" s="135">
        <f>[22]С2.5!$AB$11</f>
        <v>0</v>
      </c>
    </row>
    <row r="169" spans="2:3" ht="13.5" hidden="1" thickBot="1" x14ac:dyDescent="0.25">
      <c r="B169" s="110">
        <f t="shared" si="0"/>
        <v>2044</v>
      </c>
      <c r="C169" s="135">
        <f>[22]С2.5!$AC$11</f>
        <v>0</v>
      </c>
    </row>
    <row r="170" spans="2:3" ht="13.5" hidden="1" thickBot="1" x14ac:dyDescent="0.25">
      <c r="B170" s="110">
        <f t="shared" si="0"/>
        <v>2045</v>
      </c>
      <c r="C170" s="135">
        <f>[22]С2.5!$AD$11</f>
        <v>0</v>
      </c>
    </row>
    <row r="171" spans="2:3" ht="13.5" hidden="1" thickBot="1" x14ac:dyDescent="0.25">
      <c r="B171" s="110">
        <f t="shared" si="0"/>
        <v>2046</v>
      </c>
      <c r="C171" s="135">
        <f>[22]С2.5!$AE$11</f>
        <v>0</v>
      </c>
    </row>
    <row r="172" spans="2:3" ht="13.5" hidden="1" thickBot="1" x14ac:dyDescent="0.25">
      <c r="B172" s="110">
        <f t="shared" si="0"/>
        <v>2047</v>
      </c>
      <c r="C172" s="135">
        <f>[22]С2.5!$AF$11</f>
        <v>0</v>
      </c>
    </row>
    <row r="173" spans="2:3" ht="13.5" hidden="1" thickBot="1" x14ac:dyDescent="0.25">
      <c r="B173" s="110">
        <f t="shared" si="0"/>
        <v>2048</v>
      </c>
      <c r="C173" s="135">
        <f>[22]С2.5!$AG$11</f>
        <v>0</v>
      </c>
    </row>
    <row r="174" spans="2:3" ht="13.5" hidden="1" thickBot="1" x14ac:dyDescent="0.25">
      <c r="B174" s="110">
        <f t="shared" si="0"/>
        <v>2049</v>
      </c>
      <c r="C174" s="135">
        <f>[22]С2.5!$AH$11</f>
        <v>0</v>
      </c>
    </row>
    <row r="175" spans="2:3" ht="13.5" hidden="1" thickBot="1" x14ac:dyDescent="0.25">
      <c r="B175" s="110">
        <f t="shared" si="0"/>
        <v>2050</v>
      </c>
      <c r="C175" s="135">
        <f>[22]С2.5!$AI$11</f>
        <v>0</v>
      </c>
    </row>
    <row r="176" spans="2:3" ht="13.5" hidden="1" thickBot="1" x14ac:dyDescent="0.25">
      <c r="B176" s="110">
        <f t="shared" si="0"/>
        <v>2051</v>
      </c>
      <c r="C176" s="135">
        <f>[22]С2.5!$AJ$11</f>
        <v>0</v>
      </c>
    </row>
    <row r="177" spans="2:3" ht="13.5" hidden="1" thickBot="1" x14ac:dyDescent="0.25">
      <c r="B177" s="110">
        <f t="shared" si="0"/>
        <v>2052</v>
      </c>
      <c r="C177" s="135">
        <f>[22]С2.5!$AK$11</f>
        <v>0</v>
      </c>
    </row>
    <row r="178" spans="2:3" ht="13.5" hidden="1" thickBot="1" x14ac:dyDescent="0.25">
      <c r="B178" s="110">
        <f t="shared" si="0"/>
        <v>2053</v>
      </c>
      <c r="C178" s="135">
        <f>[22]С2.5!$AL$11</f>
        <v>0</v>
      </c>
    </row>
    <row r="179" spans="2:3" ht="13.5" hidden="1" thickBot="1" x14ac:dyDescent="0.25">
      <c r="B179" s="110">
        <f t="shared" si="0"/>
        <v>2054</v>
      </c>
      <c r="C179" s="135">
        <f>[22]С2.5!$AM$11</f>
        <v>0</v>
      </c>
    </row>
    <row r="180" spans="2:3" ht="13.5" hidden="1" thickBot="1" x14ac:dyDescent="0.25">
      <c r="B180" s="110">
        <f t="shared" si="0"/>
        <v>2055</v>
      </c>
      <c r="C180" s="135">
        <f>[22]С2.5!$AN$11</f>
        <v>0</v>
      </c>
    </row>
    <row r="181" spans="2:3" ht="13.5" hidden="1" thickBot="1" x14ac:dyDescent="0.25">
      <c r="B181" s="110">
        <f t="shared" si="0"/>
        <v>2056</v>
      </c>
      <c r="C181" s="135">
        <f>[22]С2.5!$AO$11</f>
        <v>0</v>
      </c>
    </row>
    <row r="182" spans="2:3" ht="13.5" hidden="1" thickBot="1" x14ac:dyDescent="0.25">
      <c r="B182" s="110">
        <f t="shared" si="0"/>
        <v>2057</v>
      </c>
      <c r="C182" s="135">
        <f>[22]С2.5!$AP$11</f>
        <v>0</v>
      </c>
    </row>
    <row r="183" spans="2:3" ht="13.5" hidden="1" thickBot="1" x14ac:dyDescent="0.25">
      <c r="B183" s="110">
        <f t="shared" si="0"/>
        <v>2058</v>
      </c>
      <c r="C183" s="135">
        <f>[22]С2.5!$AQ$11</f>
        <v>0</v>
      </c>
    </row>
    <row r="184" spans="2:3" ht="13.5" hidden="1" thickBot="1" x14ac:dyDescent="0.25">
      <c r="B184" s="110">
        <f t="shared" si="0"/>
        <v>2059</v>
      </c>
      <c r="C184" s="135">
        <f>[22]С2.5!$AR$11</f>
        <v>0</v>
      </c>
    </row>
    <row r="185" spans="2:3" ht="13.5" hidden="1" thickBot="1" x14ac:dyDescent="0.25">
      <c r="B185" s="110">
        <f t="shared" si="0"/>
        <v>2060</v>
      </c>
      <c r="C185" s="135">
        <f>[22]С2.5!$AS$11</f>
        <v>0</v>
      </c>
    </row>
    <row r="186" spans="2:3" ht="13.5" hidden="1" thickBot="1" x14ac:dyDescent="0.25">
      <c r="B186" s="110">
        <f t="shared" si="0"/>
        <v>2061</v>
      </c>
      <c r="C186" s="135">
        <f>[22]С2.5!$AT$11</f>
        <v>0</v>
      </c>
    </row>
    <row r="187" spans="2:3" ht="13.5" hidden="1" thickBot="1" x14ac:dyDescent="0.25">
      <c r="B187" s="110">
        <f t="shared" si="0"/>
        <v>2062</v>
      </c>
      <c r="C187" s="135">
        <f>[22]С2.5!$AU$11</f>
        <v>0</v>
      </c>
    </row>
    <row r="188" spans="2:3" ht="13.5" hidden="1" thickBot="1" x14ac:dyDescent="0.25">
      <c r="B188" s="110">
        <f t="shared" si="0"/>
        <v>2063</v>
      </c>
      <c r="C188" s="135">
        <f>[22]С2.5!$AV$11</f>
        <v>0</v>
      </c>
    </row>
    <row r="189" spans="2:3" ht="13.5" hidden="1" thickBot="1" x14ac:dyDescent="0.25">
      <c r="B189" s="110">
        <f t="shared" si="0"/>
        <v>2064</v>
      </c>
      <c r="C189" s="135">
        <f>[22]С2.5!$AW$11</f>
        <v>0</v>
      </c>
    </row>
    <row r="190" spans="2:3" ht="13.5" hidden="1" thickBot="1" x14ac:dyDescent="0.25">
      <c r="B190" s="110">
        <f t="shared" si="0"/>
        <v>2065</v>
      </c>
      <c r="C190" s="135">
        <f>[22]С2.5!$AX$11</f>
        <v>0</v>
      </c>
    </row>
    <row r="191" spans="2:3" ht="13.5" hidden="1" thickBot="1" x14ac:dyDescent="0.25">
      <c r="B191" s="110">
        <f t="shared" si="0"/>
        <v>2066</v>
      </c>
      <c r="C191" s="135">
        <f>[22]С2.5!$AY$11</f>
        <v>0</v>
      </c>
    </row>
    <row r="192" spans="2:3" ht="13.5" hidden="1" thickBot="1" x14ac:dyDescent="0.25">
      <c r="B192" s="110">
        <f t="shared" si="0"/>
        <v>2067</v>
      </c>
      <c r="C192" s="135">
        <f>[22]С2.5!$AZ$11</f>
        <v>0</v>
      </c>
    </row>
    <row r="193" spans="2:3" ht="13.5" hidden="1" thickBot="1" x14ac:dyDescent="0.25">
      <c r="B193" s="110">
        <f t="shared" si="0"/>
        <v>2068</v>
      </c>
      <c r="C193" s="135">
        <f>[22]С2.5!$BA$11</f>
        <v>0</v>
      </c>
    </row>
    <row r="194" spans="2:3" ht="13.5" hidden="1" thickBot="1" x14ac:dyDescent="0.25">
      <c r="B194" s="110">
        <f t="shared" si="0"/>
        <v>2069</v>
      </c>
      <c r="C194" s="135">
        <f>[22]С2.5!$BB$11</f>
        <v>0</v>
      </c>
    </row>
    <row r="195" spans="2:3" ht="13.5" hidden="1" thickBot="1" x14ac:dyDescent="0.25">
      <c r="B195" s="110">
        <f t="shared" si="0"/>
        <v>2070</v>
      </c>
      <c r="C195" s="135">
        <f>[22]С2.5!$BC$11</f>
        <v>0</v>
      </c>
    </row>
    <row r="196" spans="2:3" ht="13.5" hidden="1" thickBot="1" x14ac:dyDescent="0.25">
      <c r="B196" s="110">
        <f t="shared" si="0"/>
        <v>2071</v>
      </c>
      <c r="C196" s="135">
        <f>[22]С2.5!$BD$11</f>
        <v>0</v>
      </c>
    </row>
    <row r="197" spans="2:3" ht="13.5" hidden="1" thickBot="1" x14ac:dyDescent="0.25">
      <c r="B197" s="110">
        <f t="shared" si="0"/>
        <v>2072</v>
      </c>
      <c r="C197" s="135">
        <f>[22]С2.5!$BE$11</f>
        <v>0</v>
      </c>
    </row>
    <row r="198" spans="2:3" ht="13.5" hidden="1" thickBot="1" x14ac:dyDescent="0.25">
      <c r="B198" s="110">
        <f t="shared" si="0"/>
        <v>2073</v>
      </c>
      <c r="C198" s="135">
        <f>[22]С2.5!$BF$11</f>
        <v>0</v>
      </c>
    </row>
    <row r="199" spans="2:3" ht="13.5" hidden="1" thickBot="1" x14ac:dyDescent="0.25">
      <c r="B199" s="110">
        <f t="shared" si="0"/>
        <v>2074</v>
      </c>
      <c r="C199" s="135">
        <f>[22]С2.5!$BG$11</f>
        <v>0</v>
      </c>
    </row>
    <row r="200" spans="2:3" ht="13.5" hidden="1" thickBot="1" x14ac:dyDescent="0.25">
      <c r="B200" s="110">
        <f t="shared" si="0"/>
        <v>2075</v>
      </c>
      <c r="C200" s="135">
        <f>[22]С2.5!$BH$11</f>
        <v>0</v>
      </c>
    </row>
    <row r="201" spans="2:3" ht="13.5" hidden="1" thickBot="1" x14ac:dyDescent="0.25">
      <c r="B201" s="110">
        <f t="shared" si="0"/>
        <v>2076</v>
      </c>
      <c r="C201" s="135">
        <f>[22]С2.5!$BI$11</f>
        <v>0</v>
      </c>
    </row>
    <row r="202" spans="2:3" ht="13.5" hidden="1" thickBot="1" x14ac:dyDescent="0.25">
      <c r="B202" s="110">
        <f t="shared" si="0"/>
        <v>2077</v>
      </c>
      <c r="C202" s="135">
        <f>[22]С2.5!$BJ$11</f>
        <v>0</v>
      </c>
    </row>
    <row r="203" spans="2:3" ht="13.5" hidden="1" thickBot="1" x14ac:dyDescent="0.25">
      <c r="B203" s="110">
        <f t="shared" si="0"/>
        <v>2078</v>
      </c>
      <c r="C203" s="135">
        <f>[22]С2.5!$BK$11</f>
        <v>0</v>
      </c>
    </row>
    <row r="204" spans="2:3" ht="13.5" hidden="1" thickBot="1" x14ac:dyDescent="0.25">
      <c r="B204" s="110">
        <f t="shared" si="0"/>
        <v>2079</v>
      </c>
      <c r="C204" s="135">
        <f>[22]С2.5!$BL$11</f>
        <v>0</v>
      </c>
    </row>
    <row r="205" spans="2:3" ht="13.5" hidden="1" thickBot="1" x14ac:dyDescent="0.25">
      <c r="B205" s="110">
        <f t="shared" si="0"/>
        <v>2080</v>
      </c>
      <c r="C205" s="135">
        <f>[22]С2.5!$BM$11</f>
        <v>0</v>
      </c>
    </row>
    <row r="206" spans="2:3" ht="13.5" hidden="1" thickBot="1" x14ac:dyDescent="0.25">
      <c r="B206" s="110">
        <f t="shared" si="0"/>
        <v>2081</v>
      </c>
      <c r="C206" s="135">
        <f>[22]С2.5!$BN$11</f>
        <v>0</v>
      </c>
    </row>
    <row r="207" spans="2:3" ht="13.5" hidden="1" thickBot="1" x14ac:dyDescent="0.25">
      <c r="B207" s="110">
        <f t="shared" si="0"/>
        <v>2082</v>
      </c>
      <c r="C207" s="135">
        <f>[22]С2.5!$BO$11</f>
        <v>0</v>
      </c>
    </row>
    <row r="208" spans="2:3" ht="13.5" hidden="1" thickBot="1" x14ac:dyDescent="0.25">
      <c r="B208" s="110">
        <f t="shared" si="0"/>
        <v>2083</v>
      </c>
      <c r="C208" s="135">
        <f>[22]С2.5!$BP$11</f>
        <v>0</v>
      </c>
    </row>
    <row r="209" spans="2:3" ht="13.5" hidden="1" thickBot="1" x14ac:dyDescent="0.25">
      <c r="B209" s="110">
        <f t="shared" si="0"/>
        <v>2084</v>
      </c>
      <c r="C209" s="135">
        <f>[22]С2.5!$BQ$11</f>
        <v>0</v>
      </c>
    </row>
    <row r="210" spans="2:3" ht="13.5" hidden="1" thickBot="1" x14ac:dyDescent="0.25">
      <c r="B210" s="110">
        <f t="shared" si="0"/>
        <v>2085</v>
      </c>
      <c r="C210" s="135">
        <f>[22]С2.5!$BR$11</f>
        <v>0</v>
      </c>
    </row>
    <row r="211" spans="2:3" ht="13.5" hidden="1" thickBot="1" x14ac:dyDescent="0.25">
      <c r="B211" s="110">
        <f t="shared" ref="B211:B224" si="1">B210+1</f>
        <v>2086</v>
      </c>
      <c r="C211" s="135">
        <f>[22]С2.5!$BS$11</f>
        <v>0</v>
      </c>
    </row>
    <row r="212" spans="2:3" ht="13.5" hidden="1" thickBot="1" x14ac:dyDescent="0.25">
      <c r="B212" s="110">
        <f t="shared" si="1"/>
        <v>2087</v>
      </c>
      <c r="C212" s="135">
        <f>[22]С2.5!$BT$11</f>
        <v>0</v>
      </c>
    </row>
    <row r="213" spans="2:3" ht="13.5" hidden="1" thickBot="1" x14ac:dyDescent="0.25">
      <c r="B213" s="110">
        <f t="shared" si="1"/>
        <v>2088</v>
      </c>
      <c r="C213" s="135">
        <f>[22]С2.5!$BU$11</f>
        <v>0</v>
      </c>
    </row>
    <row r="214" spans="2:3" ht="13.5" hidden="1" thickBot="1" x14ac:dyDescent="0.25">
      <c r="B214" s="110">
        <f t="shared" si="1"/>
        <v>2089</v>
      </c>
      <c r="C214" s="135">
        <f>[22]С2.5!$BV$11</f>
        <v>0</v>
      </c>
    </row>
    <row r="215" spans="2:3" ht="13.5" hidden="1" thickBot="1" x14ac:dyDescent="0.25">
      <c r="B215" s="110">
        <f t="shared" si="1"/>
        <v>2090</v>
      </c>
      <c r="C215" s="135">
        <f>[22]С2.5!$BW$11</f>
        <v>0</v>
      </c>
    </row>
    <row r="216" spans="2:3" ht="13.5" hidden="1" thickBot="1" x14ac:dyDescent="0.25">
      <c r="B216" s="110">
        <f t="shared" si="1"/>
        <v>2091</v>
      </c>
      <c r="C216" s="135">
        <f>[22]С2.5!$BX$11</f>
        <v>0</v>
      </c>
    </row>
    <row r="217" spans="2:3" ht="13.5" hidden="1" thickBot="1" x14ac:dyDescent="0.25">
      <c r="B217" s="110">
        <f t="shared" si="1"/>
        <v>2092</v>
      </c>
      <c r="C217" s="135">
        <f>[22]С2.5!$BY$11</f>
        <v>0</v>
      </c>
    </row>
    <row r="218" spans="2:3" ht="13.5" hidden="1" thickBot="1" x14ac:dyDescent="0.25">
      <c r="B218" s="110">
        <f t="shared" si="1"/>
        <v>2093</v>
      </c>
      <c r="C218" s="135">
        <f>[22]С2.5!$BZ$11</f>
        <v>0</v>
      </c>
    </row>
    <row r="219" spans="2:3" ht="13.5" hidden="1" thickBot="1" x14ac:dyDescent="0.25">
      <c r="B219" s="110">
        <f t="shared" si="1"/>
        <v>2094</v>
      </c>
      <c r="C219" s="135">
        <f>[22]С2.5!$CA$11</f>
        <v>0</v>
      </c>
    </row>
    <row r="220" spans="2:3" ht="13.5" hidden="1" thickBot="1" x14ac:dyDescent="0.25">
      <c r="B220" s="110">
        <f t="shared" si="1"/>
        <v>2095</v>
      </c>
      <c r="C220" s="135">
        <f>[22]С2.5!$CB$11</f>
        <v>0</v>
      </c>
    </row>
    <row r="221" spans="2:3" ht="13.5" hidden="1" thickBot="1" x14ac:dyDescent="0.25">
      <c r="B221" s="110">
        <f t="shared" si="1"/>
        <v>2096</v>
      </c>
      <c r="C221" s="135">
        <f>[22]С2.5!$CC$11</f>
        <v>0</v>
      </c>
    </row>
    <row r="222" spans="2:3" ht="13.5" hidden="1" thickBot="1" x14ac:dyDescent="0.25">
      <c r="B222" s="110">
        <f t="shared" si="1"/>
        <v>2097</v>
      </c>
      <c r="C222" s="135">
        <f>[22]С2.5!$CD$11</f>
        <v>0</v>
      </c>
    </row>
    <row r="223" spans="2:3" ht="13.5" hidden="1" thickBot="1" x14ac:dyDescent="0.25">
      <c r="B223" s="110">
        <f t="shared" si="1"/>
        <v>2098</v>
      </c>
      <c r="C223" s="135">
        <f>[22]С2.5!$CE$11</f>
        <v>0</v>
      </c>
    </row>
    <row r="224" spans="2:3" ht="13.5" hidden="1" thickBot="1" x14ac:dyDescent="0.25">
      <c r="B224" s="110">
        <f t="shared" si="1"/>
        <v>2099</v>
      </c>
      <c r="C224" s="135">
        <f>[22]С2.5!$CF$11</f>
        <v>0</v>
      </c>
    </row>
    <row r="225" spans="2:3" ht="13.5" hidden="1" thickBot="1" x14ac:dyDescent="0.25">
      <c r="B225" s="112">
        <f>B162+1</f>
        <v>2038</v>
      </c>
      <c r="C225" s="136" t="e">
        <f>[22]С2.5!#REF!</f>
        <v>#REF!</v>
      </c>
    </row>
    <row r="226" spans="2:3" x14ac:dyDescent="0.2">
      <c r="B226" s="137"/>
      <c r="C226" s="138"/>
    </row>
  </sheetData>
  <mergeCells count="9">
    <mergeCell ref="B143:C143"/>
    <mergeCell ref="A14:C14"/>
    <mergeCell ref="B1:C1"/>
    <mergeCell ref="B27:C27"/>
    <mergeCell ref="B45:C45"/>
    <mergeCell ref="B90:C90"/>
    <mergeCell ref="B101:C101"/>
    <mergeCell ref="B126:C126"/>
    <mergeCell ref="B129:C129"/>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26"/>
  <sheetViews>
    <sheetView workbookViewId="0">
      <selection activeCell="C7" sqref="C7"/>
    </sheetView>
  </sheetViews>
  <sheetFormatPr defaultRowHeight="12.75" x14ac:dyDescent="0.2"/>
  <cols>
    <col min="1" max="1" width="7.28515625" style="2" customWidth="1"/>
    <col min="2" max="2" width="100.7109375" style="2" customWidth="1"/>
    <col min="3" max="3" width="20.85546875" style="139" customWidth="1"/>
    <col min="4" max="151" width="9.140625" style="2"/>
    <col min="152" max="233" width="0" style="2" hidden="1" customWidth="1"/>
    <col min="234" max="242" width="9.140625" style="2"/>
    <col min="243" max="243" width="3.7109375" style="2" customWidth="1"/>
    <col min="244" max="244" width="96.85546875" style="2" customWidth="1"/>
    <col min="245" max="245" width="30.85546875" style="2" customWidth="1"/>
    <col min="246" max="246" width="12.5703125" style="2" customWidth="1"/>
    <col min="247" max="247" width="5.140625" style="2" customWidth="1"/>
    <col min="248" max="248" width="9.140625" style="2"/>
    <col min="249" max="249" width="4.85546875" style="2" customWidth="1"/>
    <col min="250" max="250" width="30.5703125" style="2" customWidth="1"/>
    <col min="251" max="251" width="33.85546875" style="2" customWidth="1"/>
    <col min="252" max="252" width="5.140625" style="2" customWidth="1"/>
    <col min="253" max="254" width="17.5703125" style="2" customWidth="1"/>
    <col min="255" max="498" width="9.140625" style="2"/>
    <col min="499" max="499" width="3.7109375" style="2" customWidth="1"/>
    <col min="500" max="500" width="96.85546875" style="2" customWidth="1"/>
    <col min="501" max="501" width="30.85546875" style="2" customWidth="1"/>
    <col min="502" max="502" width="12.5703125" style="2" customWidth="1"/>
    <col min="503" max="503" width="5.140625" style="2" customWidth="1"/>
    <col min="504" max="504" width="9.140625" style="2"/>
    <col min="505" max="505" width="4.85546875" style="2" customWidth="1"/>
    <col min="506" max="506" width="30.5703125" style="2" customWidth="1"/>
    <col min="507" max="507" width="33.85546875" style="2" customWidth="1"/>
    <col min="508" max="508" width="5.140625" style="2" customWidth="1"/>
    <col min="509" max="510" width="17.5703125" style="2" customWidth="1"/>
    <col min="511" max="754" width="9.140625" style="2"/>
    <col min="755" max="755" width="3.7109375" style="2" customWidth="1"/>
    <col min="756" max="756" width="96.85546875" style="2" customWidth="1"/>
    <col min="757" max="757" width="30.85546875" style="2" customWidth="1"/>
    <col min="758" max="758" width="12.5703125" style="2" customWidth="1"/>
    <col min="759" max="759" width="5.140625" style="2" customWidth="1"/>
    <col min="760" max="760" width="9.140625" style="2"/>
    <col min="761" max="761" width="4.85546875" style="2" customWidth="1"/>
    <col min="762" max="762" width="30.5703125" style="2" customWidth="1"/>
    <col min="763" max="763" width="33.85546875" style="2" customWidth="1"/>
    <col min="764" max="764" width="5.140625" style="2" customWidth="1"/>
    <col min="765" max="766" width="17.5703125" style="2" customWidth="1"/>
    <col min="767" max="1010" width="9.140625" style="2"/>
    <col min="1011" max="1011" width="3.7109375" style="2" customWidth="1"/>
    <col min="1012" max="1012" width="96.85546875" style="2" customWidth="1"/>
    <col min="1013" max="1013" width="30.85546875" style="2" customWidth="1"/>
    <col min="1014" max="1014" width="12.5703125" style="2" customWidth="1"/>
    <col min="1015" max="1015" width="5.140625" style="2" customWidth="1"/>
    <col min="1016" max="1016" width="9.140625" style="2"/>
    <col min="1017" max="1017" width="4.85546875" style="2" customWidth="1"/>
    <col min="1018" max="1018" width="30.5703125" style="2" customWidth="1"/>
    <col min="1019" max="1019" width="33.85546875" style="2" customWidth="1"/>
    <col min="1020" max="1020" width="5.140625" style="2" customWidth="1"/>
    <col min="1021" max="1022" width="17.5703125" style="2" customWidth="1"/>
    <col min="1023" max="1266" width="9.140625" style="2"/>
    <col min="1267" max="1267" width="3.7109375" style="2" customWidth="1"/>
    <col min="1268" max="1268" width="96.85546875" style="2" customWidth="1"/>
    <col min="1269" max="1269" width="30.85546875" style="2" customWidth="1"/>
    <col min="1270" max="1270" width="12.5703125" style="2" customWidth="1"/>
    <col min="1271" max="1271" width="5.140625" style="2" customWidth="1"/>
    <col min="1272" max="1272" width="9.140625" style="2"/>
    <col min="1273" max="1273" width="4.85546875" style="2" customWidth="1"/>
    <col min="1274" max="1274" width="30.5703125" style="2" customWidth="1"/>
    <col min="1275" max="1275" width="33.85546875" style="2" customWidth="1"/>
    <col min="1276" max="1276" width="5.140625" style="2" customWidth="1"/>
    <col min="1277" max="1278" width="17.5703125" style="2" customWidth="1"/>
    <col min="1279" max="1522" width="9.140625" style="2"/>
    <col min="1523" max="1523" width="3.7109375" style="2" customWidth="1"/>
    <col min="1524" max="1524" width="96.85546875" style="2" customWidth="1"/>
    <col min="1525" max="1525" width="30.85546875" style="2" customWidth="1"/>
    <col min="1526" max="1526" width="12.5703125" style="2" customWidth="1"/>
    <col min="1527" max="1527" width="5.140625" style="2" customWidth="1"/>
    <col min="1528" max="1528" width="9.140625" style="2"/>
    <col min="1529" max="1529" width="4.85546875" style="2" customWidth="1"/>
    <col min="1530" max="1530" width="30.5703125" style="2" customWidth="1"/>
    <col min="1531" max="1531" width="33.85546875" style="2" customWidth="1"/>
    <col min="1532" max="1532" width="5.140625" style="2" customWidth="1"/>
    <col min="1533" max="1534" width="17.5703125" style="2" customWidth="1"/>
    <col min="1535" max="1778" width="9.140625" style="2"/>
    <col min="1779" max="1779" width="3.7109375" style="2" customWidth="1"/>
    <col min="1780" max="1780" width="96.85546875" style="2" customWidth="1"/>
    <col min="1781" max="1781" width="30.85546875" style="2" customWidth="1"/>
    <col min="1782" max="1782" width="12.5703125" style="2" customWidth="1"/>
    <col min="1783" max="1783" width="5.140625" style="2" customWidth="1"/>
    <col min="1784" max="1784" width="9.140625" style="2"/>
    <col min="1785" max="1785" width="4.85546875" style="2" customWidth="1"/>
    <col min="1786" max="1786" width="30.5703125" style="2" customWidth="1"/>
    <col min="1787" max="1787" width="33.85546875" style="2" customWidth="1"/>
    <col min="1788" max="1788" width="5.140625" style="2" customWidth="1"/>
    <col min="1789" max="1790" width="17.5703125" style="2" customWidth="1"/>
    <col min="1791" max="2034" width="9.140625" style="2"/>
    <col min="2035" max="2035" width="3.7109375" style="2" customWidth="1"/>
    <col min="2036" max="2036" width="96.85546875" style="2" customWidth="1"/>
    <col min="2037" max="2037" width="30.85546875" style="2" customWidth="1"/>
    <col min="2038" max="2038" width="12.5703125" style="2" customWidth="1"/>
    <col min="2039" max="2039" width="5.140625" style="2" customWidth="1"/>
    <col min="2040" max="2040" width="9.140625" style="2"/>
    <col min="2041" max="2041" width="4.85546875" style="2" customWidth="1"/>
    <col min="2042" max="2042" width="30.5703125" style="2" customWidth="1"/>
    <col min="2043" max="2043" width="33.85546875" style="2" customWidth="1"/>
    <col min="2044" max="2044" width="5.140625" style="2" customWidth="1"/>
    <col min="2045" max="2046" width="17.5703125" style="2" customWidth="1"/>
    <col min="2047" max="2290" width="9.140625" style="2"/>
    <col min="2291" max="2291" width="3.7109375" style="2" customWidth="1"/>
    <col min="2292" max="2292" width="96.85546875" style="2" customWidth="1"/>
    <col min="2293" max="2293" width="30.85546875" style="2" customWidth="1"/>
    <col min="2294" max="2294" width="12.5703125" style="2" customWidth="1"/>
    <col min="2295" max="2295" width="5.140625" style="2" customWidth="1"/>
    <col min="2296" max="2296" width="9.140625" style="2"/>
    <col min="2297" max="2297" width="4.85546875" style="2" customWidth="1"/>
    <col min="2298" max="2298" width="30.5703125" style="2" customWidth="1"/>
    <col min="2299" max="2299" width="33.85546875" style="2" customWidth="1"/>
    <col min="2300" max="2300" width="5.140625" style="2" customWidth="1"/>
    <col min="2301" max="2302" width="17.5703125" style="2" customWidth="1"/>
    <col min="2303" max="2546" width="9.140625" style="2"/>
    <col min="2547" max="2547" width="3.7109375" style="2" customWidth="1"/>
    <col min="2548" max="2548" width="96.85546875" style="2" customWidth="1"/>
    <col min="2549" max="2549" width="30.85546875" style="2" customWidth="1"/>
    <col min="2550" max="2550" width="12.5703125" style="2" customWidth="1"/>
    <col min="2551" max="2551" width="5.140625" style="2" customWidth="1"/>
    <col min="2552" max="2552" width="9.140625" style="2"/>
    <col min="2553" max="2553" width="4.85546875" style="2" customWidth="1"/>
    <col min="2554" max="2554" width="30.5703125" style="2" customWidth="1"/>
    <col min="2555" max="2555" width="33.85546875" style="2" customWidth="1"/>
    <col min="2556" max="2556" width="5.140625" style="2" customWidth="1"/>
    <col min="2557" max="2558" width="17.5703125" style="2" customWidth="1"/>
    <col min="2559" max="2802" width="9.140625" style="2"/>
    <col min="2803" max="2803" width="3.7109375" style="2" customWidth="1"/>
    <col min="2804" max="2804" width="96.85546875" style="2" customWidth="1"/>
    <col min="2805" max="2805" width="30.85546875" style="2" customWidth="1"/>
    <col min="2806" max="2806" width="12.5703125" style="2" customWidth="1"/>
    <col min="2807" max="2807" width="5.140625" style="2" customWidth="1"/>
    <col min="2808" max="2808" width="9.140625" style="2"/>
    <col min="2809" max="2809" width="4.85546875" style="2" customWidth="1"/>
    <col min="2810" max="2810" width="30.5703125" style="2" customWidth="1"/>
    <col min="2811" max="2811" width="33.85546875" style="2" customWidth="1"/>
    <col min="2812" max="2812" width="5.140625" style="2" customWidth="1"/>
    <col min="2813" max="2814" width="17.5703125" style="2" customWidth="1"/>
    <col min="2815" max="3058" width="9.140625" style="2"/>
    <col min="3059" max="3059" width="3.7109375" style="2" customWidth="1"/>
    <col min="3060" max="3060" width="96.85546875" style="2" customWidth="1"/>
    <col min="3061" max="3061" width="30.85546875" style="2" customWidth="1"/>
    <col min="3062" max="3062" width="12.5703125" style="2" customWidth="1"/>
    <col min="3063" max="3063" width="5.140625" style="2" customWidth="1"/>
    <col min="3064" max="3064" width="9.140625" style="2"/>
    <col min="3065" max="3065" width="4.85546875" style="2" customWidth="1"/>
    <col min="3066" max="3066" width="30.5703125" style="2" customWidth="1"/>
    <col min="3067" max="3067" width="33.85546875" style="2" customWidth="1"/>
    <col min="3068" max="3068" width="5.140625" style="2" customWidth="1"/>
    <col min="3069" max="3070" width="17.5703125" style="2" customWidth="1"/>
    <col min="3071" max="3314" width="9.140625" style="2"/>
    <col min="3315" max="3315" width="3.7109375" style="2" customWidth="1"/>
    <col min="3316" max="3316" width="96.85546875" style="2" customWidth="1"/>
    <col min="3317" max="3317" width="30.85546875" style="2" customWidth="1"/>
    <col min="3318" max="3318" width="12.5703125" style="2" customWidth="1"/>
    <col min="3319" max="3319" width="5.140625" style="2" customWidth="1"/>
    <col min="3320" max="3320" width="9.140625" style="2"/>
    <col min="3321" max="3321" width="4.85546875" style="2" customWidth="1"/>
    <col min="3322" max="3322" width="30.5703125" style="2" customWidth="1"/>
    <col min="3323" max="3323" width="33.85546875" style="2" customWidth="1"/>
    <col min="3324" max="3324" width="5.140625" style="2" customWidth="1"/>
    <col min="3325" max="3326" width="17.5703125" style="2" customWidth="1"/>
    <col min="3327" max="3570" width="9.140625" style="2"/>
    <col min="3571" max="3571" width="3.7109375" style="2" customWidth="1"/>
    <col min="3572" max="3572" width="96.85546875" style="2" customWidth="1"/>
    <col min="3573" max="3573" width="30.85546875" style="2" customWidth="1"/>
    <col min="3574" max="3574" width="12.5703125" style="2" customWidth="1"/>
    <col min="3575" max="3575" width="5.140625" style="2" customWidth="1"/>
    <col min="3576" max="3576" width="9.140625" style="2"/>
    <col min="3577" max="3577" width="4.85546875" style="2" customWidth="1"/>
    <col min="3578" max="3578" width="30.5703125" style="2" customWidth="1"/>
    <col min="3579" max="3579" width="33.85546875" style="2" customWidth="1"/>
    <col min="3580" max="3580" width="5.140625" style="2" customWidth="1"/>
    <col min="3581" max="3582" width="17.5703125" style="2" customWidth="1"/>
    <col min="3583" max="3826" width="9.140625" style="2"/>
    <col min="3827" max="3827" width="3.7109375" style="2" customWidth="1"/>
    <col min="3828" max="3828" width="96.85546875" style="2" customWidth="1"/>
    <col min="3829" max="3829" width="30.85546875" style="2" customWidth="1"/>
    <col min="3830" max="3830" width="12.5703125" style="2" customWidth="1"/>
    <col min="3831" max="3831" width="5.140625" style="2" customWidth="1"/>
    <col min="3832" max="3832" width="9.140625" style="2"/>
    <col min="3833" max="3833" width="4.85546875" style="2" customWidth="1"/>
    <col min="3834" max="3834" width="30.5703125" style="2" customWidth="1"/>
    <col min="3835" max="3835" width="33.85546875" style="2" customWidth="1"/>
    <col min="3836" max="3836" width="5.140625" style="2" customWidth="1"/>
    <col min="3837" max="3838" width="17.5703125" style="2" customWidth="1"/>
    <col min="3839" max="4082" width="9.140625" style="2"/>
    <col min="4083" max="4083" width="3.7109375" style="2" customWidth="1"/>
    <col min="4084" max="4084" width="96.85546875" style="2" customWidth="1"/>
    <col min="4085" max="4085" width="30.85546875" style="2" customWidth="1"/>
    <col min="4086" max="4086" width="12.5703125" style="2" customWidth="1"/>
    <col min="4087" max="4087" width="5.140625" style="2" customWidth="1"/>
    <col min="4088" max="4088" width="9.140625" style="2"/>
    <col min="4089" max="4089" width="4.85546875" style="2" customWidth="1"/>
    <col min="4090" max="4090" width="30.5703125" style="2" customWidth="1"/>
    <col min="4091" max="4091" width="33.85546875" style="2" customWidth="1"/>
    <col min="4092" max="4092" width="5.140625" style="2" customWidth="1"/>
    <col min="4093" max="4094" width="17.5703125" style="2" customWidth="1"/>
    <col min="4095" max="4338" width="9.140625" style="2"/>
    <col min="4339" max="4339" width="3.7109375" style="2" customWidth="1"/>
    <col min="4340" max="4340" width="96.85546875" style="2" customWidth="1"/>
    <col min="4341" max="4341" width="30.85546875" style="2" customWidth="1"/>
    <col min="4342" max="4342" width="12.5703125" style="2" customWidth="1"/>
    <col min="4343" max="4343" width="5.140625" style="2" customWidth="1"/>
    <col min="4344" max="4344" width="9.140625" style="2"/>
    <col min="4345" max="4345" width="4.85546875" style="2" customWidth="1"/>
    <col min="4346" max="4346" width="30.5703125" style="2" customWidth="1"/>
    <col min="4347" max="4347" width="33.85546875" style="2" customWidth="1"/>
    <col min="4348" max="4348" width="5.140625" style="2" customWidth="1"/>
    <col min="4349" max="4350" width="17.5703125" style="2" customWidth="1"/>
    <col min="4351" max="4594" width="9.140625" style="2"/>
    <col min="4595" max="4595" width="3.7109375" style="2" customWidth="1"/>
    <col min="4596" max="4596" width="96.85546875" style="2" customWidth="1"/>
    <col min="4597" max="4597" width="30.85546875" style="2" customWidth="1"/>
    <col min="4598" max="4598" width="12.5703125" style="2" customWidth="1"/>
    <col min="4599" max="4599" width="5.140625" style="2" customWidth="1"/>
    <col min="4600" max="4600" width="9.140625" style="2"/>
    <col min="4601" max="4601" width="4.85546875" style="2" customWidth="1"/>
    <col min="4602" max="4602" width="30.5703125" style="2" customWidth="1"/>
    <col min="4603" max="4603" width="33.85546875" style="2" customWidth="1"/>
    <col min="4604" max="4604" width="5.140625" style="2" customWidth="1"/>
    <col min="4605" max="4606" width="17.5703125" style="2" customWidth="1"/>
    <col min="4607" max="4850" width="9.140625" style="2"/>
    <col min="4851" max="4851" width="3.7109375" style="2" customWidth="1"/>
    <col min="4852" max="4852" width="96.85546875" style="2" customWidth="1"/>
    <col min="4853" max="4853" width="30.85546875" style="2" customWidth="1"/>
    <col min="4854" max="4854" width="12.5703125" style="2" customWidth="1"/>
    <col min="4855" max="4855" width="5.140625" style="2" customWidth="1"/>
    <col min="4856" max="4856" width="9.140625" style="2"/>
    <col min="4857" max="4857" width="4.85546875" style="2" customWidth="1"/>
    <col min="4858" max="4858" width="30.5703125" style="2" customWidth="1"/>
    <col min="4859" max="4859" width="33.85546875" style="2" customWidth="1"/>
    <col min="4860" max="4860" width="5.140625" style="2" customWidth="1"/>
    <col min="4861" max="4862" width="17.5703125" style="2" customWidth="1"/>
    <col min="4863" max="5106" width="9.140625" style="2"/>
    <col min="5107" max="5107" width="3.7109375" style="2" customWidth="1"/>
    <col min="5108" max="5108" width="96.85546875" style="2" customWidth="1"/>
    <col min="5109" max="5109" width="30.85546875" style="2" customWidth="1"/>
    <col min="5110" max="5110" width="12.5703125" style="2" customWidth="1"/>
    <col min="5111" max="5111" width="5.140625" style="2" customWidth="1"/>
    <col min="5112" max="5112" width="9.140625" style="2"/>
    <col min="5113" max="5113" width="4.85546875" style="2" customWidth="1"/>
    <col min="5114" max="5114" width="30.5703125" style="2" customWidth="1"/>
    <col min="5115" max="5115" width="33.85546875" style="2" customWidth="1"/>
    <col min="5116" max="5116" width="5.140625" style="2" customWidth="1"/>
    <col min="5117" max="5118" width="17.5703125" style="2" customWidth="1"/>
    <col min="5119" max="5362" width="9.140625" style="2"/>
    <col min="5363" max="5363" width="3.7109375" style="2" customWidth="1"/>
    <col min="5364" max="5364" width="96.85546875" style="2" customWidth="1"/>
    <col min="5365" max="5365" width="30.85546875" style="2" customWidth="1"/>
    <col min="5366" max="5366" width="12.5703125" style="2" customWidth="1"/>
    <col min="5367" max="5367" width="5.140625" style="2" customWidth="1"/>
    <col min="5368" max="5368" width="9.140625" style="2"/>
    <col min="5369" max="5369" width="4.85546875" style="2" customWidth="1"/>
    <col min="5370" max="5370" width="30.5703125" style="2" customWidth="1"/>
    <col min="5371" max="5371" width="33.85546875" style="2" customWidth="1"/>
    <col min="5372" max="5372" width="5.140625" style="2" customWidth="1"/>
    <col min="5373" max="5374" width="17.5703125" style="2" customWidth="1"/>
    <col min="5375" max="5618" width="9.140625" style="2"/>
    <col min="5619" max="5619" width="3.7109375" style="2" customWidth="1"/>
    <col min="5620" max="5620" width="96.85546875" style="2" customWidth="1"/>
    <col min="5621" max="5621" width="30.85546875" style="2" customWidth="1"/>
    <col min="5622" max="5622" width="12.5703125" style="2" customWidth="1"/>
    <col min="5623" max="5623" width="5.140625" style="2" customWidth="1"/>
    <col min="5624" max="5624" width="9.140625" style="2"/>
    <col min="5625" max="5625" width="4.85546875" style="2" customWidth="1"/>
    <col min="5626" max="5626" width="30.5703125" style="2" customWidth="1"/>
    <col min="5627" max="5627" width="33.85546875" style="2" customWidth="1"/>
    <col min="5628" max="5628" width="5.140625" style="2" customWidth="1"/>
    <col min="5629" max="5630" width="17.5703125" style="2" customWidth="1"/>
    <col min="5631" max="5874" width="9.140625" style="2"/>
    <col min="5875" max="5875" width="3.7109375" style="2" customWidth="1"/>
    <col min="5876" max="5876" width="96.85546875" style="2" customWidth="1"/>
    <col min="5877" max="5877" width="30.85546875" style="2" customWidth="1"/>
    <col min="5878" max="5878" width="12.5703125" style="2" customWidth="1"/>
    <col min="5879" max="5879" width="5.140625" style="2" customWidth="1"/>
    <col min="5880" max="5880" width="9.140625" style="2"/>
    <col min="5881" max="5881" width="4.85546875" style="2" customWidth="1"/>
    <col min="5882" max="5882" width="30.5703125" style="2" customWidth="1"/>
    <col min="5883" max="5883" width="33.85546875" style="2" customWidth="1"/>
    <col min="5884" max="5884" width="5.140625" style="2" customWidth="1"/>
    <col min="5885" max="5886" width="17.5703125" style="2" customWidth="1"/>
    <col min="5887" max="6130" width="9.140625" style="2"/>
    <col min="6131" max="6131" width="3.7109375" style="2" customWidth="1"/>
    <col min="6132" max="6132" width="96.85546875" style="2" customWidth="1"/>
    <col min="6133" max="6133" width="30.85546875" style="2" customWidth="1"/>
    <col min="6134" max="6134" width="12.5703125" style="2" customWidth="1"/>
    <col min="6135" max="6135" width="5.140625" style="2" customWidth="1"/>
    <col min="6136" max="6136" width="9.140625" style="2"/>
    <col min="6137" max="6137" width="4.85546875" style="2" customWidth="1"/>
    <col min="6138" max="6138" width="30.5703125" style="2" customWidth="1"/>
    <col min="6139" max="6139" width="33.85546875" style="2" customWidth="1"/>
    <col min="6140" max="6140" width="5.140625" style="2" customWidth="1"/>
    <col min="6141" max="6142" width="17.5703125" style="2" customWidth="1"/>
    <col min="6143" max="6386" width="9.140625" style="2"/>
    <col min="6387" max="6387" width="3.7109375" style="2" customWidth="1"/>
    <col min="6388" max="6388" width="96.85546875" style="2" customWidth="1"/>
    <col min="6389" max="6389" width="30.85546875" style="2" customWidth="1"/>
    <col min="6390" max="6390" width="12.5703125" style="2" customWidth="1"/>
    <col min="6391" max="6391" width="5.140625" style="2" customWidth="1"/>
    <col min="6392" max="6392" width="9.140625" style="2"/>
    <col min="6393" max="6393" width="4.85546875" style="2" customWidth="1"/>
    <col min="6394" max="6394" width="30.5703125" style="2" customWidth="1"/>
    <col min="6395" max="6395" width="33.85546875" style="2" customWidth="1"/>
    <col min="6396" max="6396" width="5.140625" style="2" customWidth="1"/>
    <col min="6397" max="6398" width="17.5703125" style="2" customWidth="1"/>
    <col min="6399" max="6642" width="9.140625" style="2"/>
    <col min="6643" max="6643" width="3.7109375" style="2" customWidth="1"/>
    <col min="6644" max="6644" width="96.85546875" style="2" customWidth="1"/>
    <col min="6645" max="6645" width="30.85546875" style="2" customWidth="1"/>
    <col min="6646" max="6646" width="12.5703125" style="2" customWidth="1"/>
    <col min="6647" max="6647" width="5.140625" style="2" customWidth="1"/>
    <col min="6648" max="6648" width="9.140625" style="2"/>
    <col min="6649" max="6649" width="4.85546875" style="2" customWidth="1"/>
    <col min="6650" max="6650" width="30.5703125" style="2" customWidth="1"/>
    <col min="6651" max="6651" width="33.85546875" style="2" customWidth="1"/>
    <col min="6652" max="6652" width="5.140625" style="2" customWidth="1"/>
    <col min="6653" max="6654" width="17.5703125" style="2" customWidth="1"/>
    <col min="6655" max="6898" width="9.140625" style="2"/>
    <col min="6899" max="6899" width="3.7109375" style="2" customWidth="1"/>
    <col min="6900" max="6900" width="96.85546875" style="2" customWidth="1"/>
    <col min="6901" max="6901" width="30.85546875" style="2" customWidth="1"/>
    <col min="6902" max="6902" width="12.5703125" style="2" customWidth="1"/>
    <col min="6903" max="6903" width="5.140625" style="2" customWidth="1"/>
    <col min="6904" max="6904" width="9.140625" style="2"/>
    <col min="6905" max="6905" width="4.85546875" style="2" customWidth="1"/>
    <col min="6906" max="6906" width="30.5703125" style="2" customWidth="1"/>
    <col min="6907" max="6907" width="33.85546875" style="2" customWidth="1"/>
    <col min="6908" max="6908" width="5.140625" style="2" customWidth="1"/>
    <col min="6909" max="6910" width="17.5703125" style="2" customWidth="1"/>
    <col min="6911" max="7154" width="9.140625" style="2"/>
    <col min="7155" max="7155" width="3.7109375" style="2" customWidth="1"/>
    <col min="7156" max="7156" width="96.85546875" style="2" customWidth="1"/>
    <col min="7157" max="7157" width="30.85546875" style="2" customWidth="1"/>
    <col min="7158" max="7158" width="12.5703125" style="2" customWidth="1"/>
    <col min="7159" max="7159" width="5.140625" style="2" customWidth="1"/>
    <col min="7160" max="7160" width="9.140625" style="2"/>
    <col min="7161" max="7161" width="4.85546875" style="2" customWidth="1"/>
    <col min="7162" max="7162" width="30.5703125" style="2" customWidth="1"/>
    <col min="7163" max="7163" width="33.85546875" style="2" customWidth="1"/>
    <col min="7164" max="7164" width="5.140625" style="2" customWidth="1"/>
    <col min="7165" max="7166" width="17.5703125" style="2" customWidth="1"/>
    <col min="7167" max="7410" width="9.140625" style="2"/>
    <col min="7411" max="7411" width="3.7109375" style="2" customWidth="1"/>
    <col min="7412" max="7412" width="96.85546875" style="2" customWidth="1"/>
    <col min="7413" max="7413" width="30.85546875" style="2" customWidth="1"/>
    <col min="7414" max="7414" width="12.5703125" style="2" customWidth="1"/>
    <col min="7415" max="7415" width="5.140625" style="2" customWidth="1"/>
    <col min="7416" max="7416" width="9.140625" style="2"/>
    <col min="7417" max="7417" width="4.85546875" style="2" customWidth="1"/>
    <col min="7418" max="7418" width="30.5703125" style="2" customWidth="1"/>
    <col min="7419" max="7419" width="33.85546875" style="2" customWidth="1"/>
    <col min="7420" max="7420" width="5.140625" style="2" customWidth="1"/>
    <col min="7421" max="7422" width="17.5703125" style="2" customWidth="1"/>
    <col min="7423" max="7666" width="9.140625" style="2"/>
    <col min="7667" max="7667" width="3.7109375" style="2" customWidth="1"/>
    <col min="7668" max="7668" width="96.85546875" style="2" customWidth="1"/>
    <col min="7669" max="7669" width="30.85546875" style="2" customWidth="1"/>
    <col min="7670" max="7670" width="12.5703125" style="2" customWidth="1"/>
    <col min="7671" max="7671" width="5.140625" style="2" customWidth="1"/>
    <col min="7672" max="7672" width="9.140625" style="2"/>
    <col min="7673" max="7673" width="4.85546875" style="2" customWidth="1"/>
    <col min="7674" max="7674" width="30.5703125" style="2" customWidth="1"/>
    <col min="7675" max="7675" width="33.85546875" style="2" customWidth="1"/>
    <col min="7676" max="7676" width="5.140625" style="2" customWidth="1"/>
    <col min="7677" max="7678" width="17.5703125" style="2" customWidth="1"/>
    <col min="7679" max="7922" width="9.140625" style="2"/>
    <col min="7923" max="7923" width="3.7109375" style="2" customWidth="1"/>
    <col min="7924" max="7924" width="96.85546875" style="2" customWidth="1"/>
    <col min="7925" max="7925" width="30.85546875" style="2" customWidth="1"/>
    <col min="7926" max="7926" width="12.5703125" style="2" customWidth="1"/>
    <col min="7927" max="7927" width="5.140625" style="2" customWidth="1"/>
    <col min="7928" max="7928" width="9.140625" style="2"/>
    <col min="7929" max="7929" width="4.85546875" style="2" customWidth="1"/>
    <col min="7930" max="7930" width="30.5703125" style="2" customWidth="1"/>
    <col min="7931" max="7931" width="33.85546875" style="2" customWidth="1"/>
    <col min="7932" max="7932" width="5.140625" style="2" customWidth="1"/>
    <col min="7933" max="7934" width="17.5703125" style="2" customWidth="1"/>
    <col min="7935" max="8178" width="9.140625" style="2"/>
    <col min="8179" max="8179" width="3.7109375" style="2" customWidth="1"/>
    <col min="8180" max="8180" width="96.85546875" style="2" customWidth="1"/>
    <col min="8181" max="8181" width="30.85546875" style="2" customWidth="1"/>
    <col min="8182" max="8182" width="12.5703125" style="2" customWidth="1"/>
    <col min="8183" max="8183" width="5.140625" style="2" customWidth="1"/>
    <col min="8184" max="8184" width="9.140625" style="2"/>
    <col min="8185" max="8185" width="4.85546875" style="2" customWidth="1"/>
    <col min="8186" max="8186" width="30.5703125" style="2" customWidth="1"/>
    <col min="8187" max="8187" width="33.85546875" style="2" customWidth="1"/>
    <col min="8188" max="8188" width="5.140625" style="2" customWidth="1"/>
    <col min="8189" max="8190" width="17.5703125" style="2" customWidth="1"/>
    <col min="8191" max="8434" width="9.140625" style="2"/>
    <col min="8435" max="8435" width="3.7109375" style="2" customWidth="1"/>
    <col min="8436" max="8436" width="96.85546875" style="2" customWidth="1"/>
    <col min="8437" max="8437" width="30.85546875" style="2" customWidth="1"/>
    <col min="8438" max="8438" width="12.5703125" style="2" customWidth="1"/>
    <col min="8439" max="8439" width="5.140625" style="2" customWidth="1"/>
    <col min="8440" max="8440" width="9.140625" style="2"/>
    <col min="8441" max="8441" width="4.85546875" style="2" customWidth="1"/>
    <col min="8442" max="8442" width="30.5703125" style="2" customWidth="1"/>
    <col min="8443" max="8443" width="33.85546875" style="2" customWidth="1"/>
    <col min="8444" max="8444" width="5.140625" style="2" customWidth="1"/>
    <col min="8445" max="8446" width="17.5703125" style="2" customWidth="1"/>
    <col min="8447" max="8690" width="9.140625" style="2"/>
    <col min="8691" max="8691" width="3.7109375" style="2" customWidth="1"/>
    <col min="8692" max="8692" width="96.85546875" style="2" customWidth="1"/>
    <col min="8693" max="8693" width="30.85546875" style="2" customWidth="1"/>
    <col min="8694" max="8694" width="12.5703125" style="2" customWidth="1"/>
    <col min="8695" max="8695" width="5.140625" style="2" customWidth="1"/>
    <col min="8696" max="8696" width="9.140625" style="2"/>
    <col min="8697" max="8697" width="4.85546875" style="2" customWidth="1"/>
    <col min="8698" max="8698" width="30.5703125" style="2" customWidth="1"/>
    <col min="8699" max="8699" width="33.85546875" style="2" customWidth="1"/>
    <col min="8700" max="8700" width="5.140625" style="2" customWidth="1"/>
    <col min="8701" max="8702" width="17.5703125" style="2" customWidth="1"/>
    <col min="8703" max="8946" width="9.140625" style="2"/>
    <col min="8947" max="8947" width="3.7109375" style="2" customWidth="1"/>
    <col min="8948" max="8948" width="96.85546875" style="2" customWidth="1"/>
    <col min="8949" max="8949" width="30.85546875" style="2" customWidth="1"/>
    <col min="8950" max="8950" width="12.5703125" style="2" customWidth="1"/>
    <col min="8951" max="8951" width="5.140625" style="2" customWidth="1"/>
    <col min="8952" max="8952" width="9.140625" style="2"/>
    <col min="8953" max="8953" width="4.85546875" style="2" customWidth="1"/>
    <col min="8954" max="8954" width="30.5703125" style="2" customWidth="1"/>
    <col min="8955" max="8955" width="33.85546875" style="2" customWidth="1"/>
    <col min="8956" max="8956" width="5.140625" style="2" customWidth="1"/>
    <col min="8957" max="8958" width="17.5703125" style="2" customWidth="1"/>
    <col min="8959" max="9202" width="9.140625" style="2"/>
    <col min="9203" max="9203" width="3.7109375" style="2" customWidth="1"/>
    <col min="9204" max="9204" width="96.85546875" style="2" customWidth="1"/>
    <col min="9205" max="9205" width="30.85546875" style="2" customWidth="1"/>
    <col min="9206" max="9206" width="12.5703125" style="2" customWidth="1"/>
    <col min="9207" max="9207" width="5.140625" style="2" customWidth="1"/>
    <col min="9208" max="9208" width="9.140625" style="2"/>
    <col min="9209" max="9209" width="4.85546875" style="2" customWidth="1"/>
    <col min="9210" max="9210" width="30.5703125" style="2" customWidth="1"/>
    <col min="9211" max="9211" width="33.85546875" style="2" customWidth="1"/>
    <col min="9212" max="9212" width="5.140625" style="2" customWidth="1"/>
    <col min="9213" max="9214" width="17.5703125" style="2" customWidth="1"/>
    <col min="9215" max="9458" width="9.140625" style="2"/>
    <col min="9459" max="9459" width="3.7109375" style="2" customWidth="1"/>
    <col min="9460" max="9460" width="96.85546875" style="2" customWidth="1"/>
    <col min="9461" max="9461" width="30.85546875" style="2" customWidth="1"/>
    <col min="9462" max="9462" width="12.5703125" style="2" customWidth="1"/>
    <col min="9463" max="9463" width="5.140625" style="2" customWidth="1"/>
    <col min="9464" max="9464" width="9.140625" style="2"/>
    <col min="9465" max="9465" width="4.85546875" style="2" customWidth="1"/>
    <col min="9466" max="9466" width="30.5703125" style="2" customWidth="1"/>
    <col min="9467" max="9467" width="33.85546875" style="2" customWidth="1"/>
    <col min="9468" max="9468" width="5.140625" style="2" customWidth="1"/>
    <col min="9469" max="9470" width="17.5703125" style="2" customWidth="1"/>
    <col min="9471" max="9714" width="9.140625" style="2"/>
    <col min="9715" max="9715" width="3.7109375" style="2" customWidth="1"/>
    <col min="9716" max="9716" width="96.85546875" style="2" customWidth="1"/>
    <col min="9717" max="9717" width="30.85546875" style="2" customWidth="1"/>
    <col min="9718" max="9718" width="12.5703125" style="2" customWidth="1"/>
    <col min="9719" max="9719" width="5.140625" style="2" customWidth="1"/>
    <col min="9720" max="9720" width="9.140625" style="2"/>
    <col min="9721" max="9721" width="4.85546875" style="2" customWidth="1"/>
    <col min="9722" max="9722" width="30.5703125" style="2" customWidth="1"/>
    <col min="9723" max="9723" width="33.85546875" style="2" customWidth="1"/>
    <col min="9724" max="9724" width="5.140625" style="2" customWidth="1"/>
    <col min="9725" max="9726" width="17.5703125" style="2" customWidth="1"/>
    <col min="9727" max="9970" width="9.140625" style="2"/>
    <col min="9971" max="9971" width="3.7109375" style="2" customWidth="1"/>
    <col min="9972" max="9972" width="96.85546875" style="2" customWidth="1"/>
    <col min="9973" max="9973" width="30.85546875" style="2" customWidth="1"/>
    <col min="9974" max="9974" width="12.5703125" style="2" customWidth="1"/>
    <col min="9975" max="9975" width="5.140625" style="2" customWidth="1"/>
    <col min="9976" max="9976" width="9.140625" style="2"/>
    <col min="9977" max="9977" width="4.85546875" style="2" customWidth="1"/>
    <col min="9978" max="9978" width="30.5703125" style="2" customWidth="1"/>
    <col min="9979" max="9979" width="33.85546875" style="2" customWidth="1"/>
    <col min="9980" max="9980" width="5.140625" style="2" customWidth="1"/>
    <col min="9981" max="9982" width="17.5703125" style="2" customWidth="1"/>
    <col min="9983" max="10226" width="9.140625" style="2"/>
    <col min="10227" max="10227" width="3.7109375" style="2" customWidth="1"/>
    <col min="10228" max="10228" width="96.85546875" style="2" customWidth="1"/>
    <col min="10229" max="10229" width="30.85546875" style="2" customWidth="1"/>
    <col min="10230" max="10230" width="12.5703125" style="2" customWidth="1"/>
    <col min="10231" max="10231" width="5.140625" style="2" customWidth="1"/>
    <col min="10232" max="10232" width="9.140625" style="2"/>
    <col min="10233" max="10233" width="4.85546875" style="2" customWidth="1"/>
    <col min="10234" max="10234" width="30.5703125" style="2" customWidth="1"/>
    <col min="10235" max="10235" width="33.85546875" style="2" customWidth="1"/>
    <col min="10236" max="10236" width="5.140625" style="2" customWidth="1"/>
    <col min="10237" max="10238" width="17.5703125" style="2" customWidth="1"/>
    <col min="10239" max="10482" width="9.140625" style="2"/>
    <col min="10483" max="10483" width="3.7109375" style="2" customWidth="1"/>
    <col min="10484" max="10484" width="96.85546875" style="2" customWidth="1"/>
    <col min="10485" max="10485" width="30.85546875" style="2" customWidth="1"/>
    <col min="10486" max="10486" width="12.5703125" style="2" customWidth="1"/>
    <col min="10487" max="10487" width="5.140625" style="2" customWidth="1"/>
    <col min="10488" max="10488" width="9.140625" style="2"/>
    <col min="10489" max="10489" width="4.85546875" style="2" customWidth="1"/>
    <col min="10490" max="10490" width="30.5703125" style="2" customWidth="1"/>
    <col min="10491" max="10491" width="33.85546875" style="2" customWidth="1"/>
    <col min="10492" max="10492" width="5.140625" style="2" customWidth="1"/>
    <col min="10493" max="10494" width="17.5703125" style="2" customWidth="1"/>
    <col min="10495" max="10738" width="9.140625" style="2"/>
    <col min="10739" max="10739" width="3.7109375" style="2" customWidth="1"/>
    <col min="10740" max="10740" width="96.85546875" style="2" customWidth="1"/>
    <col min="10741" max="10741" width="30.85546875" style="2" customWidth="1"/>
    <col min="10742" max="10742" width="12.5703125" style="2" customWidth="1"/>
    <col min="10743" max="10743" width="5.140625" style="2" customWidth="1"/>
    <col min="10744" max="10744" width="9.140625" style="2"/>
    <col min="10745" max="10745" width="4.85546875" style="2" customWidth="1"/>
    <col min="10746" max="10746" width="30.5703125" style="2" customWidth="1"/>
    <col min="10747" max="10747" width="33.85546875" style="2" customWidth="1"/>
    <col min="10748" max="10748" width="5.140625" style="2" customWidth="1"/>
    <col min="10749" max="10750" width="17.5703125" style="2" customWidth="1"/>
    <col min="10751" max="10994" width="9.140625" style="2"/>
    <col min="10995" max="10995" width="3.7109375" style="2" customWidth="1"/>
    <col min="10996" max="10996" width="96.85546875" style="2" customWidth="1"/>
    <col min="10997" max="10997" width="30.85546875" style="2" customWidth="1"/>
    <col min="10998" max="10998" width="12.5703125" style="2" customWidth="1"/>
    <col min="10999" max="10999" width="5.140625" style="2" customWidth="1"/>
    <col min="11000" max="11000" width="9.140625" style="2"/>
    <col min="11001" max="11001" width="4.85546875" style="2" customWidth="1"/>
    <col min="11002" max="11002" width="30.5703125" style="2" customWidth="1"/>
    <col min="11003" max="11003" width="33.85546875" style="2" customWidth="1"/>
    <col min="11004" max="11004" width="5.140625" style="2" customWidth="1"/>
    <col min="11005" max="11006" width="17.5703125" style="2" customWidth="1"/>
    <col min="11007" max="11250" width="9.140625" style="2"/>
    <col min="11251" max="11251" width="3.7109375" style="2" customWidth="1"/>
    <col min="11252" max="11252" width="96.85546875" style="2" customWidth="1"/>
    <col min="11253" max="11253" width="30.85546875" style="2" customWidth="1"/>
    <col min="11254" max="11254" width="12.5703125" style="2" customWidth="1"/>
    <col min="11255" max="11255" width="5.140625" style="2" customWidth="1"/>
    <col min="11256" max="11256" width="9.140625" style="2"/>
    <col min="11257" max="11257" width="4.85546875" style="2" customWidth="1"/>
    <col min="11258" max="11258" width="30.5703125" style="2" customWidth="1"/>
    <col min="11259" max="11259" width="33.85546875" style="2" customWidth="1"/>
    <col min="11260" max="11260" width="5.140625" style="2" customWidth="1"/>
    <col min="11261" max="11262" width="17.5703125" style="2" customWidth="1"/>
    <col min="11263" max="11506" width="9.140625" style="2"/>
    <col min="11507" max="11507" width="3.7109375" style="2" customWidth="1"/>
    <col min="11508" max="11508" width="96.85546875" style="2" customWidth="1"/>
    <col min="11509" max="11509" width="30.85546875" style="2" customWidth="1"/>
    <col min="11510" max="11510" width="12.5703125" style="2" customWidth="1"/>
    <col min="11511" max="11511" width="5.140625" style="2" customWidth="1"/>
    <col min="11512" max="11512" width="9.140625" style="2"/>
    <col min="11513" max="11513" width="4.85546875" style="2" customWidth="1"/>
    <col min="11514" max="11514" width="30.5703125" style="2" customWidth="1"/>
    <col min="11515" max="11515" width="33.85546875" style="2" customWidth="1"/>
    <col min="11516" max="11516" width="5.140625" style="2" customWidth="1"/>
    <col min="11517" max="11518" width="17.5703125" style="2" customWidth="1"/>
    <col min="11519" max="11762" width="9.140625" style="2"/>
    <col min="11763" max="11763" width="3.7109375" style="2" customWidth="1"/>
    <col min="11764" max="11764" width="96.85546875" style="2" customWidth="1"/>
    <col min="11765" max="11765" width="30.85546875" style="2" customWidth="1"/>
    <col min="11766" max="11766" width="12.5703125" style="2" customWidth="1"/>
    <col min="11767" max="11767" width="5.140625" style="2" customWidth="1"/>
    <col min="11768" max="11768" width="9.140625" style="2"/>
    <col min="11769" max="11769" width="4.85546875" style="2" customWidth="1"/>
    <col min="11770" max="11770" width="30.5703125" style="2" customWidth="1"/>
    <col min="11771" max="11771" width="33.85546875" style="2" customWidth="1"/>
    <col min="11772" max="11772" width="5.140625" style="2" customWidth="1"/>
    <col min="11773" max="11774" width="17.5703125" style="2" customWidth="1"/>
    <col min="11775" max="12018" width="9.140625" style="2"/>
    <col min="12019" max="12019" width="3.7109375" style="2" customWidth="1"/>
    <col min="12020" max="12020" width="96.85546875" style="2" customWidth="1"/>
    <col min="12021" max="12021" width="30.85546875" style="2" customWidth="1"/>
    <col min="12022" max="12022" width="12.5703125" style="2" customWidth="1"/>
    <col min="12023" max="12023" width="5.140625" style="2" customWidth="1"/>
    <col min="12024" max="12024" width="9.140625" style="2"/>
    <col min="12025" max="12025" width="4.85546875" style="2" customWidth="1"/>
    <col min="12026" max="12026" width="30.5703125" style="2" customWidth="1"/>
    <col min="12027" max="12027" width="33.85546875" style="2" customWidth="1"/>
    <col min="12028" max="12028" width="5.140625" style="2" customWidth="1"/>
    <col min="12029" max="12030" width="17.5703125" style="2" customWidth="1"/>
    <col min="12031" max="12274" width="9.140625" style="2"/>
    <col min="12275" max="12275" width="3.7109375" style="2" customWidth="1"/>
    <col min="12276" max="12276" width="96.85546875" style="2" customWidth="1"/>
    <col min="12277" max="12277" width="30.85546875" style="2" customWidth="1"/>
    <col min="12278" max="12278" width="12.5703125" style="2" customWidth="1"/>
    <col min="12279" max="12279" width="5.140625" style="2" customWidth="1"/>
    <col min="12280" max="12280" width="9.140625" style="2"/>
    <col min="12281" max="12281" width="4.85546875" style="2" customWidth="1"/>
    <col min="12282" max="12282" width="30.5703125" style="2" customWidth="1"/>
    <col min="12283" max="12283" width="33.85546875" style="2" customWidth="1"/>
    <col min="12284" max="12284" width="5.140625" style="2" customWidth="1"/>
    <col min="12285" max="12286" width="17.5703125" style="2" customWidth="1"/>
    <col min="12287" max="12530" width="9.140625" style="2"/>
    <col min="12531" max="12531" width="3.7109375" style="2" customWidth="1"/>
    <col min="12532" max="12532" width="96.85546875" style="2" customWidth="1"/>
    <col min="12533" max="12533" width="30.85546875" style="2" customWidth="1"/>
    <col min="12534" max="12534" width="12.5703125" style="2" customWidth="1"/>
    <col min="12535" max="12535" width="5.140625" style="2" customWidth="1"/>
    <col min="12536" max="12536" width="9.140625" style="2"/>
    <col min="12537" max="12537" width="4.85546875" style="2" customWidth="1"/>
    <col min="12538" max="12538" width="30.5703125" style="2" customWidth="1"/>
    <col min="12539" max="12539" width="33.85546875" style="2" customWidth="1"/>
    <col min="12540" max="12540" width="5.140625" style="2" customWidth="1"/>
    <col min="12541" max="12542" width="17.5703125" style="2" customWidth="1"/>
    <col min="12543" max="12786" width="9.140625" style="2"/>
    <col min="12787" max="12787" width="3.7109375" style="2" customWidth="1"/>
    <col min="12788" max="12788" width="96.85546875" style="2" customWidth="1"/>
    <col min="12789" max="12789" width="30.85546875" style="2" customWidth="1"/>
    <col min="12790" max="12790" width="12.5703125" style="2" customWidth="1"/>
    <col min="12791" max="12791" width="5.140625" style="2" customWidth="1"/>
    <col min="12792" max="12792" width="9.140625" style="2"/>
    <col min="12793" max="12793" width="4.85546875" style="2" customWidth="1"/>
    <col min="12794" max="12794" width="30.5703125" style="2" customWidth="1"/>
    <col min="12795" max="12795" width="33.85546875" style="2" customWidth="1"/>
    <col min="12796" max="12796" width="5.140625" style="2" customWidth="1"/>
    <col min="12797" max="12798" width="17.5703125" style="2" customWidth="1"/>
    <col min="12799" max="13042" width="9.140625" style="2"/>
    <col min="13043" max="13043" width="3.7109375" style="2" customWidth="1"/>
    <col min="13044" max="13044" width="96.85546875" style="2" customWidth="1"/>
    <col min="13045" max="13045" width="30.85546875" style="2" customWidth="1"/>
    <col min="13046" max="13046" width="12.5703125" style="2" customWidth="1"/>
    <col min="13047" max="13047" width="5.140625" style="2" customWidth="1"/>
    <col min="13048" max="13048" width="9.140625" style="2"/>
    <col min="13049" max="13049" width="4.85546875" style="2" customWidth="1"/>
    <col min="13050" max="13050" width="30.5703125" style="2" customWidth="1"/>
    <col min="13051" max="13051" width="33.85546875" style="2" customWidth="1"/>
    <col min="13052" max="13052" width="5.140625" style="2" customWidth="1"/>
    <col min="13053" max="13054" width="17.5703125" style="2" customWidth="1"/>
    <col min="13055" max="13298" width="9.140625" style="2"/>
    <col min="13299" max="13299" width="3.7109375" style="2" customWidth="1"/>
    <col min="13300" max="13300" width="96.85546875" style="2" customWidth="1"/>
    <col min="13301" max="13301" width="30.85546875" style="2" customWidth="1"/>
    <col min="13302" max="13302" width="12.5703125" style="2" customWidth="1"/>
    <col min="13303" max="13303" width="5.140625" style="2" customWidth="1"/>
    <col min="13304" max="13304" width="9.140625" style="2"/>
    <col min="13305" max="13305" width="4.85546875" style="2" customWidth="1"/>
    <col min="13306" max="13306" width="30.5703125" style="2" customWidth="1"/>
    <col min="13307" max="13307" width="33.85546875" style="2" customWidth="1"/>
    <col min="13308" max="13308" width="5.140625" style="2" customWidth="1"/>
    <col min="13309" max="13310" width="17.5703125" style="2" customWidth="1"/>
    <col min="13311" max="13554" width="9.140625" style="2"/>
    <col min="13555" max="13555" width="3.7109375" style="2" customWidth="1"/>
    <col min="13556" max="13556" width="96.85546875" style="2" customWidth="1"/>
    <col min="13557" max="13557" width="30.85546875" style="2" customWidth="1"/>
    <col min="13558" max="13558" width="12.5703125" style="2" customWidth="1"/>
    <col min="13559" max="13559" width="5.140625" style="2" customWidth="1"/>
    <col min="13560" max="13560" width="9.140625" style="2"/>
    <col min="13561" max="13561" width="4.85546875" style="2" customWidth="1"/>
    <col min="13562" max="13562" width="30.5703125" style="2" customWidth="1"/>
    <col min="13563" max="13563" width="33.85546875" style="2" customWidth="1"/>
    <col min="13564" max="13564" width="5.140625" style="2" customWidth="1"/>
    <col min="13565" max="13566" width="17.5703125" style="2" customWidth="1"/>
    <col min="13567" max="13810" width="9.140625" style="2"/>
    <col min="13811" max="13811" width="3.7109375" style="2" customWidth="1"/>
    <col min="13812" max="13812" width="96.85546875" style="2" customWidth="1"/>
    <col min="13813" max="13813" width="30.85546875" style="2" customWidth="1"/>
    <col min="13814" max="13814" width="12.5703125" style="2" customWidth="1"/>
    <col min="13815" max="13815" width="5.140625" style="2" customWidth="1"/>
    <col min="13816" max="13816" width="9.140625" style="2"/>
    <col min="13817" max="13817" width="4.85546875" style="2" customWidth="1"/>
    <col min="13818" max="13818" width="30.5703125" style="2" customWidth="1"/>
    <col min="13819" max="13819" width="33.85546875" style="2" customWidth="1"/>
    <col min="13820" max="13820" width="5.140625" style="2" customWidth="1"/>
    <col min="13821" max="13822" width="17.5703125" style="2" customWidth="1"/>
    <col min="13823" max="14066" width="9.140625" style="2"/>
    <col min="14067" max="14067" width="3.7109375" style="2" customWidth="1"/>
    <col min="14068" max="14068" width="96.85546875" style="2" customWidth="1"/>
    <col min="14069" max="14069" width="30.85546875" style="2" customWidth="1"/>
    <col min="14070" max="14070" width="12.5703125" style="2" customWidth="1"/>
    <col min="14071" max="14071" width="5.140625" style="2" customWidth="1"/>
    <col min="14072" max="14072" width="9.140625" style="2"/>
    <col min="14073" max="14073" width="4.85546875" style="2" customWidth="1"/>
    <col min="14074" max="14074" width="30.5703125" style="2" customWidth="1"/>
    <col min="14075" max="14075" width="33.85546875" style="2" customWidth="1"/>
    <col min="14076" max="14076" width="5.140625" style="2" customWidth="1"/>
    <col min="14077" max="14078" width="17.5703125" style="2" customWidth="1"/>
    <col min="14079" max="14322" width="9.140625" style="2"/>
    <col min="14323" max="14323" width="3.7109375" style="2" customWidth="1"/>
    <col min="14324" max="14324" width="96.85546875" style="2" customWidth="1"/>
    <col min="14325" max="14325" width="30.85546875" style="2" customWidth="1"/>
    <col min="14326" max="14326" width="12.5703125" style="2" customWidth="1"/>
    <col min="14327" max="14327" width="5.140625" style="2" customWidth="1"/>
    <col min="14328" max="14328" width="9.140625" style="2"/>
    <col min="14329" max="14329" width="4.85546875" style="2" customWidth="1"/>
    <col min="14330" max="14330" width="30.5703125" style="2" customWidth="1"/>
    <col min="14331" max="14331" width="33.85546875" style="2" customWidth="1"/>
    <col min="14332" max="14332" width="5.140625" style="2" customWidth="1"/>
    <col min="14333" max="14334" width="17.5703125" style="2" customWidth="1"/>
    <col min="14335" max="14578" width="9.140625" style="2"/>
    <col min="14579" max="14579" width="3.7109375" style="2" customWidth="1"/>
    <col min="14580" max="14580" width="96.85546875" style="2" customWidth="1"/>
    <col min="14581" max="14581" width="30.85546875" style="2" customWidth="1"/>
    <col min="14582" max="14582" width="12.5703125" style="2" customWidth="1"/>
    <col min="14583" max="14583" width="5.140625" style="2" customWidth="1"/>
    <col min="14584" max="14584" width="9.140625" style="2"/>
    <col min="14585" max="14585" width="4.85546875" style="2" customWidth="1"/>
    <col min="14586" max="14586" width="30.5703125" style="2" customWidth="1"/>
    <col min="14587" max="14587" width="33.85546875" style="2" customWidth="1"/>
    <col min="14588" max="14588" width="5.140625" style="2" customWidth="1"/>
    <col min="14589" max="14590" width="17.5703125" style="2" customWidth="1"/>
    <col min="14591" max="14834" width="9.140625" style="2"/>
    <col min="14835" max="14835" width="3.7109375" style="2" customWidth="1"/>
    <col min="14836" max="14836" width="96.85546875" style="2" customWidth="1"/>
    <col min="14837" max="14837" width="30.85546875" style="2" customWidth="1"/>
    <col min="14838" max="14838" width="12.5703125" style="2" customWidth="1"/>
    <col min="14839" max="14839" width="5.140625" style="2" customWidth="1"/>
    <col min="14840" max="14840" width="9.140625" style="2"/>
    <col min="14841" max="14841" width="4.85546875" style="2" customWidth="1"/>
    <col min="14842" max="14842" width="30.5703125" style="2" customWidth="1"/>
    <col min="14843" max="14843" width="33.85546875" style="2" customWidth="1"/>
    <col min="14844" max="14844" width="5.140625" style="2" customWidth="1"/>
    <col min="14845" max="14846" width="17.5703125" style="2" customWidth="1"/>
    <col min="14847" max="15090" width="9.140625" style="2"/>
    <col min="15091" max="15091" width="3.7109375" style="2" customWidth="1"/>
    <col min="15092" max="15092" width="96.85546875" style="2" customWidth="1"/>
    <col min="15093" max="15093" width="30.85546875" style="2" customWidth="1"/>
    <col min="15094" max="15094" width="12.5703125" style="2" customWidth="1"/>
    <col min="15095" max="15095" width="5.140625" style="2" customWidth="1"/>
    <col min="15096" max="15096" width="9.140625" style="2"/>
    <col min="15097" max="15097" width="4.85546875" style="2" customWidth="1"/>
    <col min="15098" max="15098" width="30.5703125" style="2" customWidth="1"/>
    <col min="15099" max="15099" width="33.85546875" style="2" customWidth="1"/>
    <col min="15100" max="15100" width="5.140625" style="2" customWidth="1"/>
    <col min="15101" max="15102" width="17.5703125" style="2" customWidth="1"/>
    <col min="15103" max="15346" width="9.140625" style="2"/>
    <col min="15347" max="15347" width="3.7109375" style="2" customWidth="1"/>
    <col min="15348" max="15348" width="96.85546875" style="2" customWidth="1"/>
    <col min="15349" max="15349" width="30.85546875" style="2" customWidth="1"/>
    <col min="15350" max="15350" width="12.5703125" style="2" customWidth="1"/>
    <col min="15351" max="15351" width="5.140625" style="2" customWidth="1"/>
    <col min="15352" max="15352" width="9.140625" style="2"/>
    <col min="15353" max="15353" width="4.85546875" style="2" customWidth="1"/>
    <col min="15354" max="15354" width="30.5703125" style="2" customWidth="1"/>
    <col min="15355" max="15355" width="33.85546875" style="2" customWidth="1"/>
    <col min="15356" max="15356" width="5.140625" style="2" customWidth="1"/>
    <col min="15357" max="15358" width="17.5703125" style="2" customWidth="1"/>
    <col min="15359" max="15602" width="9.140625" style="2"/>
    <col min="15603" max="15603" width="3.7109375" style="2" customWidth="1"/>
    <col min="15604" max="15604" width="96.85546875" style="2" customWidth="1"/>
    <col min="15605" max="15605" width="30.85546875" style="2" customWidth="1"/>
    <col min="15606" max="15606" width="12.5703125" style="2" customWidth="1"/>
    <col min="15607" max="15607" width="5.140625" style="2" customWidth="1"/>
    <col min="15608" max="15608" width="9.140625" style="2"/>
    <col min="15609" max="15609" width="4.85546875" style="2" customWidth="1"/>
    <col min="15610" max="15610" width="30.5703125" style="2" customWidth="1"/>
    <col min="15611" max="15611" width="33.85546875" style="2" customWidth="1"/>
    <col min="15612" max="15612" width="5.140625" style="2" customWidth="1"/>
    <col min="15613" max="15614" width="17.5703125" style="2" customWidth="1"/>
    <col min="15615" max="15858" width="9.140625" style="2"/>
    <col min="15859" max="15859" width="3.7109375" style="2" customWidth="1"/>
    <col min="15860" max="15860" width="96.85546875" style="2" customWidth="1"/>
    <col min="15861" max="15861" width="30.85546875" style="2" customWidth="1"/>
    <col min="15862" max="15862" width="12.5703125" style="2" customWidth="1"/>
    <col min="15863" max="15863" width="5.140625" style="2" customWidth="1"/>
    <col min="15864" max="15864" width="9.140625" style="2"/>
    <col min="15865" max="15865" width="4.85546875" style="2" customWidth="1"/>
    <col min="15866" max="15866" width="30.5703125" style="2" customWidth="1"/>
    <col min="15867" max="15867" width="33.85546875" style="2" customWidth="1"/>
    <col min="15868" max="15868" width="5.140625" style="2" customWidth="1"/>
    <col min="15869" max="15870" width="17.5703125" style="2" customWidth="1"/>
    <col min="15871" max="16114" width="9.140625" style="2"/>
    <col min="16115" max="16115" width="3.7109375" style="2" customWidth="1"/>
    <col min="16116" max="16116" width="96.85546875" style="2" customWidth="1"/>
    <col min="16117" max="16117" width="30.85546875" style="2" customWidth="1"/>
    <col min="16118" max="16118" width="12.5703125" style="2" customWidth="1"/>
    <col min="16119" max="16119" width="5.140625" style="2" customWidth="1"/>
    <col min="16120" max="16120" width="9.140625" style="2"/>
    <col min="16121" max="16121" width="4.85546875" style="2" customWidth="1"/>
    <col min="16122" max="16122" width="30.5703125" style="2" customWidth="1"/>
    <col min="16123" max="16123" width="33.85546875" style="2" customWidth="1"/>
    <col min="16124" max="16124" width="5.140625" style="2" customWidth="1"/>
    <col min="16125" max="16126" width="17.5703125" style="2" customWidth="1"/>
    <col min="16127" max="16384" width="9.140625" style="2"/>
  </cols>
  <sheetData>
    <row r="1" spans="1:3" ht="48" customHeight="1" x14ac:dyDescent="0.2">
      <c r="A1" s="3"/>
      <c r="B1" s="143" t="s">
        <v>227</v>
      </c>
      <c r="C1" s="143"/>
    </row>
    <row r="2" spans="1:3" x14ac:dyDescent="0.2">
      <c r="A2" s="3"/>
      <c r="B2" s="4" t="s">
        <v>1</v>
      </c>
      <c r="C2" s="5">
        <v>46052</v>
      </c>
    </row>
    <row r="3" spans="1:3" x14ac:dyDescent="0.2">
      <c r="A3" s="3"/>
      <c r="B3" s="117" t="s">
        <v>2</v>
      </c>
      <c r="C3" s="7"/>
    </row>
    <row r="4" spans="1:3" ht="21" customHeight="1" x14ac:dyDescent="0.2">
      <c r="A4" s="8"/>
      <c r="B4" s="9" t="str">
        <f>[24]И1!D13</f>
        <v>Субъект Российской Федерации</v>
      </c>
      <c r="C4" s="10" t="str">
        <f>[24]И1!E13</f>
        <v>Новосибирская область</v>
      </c>
    </row>
    <row r="5" spans="1:3" ht="37.5" customHeight="1" x14ac:dyDescent="0.2">
      <c r="A5" s="8"/>
      <c r="B5" s="9" t="str">
        <f>[24]И1!D14</f>
        <v>Тип муниципального образования (выберите из списка)</v>
      </c>
      <c r="C5" s="10" t="str">
        <f>[25]И1!E14</f>
        <v>село Лебедевка, Искитимский муниципальный район</v>
      </c>
    </row>
    <row r="6" spans="1:3" x14ac:dyDescent="0.2">
      <c r="A6" s="8"/>
      <c r="B6" s="9" t="str">
        <f>IF([24]И1!E15="","",[24]И1!D15)</f>
        <v/>
      </c>
      <c r="C6" s="7">
        <f>IF([24]И1!E15="","",[24]И1!E15)</f>
        <v>0</v>
      </c>
    </row>
    <row r="7" spans="1:3" x14ac:dyDescent="0.2">
      <c r="A7" s="8"/>
      <c r="B7" s="9" t="str">
        <f>[24]И1!D16</f>
        <v>Код ОКТМО</v>
      </c>
      <c r="C7" s="11" t="str">
        <f>[25]И1!E16</f>
        <v xml:space="preserve"> (50615422101)</v>
      </c>
    </row>
    <row r="8" spans="1:3" x14ac:dyDescent="0.2">
      <c r="A8" s="8"/>
      <c r="B8" s="12" t="str">
        <f>[24]И1!D17</f>
        <v>Система теплоснабжения</v>
      </c>
      <c r="C8" s="13">
        <f>[24]И1!E17</f>
        <v>0</v>
      </c>
    </row>
    <row r="9" spans="1:3" x14ac:dyDescent="0.2">
      <c r="A9" s="8"/>
      <c r="B9" s="9" t="str">
        <f>[24]И1!D8</f>
        <v>Период регулирования (i)-й</v>
      </c>
      <c r="C9" s="14">
        <f>[24]И1!E8</f>
        <v>2026</v>
      </c>
    </row>
    <row r="10" spans="1:3" x14ac:dyDescent="0.2">
      <c r="A10" s="8"/>
      <c r="B10" s="9" t="str">
        <f>[24]И1!D9</f>
        <v>Период регулирования (i-1)-й</v>
      </c>
      <c r="C10" s="14">
        <f>[24]И1!E9</f>
        <v>2025</v>
      </c>
    </row>
    <row r="11" spans="1:3" x14ac:dyDescent="0.2">
      <c r="A11" s="8"/>
      <c r="B11" s="9" t="str">
        <f>[24]И1!D10</f>
        <v>Период регулирования (i-2)-й</v>
      </c>
      <c r="C11" s="14">
        <f>[24]И1!E10</f>
        <v>2024</v>
      </c>
    </row>
    <row r="12" spans="1:3" x14ac:dyDescent="0.2">
      <c r="A12" s="8"/>
      <c r="B12" s="9" t="str">
        <f>[24]И1!D11</f>
        <v>Базовый год (б)</v>
      </c>
      <c r="C12" s="14">
        <f>[24]И1!E11</f>
        <v>2019</v>
      </c>
    </row>
    <row r="13" spans="1:3" x14ac:dyDescent="0.2">
      <c r="A13" s="8"/>
      <c r="B13" s="9" t="str">
        <f>[24]И1!D18</f>
        <v>Вид топлива, использование которого преобладает в системе теплоснабжения</v>
      </c>
      <c r="C13" s="15" t="str">
        <f>[24]И1!E18</f>
        <v>Газ</v>
      </c>
    </row>
    <row r="14" spans="1:3" ht="26.25" customHeight="1" thickBot="1" x14ac:dyDescent="0.25">
      <c r="A14" s="147" t="s">
        <v>3</v>
      </c>
      <c r="B14" s="147"/>
      <c r="C14" s="147"/>
    </row>
    <row r="15" spans="1:3" x14ac:dyDescent="0.2">
      <c r="A15" s="16" t="s">
        <v>4</v>
      </c>
      <c r="B15" s="30" t="s">
        <v>5</v>
      </c>
      <c r="C15" s="118" t="s">
        <v>6</v>
      </c>
    </row>
    <row r="16" spans="1:3" x14ac:dyDescent="0.2">
      <c r="A16" s="19">
        <v>1</v>
      </c>
      <c r="B16" s="119">
        <v>2</v>
      </c>
      <c r="C16" s="120">
        <v>3</v>
      </c>
    </row>
    <row r="17" spans="1:3" x14ac:dyDescent="0.2">
      <c r="A17" s="22">
        <v>1</v>
      </c>
      <c r="B17" s="23" t="s">
        <v>7</v>
      </c>
      <c r="C17" s="24">
        <f>SUM(C18:C23)</f>
        <v>4430.7385976531414</v>
      </c>
    </row>
    <row r="18" spans="1:3" ht="42.75" x14ac:dyDescent="0.2">
      <c r="A18" s="22" t="s">
        <v>8</v>
      </c>
      <c r="B18" s="25" t="s">
        <v>9</v>
      </c>
      <c r="C18" s="26">
        <f>[24]С1!F12</f>
        <v>1278.3072413778675</v>
      </c>
    </row>
    <row r="19" spans="1:3" ht="42.75" x14ac:dyDescent="0.2">
      <c r="A19" s="22" t="s">
        <v>10</v>
      </c>
      <c r="B19" s="25" t="s">
        <v>11</v>
      </c>
      <c r="C19" s="26">
        <f>[24]С2!F12</f>
        <v>2138.4809328120286</v>
      </c>
    </row>
    <row r="20" spans="1:3" ht="30" x14ac:dyDescent="0.2">
      <c r="A20" s="22" t="s">
        <v>12</v>
      </c>
      <c r="B20" s="25" t="s">
        <v>13</v>
      </c>
      <c r="C20" s="26">
        <f>[24]С3!F12</f>
        <v>648.30389958699197</v>
      </c>
    </row>
    <row r="21" spans="1:3" ht="42.75" x14ac:dyDescent="0.2">
      <c r="A21" s="22" t="s">
        <v>14</v>
      </c>
      <c r="B21" s="25" t="s">
        <v>228</v>
      </c>
      <c r="C21" s="26">
        <f>[24]С4!F12</f>
        <v>278.76929647128975</v>
      </c>
    </row>
    <row r="22" spans="1:3" ht="33" customHeight="1" x14ac:dyDescent="0.2">
      <c r="A22" s="22" t="s">
        <v>16</v>
      </c>
      <c r="B22" s="25" t="s">
        <v>229</v>
      </c>
      <c r="C22" s="26">
        <f>[24]С5!F12</f>
        <v>86.877227404963563</v>
      </c>
    </row>
    <row r="23" spans="1:3" ht="45.75" customHeight="1" thickBot="1" x14ac:dyDescent="0.25">
      <c r="A23" s="27" t="s">
        <v>18</v>
      </c>
      <c r="B23" s="140" t="s">
        <v>230</v>
      </c>
      <c r="C23" s="28">
        <f>[24]С6!F12</f>
        <v>0</v>
      </c>
    </row>
    <row r="24" spans="1:3" ht="13.5" thickBot="1" x14ac:dyDescent="0.25">
      <c r="A24" s="3"/>
      <c r="C24" s="7"/>
    </row>
    <row r="25" spans="1:3" x14ac:dyDescent="0.2">
      <c r="A25" s="16" t="s">
        <v>4</v>
      </c>
      <c r="B25" s="29" t="s">
        <v>5</v>
      </c>
      <c r="C25" s="30" t="s">
        <v>6</v>
      </c>
    </row>
    <row r="26" spans="1:3" x14ac:dyDescent="0.2">
      <c r="A26" s="19">
        <v>1</v>
      </c>
      <c r="B26" s="31">
        <v>2</v>
      </c>
      <c r="C26" s="32">
        <v>3</v>
      </c>
    </row>
    <row r="27" spans="1:3" ht="30" customHeight="1" x14ac:dyDescent="0.2">
      <c r="A27" s="22">
        <v>1</v>
      </c>
      <c r="B27" s="144" t="s">
        <v>20</v>
      </c>
      <c r="C27" s="144"/>
    </row>
    <row r="28" spans="1:3" x14ac:dyDescent="0.2">
      <c r="A28" s="22" t="s">
        <v>8</v>
      </c>
      <c r="B28" s="33" t="s">
        <v>231</v>
      </c>
      <c r="C28" s="34">
        <f>[24]С1.1!E16</f>
        <v>7900</v>
      </c>
    </row>
    <row r="29" spans="1:3" ht="42.75" x14ac:dyDescent="0.2">
      <c r="A29" s="22" t="s">
        <v>10</v>
      </c>
      <c r="B29" s="33" t="s">
        <v>232</v>
      </c>
      <c r="C29" s="34">
        <f>[24]С1.1!E32</f>
        <v>6710.12</v>
      </c>
    </row>
    <row r="30" spans="1:3" ht="128.25" customHeight="1" x14ac:dyDescent="0.2">
      <c r="A30" s="22" t="s">
        <v>233</v>
      </c>
      <c r="B30" s="33" t="s">
        <v>234</v>
      </c>
      <c r="C30" s="85" t="str">
        <f>[24]С1.1!E25</f>
        <v>ООО "Газпром межрегионгаз Новосибирск", ООО "Газпром газораспределение Томск" (с 17.02.2025 ООО "Газпром газораспределение Сибирь")</v>
      </c>
    </row>
    <row r="31" spans="1:3" ht="38.25" x14ac:dyDescent="0.2">
      <c r="A31" s="22" t="s">
        <v>235</v>
      </c>
      <c r="B31" s="33" t="str">
        <f>[24]С1.1!D26</f>
        <v>Среднеарифметическое значение между установленными предельными максимальным и минимальным уровнями оптовых цен, действовавшими на день окончания (i-2)-го расчетного периода регулирования в системе теплоснабжения, без НДС, руб./тыс. куб. м</v>
      </c>
      <c r="C31" s="34">
        <f>[24]С1.1!E26</f>
        <v>5670</v>
      </c>
    </row>
    <row r="32" spans="1:3" ht="46.5" customHeight="1" x14ac:dyDescent="0.2">
      <c r="A32" s="22" t="s">
        <v>236</v>
      </c>
      <c r="B32" s="33" t="str">
        <f>[24]С1.1!D27</f>
        <v>Тариф на услуги по транспортировке газа по газораспределительным сетям, действовавший на день окончания (i-2)-го расчетного периода регулирования в системе теплоснабжения, без НДС, руб./тыс. куб. м</v>
      </c>
      <c r="C32" s="34">
        <f>[24]С1.1!E27</f>
        <v>689.14</v>
      </c>
    </row>
    <row r="33" spans="1:3" ht="39" customHeight="1" x14ac:dyDescent="0.2">
      <c r="A33" s="22" t="s">
        <v>237</v>
      </c>
      <c r="B33" s="33" t="str">
        <f>[24]С1.1!D28</f>
        <v>Размер платы за снабженческо-сбытовые услуги, действовавший на день окончания (i-2)-го расчетного периода регулирования в системе теплоснабжения, без НДС, руб./тыс. куб. м</v>
      </c>
      <c r="C33" s="34">
        <f>[24]С1.1!E28</f>
        <v>144.72999999999999</v>
      </c>
    </row>
    <row r="34" spans="1:3" ht="90" customHeight="1" x14ac:dyDescent="0.2">
      <c r="A34" s="22" t="s">
        <v>238</v>
      </c>
      <c r="B34" s="33" t="str">
        <f>[24]С1.1!D29</f>
        <v>Специальная надбавка к тарифам на услуги по транспортировке газа по газораспределительным сетям, действовавшая на день окончания (i-2)-го расчетного периода регулирования в системе теплоснабжения, без НДС, руб./тыс. куб. м</v>
      </c>
      <c r="C34" s="34">
        <f>[24]С1.1!E29</f>
        <v>206.25</v>
      </c>
    </row>
    <row r="35" spans="1:3" ht="287.25" customHeight="1" x14ac:dyDescent="0.2">
      <c r="A35" s="22" t="s">
        <v>12</v>
      </c>
      <c r="B35" s="33" t="s">
        <v>23</v>
      </c>
      <c r="C35" s="35">
        <f>[24]С1.1!E20</f>
        <v>0.21299999999999999</v>
      </c>
    </row>
    <row r="36" spans="1:3" ht="298.5" customHeight="1" x14ac:dyDescent="0.2">
      <c r="A36" s="22" t="s">
        <v>14</v>
      </c>
      <c r="B36" s="33" t="s">
        <v>24</v>
      </c>
      <c r="C36" s="35">
        <f>[24]С1.1!E21</f>
        <v>9.6000000000000002E-2</v>
      </c>
    </row>
    <row r="37" spans="1:3" ht="30" x14ac:dyDescent="0.2">
      <c r="A37" s="22" t="s">
        <v>16</v>
      </c>
      <c r="B37" s="36" t="s">
        <v>239</v>
      </c>
      <c r="C37" s="121">
        <f>[24]С1!F13</f>
        <v>156.1</v>
      </c>
    </row>
    <row r="38" spans="1:3" x14ac:dyDescent="0.2">
      <c r="A38" s="22" t="s">
        <v>18</v>
      </c>
      <c r="B38" s="36" t="s">
        <v>26</v>
      </c>
      <c r="C38" s="38">
        <f>[24]С1!F16</f>
        <v>7000</v>
      </c>
    </row>
    <row r="39" spans="1:3" ht="14.25" x14ac:dyDescent="0.2">
      <c r="A39" s="122" t="s">
        <v>27</v>
      </c>
      <c r="B39" s="39" t="s">
        <v>240</v>
      </c>
      <c r="C39" s="40">
        <f>[24]С1!F17</f>
        <v>1.1285714285714286</v>
      </c>
    </row>
    <row r="40" spans="1:3" ht="15.75" x14ac:dyDescent="0.2">
      <c r="A40" s="123" t="s">
        <v>29</v>
      </c>
      <c r="B40" s="42" t="s">
        <v>30</v>
      </c>
      <c r="C40" s="40">
        <f>[24]С1!F20</f>
        <v>22.307053372799995</v>
      </c>
    </row>
    <row r="41" spans="1:3" ht="15.75" x14ac:dyDescent="0.2">
      <c r="A41" s="123" t="s">
        <v>31</v>
      </c>
      <c r="B41" s="43" t="s">
        <v>32</v>
      </c>
      <c r="C41" s="40">
        <f>[24]С1!F21</f>
        <v>21.531904799999996</v>
      </c>
    </row>
    <row r="42" spans="1:3" ht="14.25" x14ac:dyDescent="0.2">
      <c r="A42" s="123" t="s">
        <v>33</v>
      </c>
      <c r="B42" s="44" t="s">
        <v>34</v>
      </c>
      <c r="C42" s="40">
        <f>[24]С1!F22</f>
        <v>1.036</v>
      </c>
    </row>
    <row r="43" spans="1:3" ht="53.25" thickBot="1" x14ac:dyDescent="0.25">
      <c r="A43" s="27" t="s">
        <v>35</v>
      </c>
      <c r="B43" s="45" t="s">
        <v>36</v>
      </c>
      <c r="C43" s="46" t="str">
        <f>[24]С1!F23</f>
        <v>-</v>
      </c>
    </row>
    <row r="44" spans="1:3" ht="13.5" thickBot="1" x14ac:dyDescent="0.25">
      <c r="A44" s="47"/>
      <c r="B44" s="75"/>
      <c r="C44" s="15"/>
    </row>
    <row r="45" spans="1:3" ht="30" customHeight="1" x14ac:dyDescent="0.2">
      <c r="A45" s="50" t="s">
        <v>37</v>
      </c>
      <c r="B45" s="145" t="s">
        <v>38</v>
      </c>
      <c r="C45" s="145"/>
    </row>
    <row r="46" spans="1:3" ht="25.5" x14ac:dyDescent="0.2">
      <c r="A46" s="22" t="s">
        <v>39</v>
      </c>
      <c r="B46" s="36" t="s">
        <v>40</v>
      </c>
      <c r="C46" s="51" t="str">
        <f>[24]С2.1!E12</f>
        <v>V</v>
      </c>
    </row>
    <row r="47" spans="1:3" ht="25.5" x14ac:dyDescent="0.2">
      <c r="A47" s="22" t="s">
        <v>41</v>
      </c>
      <c r="B47" s="33" t="s">
        <v>42</v>
      </c>
      <c r="C47" s="51" t="str">
        <f>[24]С2.1!E13</f>
        <v>6 и менее баллов</v>
      </c>
    </row>
    <row r="48" spans="1:3" ht="25.5" x14ac:dyDescent="0.2">
      <c r="A48" s="22" t="s">
        <v>43</v>
      </c>
      <c r="B48" s="33" t="s">
        <v>241</v>
      </c>
      <c r="C48" s="51" t="str">
        <f>[24]С2.1!E14</f>
        <v>до 200</v>
      </c>
    </row>
    <row r="49" spans="1:3" ht="25.5" x14ac:dyDescent="0.2">
      <c r="A49" s="22" t="s">
        <v>45</v>
      </c>
      <c r="B49" s="33" t="s">
        <v>242</v>
      </c>
      <c r="C49" s="52" t="str">
        <f>[24]С2.1!E15</f>
        <v>нет</v>
      </c>
    </row>
    <row r="50" spans="1:3" ht="30" x14ac:dyDescent="0.2">
      <c r="A50" s="22" t="s">
        <v>47</v>
      </c>
      <c r="B50" s="33" t="s">
        <v>48</v>
      </c>
      <c r="C50" s="34">
        <f>[24]С2!F18</f>
        <v>40220.845230503684</v>
      </c>
    </row>
    <row r="51" spans="1:3" ht="30" x14ac:dyDescent="0.2">
      <c r="A51" s="22" t="s">
        <v>49</v>
      </c>
      <c r="B51" s="53" t="s">
        <v>50</v>
      </c>
      <c r="C51" s="34">
        <f>IF([24]С2!F19&gt;0,[24]С2!F19,[24]С2!F20)</f>
        <v>23441.524932855718</v>
      </c>
    </row>
    <row r="52" spans="1:3" ht="163.5" customHeight="1" x14ac:dyDescent="0.2">
      <c r="A52" s="22" t="s">
        <v>51</v>
      </c>
      <c r="B52" s="54" t="s">
        <v>52</v>
      </c>
      <c r="C52" s="34">
        <f>[24]С2.1!E20</f>
        <v>-37</v>
      </c>
    </row>
    <row r="53" spans="1:3" ht="42.75" customHeight="1" x14ac:dyDescent="0.2">
      <c r="A53" s="22" t="s">
        <v>53</v>
      </c>
      <c r="B53" s="54" t="s">
        <v>54</v>
      </c>
      <c r="C53" s="34" t="str">
        <f>[24]С2.1!E23</f>
        <v>нет</v>
      </c>
    </row>
    <row r="54" spans="1:3" ht="38.25" x14ac:dyDescent="0.2">
      <c r="A54" s="22" t="s">
        <v>55</v>
      </c>
      <c r="B54" s="55" t="s">
        <v>56</v>
      </c>
      <c r="C54" s="34">
        <f>[24]С2.2!E10</f>
        <v>1287</v>
      </c>
    </row>
    <row r="55" spans="1:3" ht="25.5" x14ac:dyDescent="0.2">
      <c r="A55" s="22" t="s">
        <v>57</v>
      </c>
      <c r="B55" s="56" t="s">
        <v>58</v>
      </c>
      <c r="C55" s="34">
        <f>[24]С2.2!E12</f>
        <v>5.97</v>
      </c>
    </row>
    <row r="56" spans="1:3" ht="52.5" x14ac:dyDescent="0.2">
      <c r="A56" s="22" t="s">
        <v>59</v>
      </c>
      <c r="B56" s="57" t="s">
        <v>60</v>
      </c>
      <c r="C56" s="34">
        <f>[24]С2.2!E13</f>
        <v>1</v>
      </c>
    </row>
    <row r="57" spans="1:3" ht="27.75" x14ac:dyDescent="0.2">
      <c r="A57" s="22" t="s">
        <v>61</v>
      </c>
      <c r="B57" s="56" t="s">
        <v>62</v>
      </c>
      <c r="C57" s="34">
        <f>[24]С2.2!E14</f>
        <v>12104</v>
      </c>
    </row>
    <row r="58" spans="1:3" ht="109.5" customHeight="1" x14ac:dyDescent="0.2">
      <c r="A58" s="22" t="s">
        <v>63</v>
      </c>
      <c r="B58" s="57" t="s">
        <v>64</v>
      </c>
      <c r="C58" s="35">
        <f>[24]С2.2!E15</f>
        <v>4.8000000000000001E-2</v>
      </c>
    </row>
    <row r="59" spans="1:3" ht="104.25" customHeight="1" x14ac:dyDescent="0.2">
      <c r="A59" s="22" t="s">
        <v>65</v>
      </c>
      <c r="B59" s="57" t="s">
        <v>66</v>
      </c>
      <c r="C59" s="124">
        <f>[24]С2.2!E16</f>
        <v>1</v>
      </c>
    </row>
    <row r="60" spans="1:3" ht="15.75" x14ac:dyDescent="0.2">
      <c r="A60" s="22" t="s">
        <v>67</v>
      </c>
      <c r="B60" s="58" t="s">
        <v>68</v>
      </c>
      <c r="C60" s="34">
        <f>[24]С2!F21</f>
        <v>1</v>
      </c>
    </row>
    <row r="61" spans="1:3" ht="30" x14ac:dyDescent="0.2">
      <c r="A61" s="59" t="s">
        <v>69</v>
      </c>
      <c r="B61" s="33" t="s">
        <v>243</v>
      </c>
      <c r="C61" s="34">
        <f>[24]С2!F13</f>
        <v>119259.45174981897</v>
      </c>
    </row>
    <row r="62" spans="1:3" ht="30" x14ac:dyDescent="0.2">
      <c r="A62" s="59" t="s">
        <v>71</v>
      </c>
      <c r="B62" s="60" t="s">
        <v>244</v>
      </c>
      <c r="C62" s="34">
        <f>[24]С2!F14</f>
        <v>64899</v>
      </c>
    </row>
    <row r="63" spans="1:3" ht="15.75" x14ac:dyDescent="0.2">
      <c r="A63" s="59" t="s">
        <v>73</v>
      </c>
      <c r="B63" s="60" t="s">
        <v>74</v>
      </c>
      <c r="C63" s="40">
        <f>[24]С2!F15</f>
        <v>1.071</v>
      </c>
    </row>
    <row r="64" spans="1:3" ht="15.75" x14ac:dyDescent="0.2">
      <c r="A64" s="59" t="s">
        <v>75</v>
      </c>
      <c r="B64" s="60" t="s">
        <v>76</v>
      </c>
      <c r="C64" s="125">
        <f>[24]С2!F16</f>
        <v>1</v>
      </c>
    </row>
    <row r="65" spans="1:3" ht="17.25" x14ac:dyDescent="0.2">
      <c r="A65" s="59" t="s">
        <v>77</v>
      </c>
      <c r="B65" s="60" t="s">
        <v>78</v>
      </c>
      <c r="C65" s="126">
        <f>[24]С2!F17</f>
        <v>1</v>
      </c>
    </row>
    <row r="66" spans="1:3" s="63" customFormat="1" ht="14.25" x14ac:dyDescent="0.2">
      <c r="A66" s="59" t="s">
        <v>79</v>
      </c>
      <c r="B66" s="61" t="s">
        <v>80</v>
      </c>
      <c r="C66" s="62">
        <f>[24]С2!F35</f>
        <v>10</v>
      </c>
    </row>
    <row r="67" spans="1:3" ht="30" x14ac:dyDescent="0.2">
      <c r="A67" s="59" t="s">
        <v>81</v>
      </c>
      <c r="B67" s="64" t="s">
        <v>82</v>
      </c>
      <c r="C67" s="34">
        <f>[24]С2!F28</f>
        <v>379.2714742785962</v>
      </c>
    </row>
    <row r="68" spans="1:3" ht="274.5" customHeight="1" x14ac:dyDescent="0.2">
      <c r="A68" s="59" t="s">
        <v>83</v>
      </c>
      <c r="B68" s="53" t="s">
        <v>245</v>
      </c>
      <c r="C68" s="40">
        <f>[24]С2!F29</f>
        <v>0.44209422600000003</v>
      </c>
    </row>
    <row r="69" spans="1:3" ht="17.25" x14ac:dyDescent="0.2">
      <c r="A69" s="59" t="s">
        <v>85</v>
      </c>
      <c r="B69" s="58" t="s">
        <v>246</v>
      </c>
      <c r="C69" s="62">
        <f>[24]С2!F30</f>
        <v>500</v>
      </c>
    </row>
    <row r="70" spans="1:3" ht="42.75" x14ac:dyDescent="0.2">
      <c r="A70" s="59" t="s">
        <v>87</v>
      </c>
      <c r="B70" s="33" t="s">
        <v>247</v>
      </c>
      <c r="C70" s="34">
        <f>[24]С2!F22</f>
        <v>24548.869037237404</v>
      </c>
    </row>
    <row r="71" spans="1:3" ht="30" x14ac:dyDescent="0.2">
      <c r="A71" s="59" t="s">
        <v>89</v>
      </c>
      <c r="B71" s="60" t="s">
        <v>248</v>
      </c>
      <c r="C71" s="34">
        <f>[24]С2!F23</f>
        <v>21</v>
      </c>
    </row>
    <row r="72" spans="1:3" ht="30" x14ac:dyDescent="0.2">
      <c r="A72" s="59" t="s">
        <v>91</v>
      </c>
      <c r="B72" s="53" t="s">
        <v>92</v>
      </c>
      <c r="C72" s="34">
        <f>[24]С2.1!E28</f>
        <v>5515.9310416666667</v>
      </c>
    </row>
    <row r="73" spans="1:3" ht="38.25" x14ac:dyDescent="0.2">
      <c r="A73" s="59" t="s">
        <v>93</v>
      </c>
      <c r="B73" s="65" t="s">
        <v>94</v>
      </c>
      <c r="C73" s="52" t="str">
        <f>[24]С2.3!E21</f>
        <v>МУП г. Новосибирска "Горводоканал"</v>
      </c>
    </row>
    <row r="74" spans="1:3" ht="25.5" x14ac:dyDescent="0.2">
      <c r="A74" s="59" t="s">
        <v>95</v>
      </c>
      <c r="B74" s="66" t="s">
        <v>96</v>
      </c>
      <c r="C74" s="67">
        <f>[24]С2.3!E11</f>
        <v>5.45</v>
      </c>
    </row>
    <row r="75" spans="1:3" ht="25.5" x14ac:dyDescent="0.2">
      <c r="A75" s="59" t="s">
        <v>97</v>
      </c>
      <c r="B75" s="66" t="s">
        <v>98</v>
      </c>
      <c r="C75" s="62">
        <f>[24]С2.3!E13</f>
        <v>300</v>
      </c>
    </row>
    <row r="76" spans="1:3" ht="336" customHeight="1" x14ac:dyDescent="0.2">
      <c r="A76" s="59" t="s">
        <v>99</v>
      </c>
      <c r="B76" s="65" t="s">
        <v>100</v>
      </c>
      <c r="C76" s="68">
        <f>IF([24]С2.3!E22&gt;0,[24]С2.3!E22,[24]С2.3!E14)</f>
        <v>20170.833333333332</v>
      </c>
    </row>
    <row r="77" spans="1:3" ht="38.25" x14ac:dyDescent="0.2">
      <c r="A77" s="59" t="s">
        <v>101</v>
      </c>
      <c r="B77" s="65" t="s">
        <v>102</v>
      </c>
      <c r="C77" s="68">
        <f>IF([24]С2.3!E23&gt;0,[24]С2.3!E23,[24]С2.3!E15)</f>
        <v>18020</v>
      </c>
    </row>
    <row r="78" spans="1:3" ht="30" x14ac:dyDescent="0.2">
      <c r="A78" s="59" t="s">
        <v>103</v>
      </c>
      <c r="B78" s="53" t="s">
        <v>104</v>
      </c>
      <c r="C78" s="34">
        <f>[24]С2.1!E29</f>
        <v>5878.6480833333326</v>
      </c>
    </row>
    <row r="79" spans="1:3" ht="38.25" x14ac:dyDescent="0.2">
      <c r="A79" s="59" t="s">
        <v>105</v>
      </c>
      <c r="B79" s="65" t="s">
        <v>106</v>
      </c>
      <c r="C79" s="52" t="str">
        <f>[24]С2.3!E25</f>
        <v>МУП г. Новосибирска "Горводоканал"</v>
      </c>
    </row>
    <row r="80" spans="1:3" ht="25.5" x14ac:dyDescent="0.2">
      <c r="A80" s="59" t="s">
        <v>107</v>
      </c>
      <c r="B80" s="66" t="s">
        <v>108</v>
      </c>
      <c r="C80" s="67">
        <f>[24]С2.3!E12</f>
        <v>0.2</v>
      </c>
    </row>
    <row r="81" spans="1:3" ht="25.5" x14ac:dyDescent="0.2">
      <c r="A81" s="59" t="s">
        <v>109</v>
      </c>
      <c r="B81" s="66" t="s">
        <v>98</v>
      </c>
      <c r="C81" s="62">
        <f>[24]С2.3!E13</f>
        <v>300</v>
      </c>
    </row>
    <row r="82" spans="1:3" ht="330" customHeight="1" x14ac:dyDescent="0.2">
      <c r="A82" s="59" t="s">
        <v>110</v>
      </c>
      <c r="B82" s="69" t="s">
        <v>111</v>
      </c>
      <c r="C82" s="68">
        <f>IF([24]С2.3!E26&gt;0,[24]С2.3!E26,[24]С2.3!E16)</f>
        <v>38240.416666666664</v>
      </c>
    </row>
    <row r="83" spans="1:3" ht="322.5" customHeight="1" x14ac:dyDescent="0.2">
      <c r="A83" s="59" t="s">
        <v>112</v>
      </c>
      <c r="B83" s="69" t="s">
        <v>113</v>
      </c>
      <c r="C83" s="68">
        <f>IF([24]С2.3!E27&gt;0,[24]С2.3!E27,[24]С2.3!E17)</f>
        <v>19570</v>
      </c>
    </row>
    <row r="84" spans="1:3" ht="30" x14ac:dyDescent="0.2">
      <c r="A84" s="59" t="s">
        <v>249</v>
      </c>
      <c r="B84" s="60" t="s">
        <v>250</v>
      </c>
      <c r="C84" s="68">
        <f>IF([24]С2.1!E19&gt;0,[24]С2.1!E19,[24]С2!F26)</f>
        <v>2892</v>
      </c>
    </row>
    <row r="85" spans="1:3" ht="17.25" x14ac:dyDescent="0.2">
      <c r="A85" s="59" t="s">
        <v>114</v>
      </c>
      <c r="B85" s="33" t="s">
        <v>115</v>
      </c>
      <c r="C85" s="35">
        <f>[24]С2!F31</f>
        <v>0.21369165990259753</v>
      </c>
    </row>
    <row r="86" spans="1:3" ht="30" x14ac:dyDescent="0.2">
      <c r="A86" s="59" t="s">
        <v>116</v>
      </c>
      <c r="B86" s="53" t="s">
        <v>117</v>
      </c>
      <c r="C86" s="70">
        <f>[24]С2!F32</f>
        <v>0.20047619047619047</v>
      </c>
    </row>
    <row r="87" spans="1:3" ht="17.25" x14ac:dyDescent="0.2">
      <c r="A87" s="59" t="s">
        <v>118</v>
      </c>
      <c r="B87" s="71" t="s">
        <v>119</v>
      </c>
      <c r="C87" s="35">
        <f>[24]С2!F33</f>
        <v>0.13880000000000001</v>
      </c>
    </row>
    <row r="88" spans="1:3" s="63" customFormat="1" ht="18" thickBot="1" x14ac:dyDescent="0.25">
      <c r="A88" s="72" t="s">
        <v>120</v>
      </c>
      <c r="B88" s="73" t="s">
        <v>121</v>
      </c>
      <c r="C88" s="74">
        <f>[24]С2!F34</f>
        <v>0.12640000000000001</v>
      </c>
    </row>
    <row r="89" spans="1:3" ht="13.5" thickBot="1" x14ac:dyDescent="0.25">
      <c r="A89" s="47"/>
      <c r="B89" s="75"/>
      <c r="C89" s="15"/>
    </row>
    <row r="90" spans="1:3" s="63" customFormat="1" ht="30" customHeight="1" x14ac:dyDescent="0.2">
      <c r="A90" s="76" t="s">
        <v>122</v>
      </c>
      <c r="B90" s="145" t="s">
        <v>123</v>
      </c>
      <c r="C90" s="145"/>
    </row>
    <row r="91" spans="1:3" s="63" customFormat="1" ht="30" x14ac:dyDescent="0.2">
      <c r="A91" s="77" t="s">
        <v>124</v>
      </c>
      <c r="B91" s="33" t="s">
        <v>125</v>
      </c>
      <c r="C91" s="34">
        <f>[24]С3!F14</f>
        <v>11258.985598028818</v>
      </c>
    </row>
    <row r="92" spans="1:3" s="63" customFormat="1" ht="42.75" x14ac:dyDescent="0.2">
      <c r="A92" s="77" t="s">
        <v>126</v>
      </c>
      <c r="B92" s="53" t="s">
        <v>127</v>
      </c>
      <c r="C92" s="78">
        <f>[24]С3!F15</f>
        <v>0.25</v>
      </c>
    </row>
    <row r="93" spans="1:3" s="63" customFormat="1" ht="14.25" x14ac:dyDescent="0.2">
      <c r="A93" s="77" t="s">
        <v>128</v>
      </c>
      <c r="B93" s="79" t="s">
        <v>129</v>
      </c>
      <c r="C93" s="62">
        <f>[24]С3!F18</f>
        <v>15</v>
      </c>
    </row>
    <row r="94" spans="1:3" s="63" customFormat="1" ht="17.25" x14ac:dyDescent="0.2">
      <c r="A94" s="77" t="s">
        <v>130</v>
      </c>
      <c r="B94" s="33" t="s">
        <v>131</v>
      </c>
      <c r="C94" s="34">
        <f>[24]С3!F19</f>
        <v>2699.0944349242141</v>
      </c>
    </row>
    <row r="95" spans="1:3" s="63" customFormat="1" ht="55.5" x14ac:dyDescent="0.2">
      <c r="A95" s="77" t="s">
        <v>132</v>
      </c>
      <c r="B95" s="53" t="s">
        <v>133</v>
      </c>
      <c r="C95" s="80">
        <f>[24]С3!F20</f>
        <v>2.1999999999999999E-2</v>
      </c>
    </row>
    <row r="96" spans="1:3" s="63" customFormat="1" ht="14.25" x14ac:dyDescent="0.2">
      <c r="A96" s="77" t="s">
        <v>134</v>
      </c>
      <c r="B96" s="58" t="s">
        <v>80</v>
      </c>
      <c r="C96" s="62">
        <f>[24]С3!F21</f>
        <v>10</v>
      </c>
    </row>
    <row r="97" spans="1:3" s="63" customFormat="1" ht="17.25" x14ac:dyDescent="0.2">
      <c r="A97" s="77" t="s">
        <v>135</v>
      </c>
      <c r="B97" s="33" t="s">
        <v>136</v>
      </c>
      <c r="C97" s="34">
        <f>[24]С3!F22</f>
        <v>1.1378144228357887</v>
      </c>
    </row>
    <row r="98" spans="1:3" s="63" customFormat="1" ht="161.25" customHeight="1" x14ac:dyDescent="0.2">
      <c r="A98" s="77" t="s">
        <v>137</v>
      </c>
      <c r="B98" s="53" t="s">
        <v>138</v>
      </c>
      <c r="C98" s="80">
        <f>[24]С3!F23</f>
        <v>3.0000000000000001E-3</v>
      </c>
    </row>
    <row r="99" spans="1:3" s="63" customFormat="1" ht="30.75" thickBot="1" x14ac:dyDescent="0.25">
      <c r="A99" s="81" t="s">
        <v>139</v>
      </c>
      <c r="B99" s="82" t="s">
        <v>82</v>
      </c>
      <c r="C99" s="83">
        <f>[24]С3!F24</f>
        <v>379.2714742785962</v>
      </c>
    </row>
    <row r="100" spans="1:3" ht="13.5" thickBot="1" x14ac:dyDescent="0.25">
      <c r="A100" s="47"/>
      <c r="B100" s="75"/>
      <c r="C100" s="15"/>
    </row>
    <row r="101" spans="1:3" ht="30" customHeight="1" x14ac:dyDescent="0.2">
      <c r="A101" s="84" t="s">
        <v>141</v>
      </c>
      <c r="B101" s="145" t="s">
        <v>142</v>
      </c>
      <c r="C101" s="145"/>
    </row>
    <row r="102" spans="1:3" ht="30" x14ac:dyDescent="0.2">
      <c r="A102" s="59" t="s">
        <v>143</v>
      </c>
      <c r="B102" s="33" t="s">
        <v>251</v>
      </c>
      <c r="C102" s="34">
        <f>[24]С4!F16</f>
        <v>832.33500000000004</v>
      </c>
    </row>
    <row r="103" spans="1:3" ht="30" x14ac:dyDescent="0.2">
      <c r="A103" s="59" t="s">
        <v>145</v>
      </c>
      <c r="B103" s="58" t="s">
        <v>252</v>
      </c>
      <c r="C103" s="34">
        <f>[24]С4!F17</f>
        <v>43385</v>
      </c>
    </row>
    <row r="104" spans="1:3" ht="17.25" x14ac:dyDescent="0.2">
      <c r="A104" s="59" t="s">
        <v>147</v>
      </c>
      <c r="B104" s="58" t="s">
        <v>148</v>
      </c>
      <c r="C104" s="40">
        <f>[24]С4!F18</f>
        <v>1.4999999999999999E-2</v>
      </c>
    </row>
    <row r="105" spans="1:3" ht="30" x14ac:dyDescent="0.2">
      <c r="A105" s="59" t="s">
        <v>149</v>
      </c>
      <c r="B105" s="58" t="s">
        <v>150</v>
      </c>
      <c r="C105" s="34">
        <f>[24]С4!F19</f>
        <v>12104</v>
      </c>
    </row>
    <row r="106" spans="1:3" ht="31.5" x14ac:dyDescent="0.2">
      <c r="A106" s="59" t="s">
        <v>151</v>
      </c>
      <c r="B106" s="58" t="s">
        <v>152</v>
      </c>
      <c r="C106" s="40">
        <f>[24]С4!F20</f>
        <v>1.4999999999999999E-2</v>
      </c>
    </row>
    <row r="107" spans="1:3" ht="30" x14ac:dyDescent="0.2">
      <c r="A107" s="59" t="s">
        <v>153</v>
      </c>
      <c r="B107" s="33" t="s">
        <v>253</v>
      </c>
      <c r="C107" s="34">
        <f>[24]С4!F21</f>
        <v>1221.9019409821399</v>
      </c>
    </row>
    <row r="108" spans="1:3" ht="45.6" customHeight="1" x14ac:dyDescent="0.2">
      <c r="A108" s="59" t="s">
        <v>155</v>
      </c>
      <c r="B108" s="53" t="s">
        <v>156</v>
      </c>
      <c r="C108" s="85" t="str">
        <f>IF([24]С4.2!F8="да",[24]С4.2!D21,[24]С4.2!D15)</f>
        <v>АО "Новосибирскэнергосбыт"</v>
      </c>
    </row>
    <row r="109" spans="1:3" ht="68.25" customHeight="1" x14ac:dyDescent="0.2">
      <c r="A109" s="59" t="s">
        <v>157</v>
      </c>
      <c r="B109" s="53" t="s">
        <v>158</v>
      </c>
      <c r="C109" s="34">
        <f>[24]С4!F22</f>
        <v>3.6112641666666665</v>
      </c>
    </row>
    <row r="110" spans="1:3" ht="30" x14ac:dyDescent="0.2">
      <c r="A110" s="59" t="s">
        <v>159</v>
      </c>
      <c r="B110" s="58" t="s">
        <v>254</v>
      </c>
      <c r="C110" s="62">
        <f>[24]С4!F23</f>
        <v>110</v>
      </c>
    </row>
    <row r="111" spans="1:3" ht="14.25" x14ac:dyDescent="0.2">
      <c r="A111" s="59" t="s">
        <v>161</v>
      </c>
      <c r="B111" s="53" t="s">
        <v>162</v>
      </c>
      <c r="C111" s="34">
        <f>[24]С4!F24</f>
        <v>8497.1999999999989</v>
      </c>
    </row>
    <row r="112" spans="1:3" ht="14.25" x14ac:dyDescent="0.2">
      <c r="A112" s="59" t="s">
        <v>163</v>
      </c>
      <c r="B112" s="58" t="s">
        <v>164</v>
      </c>
      <c r="C112" s="40">
        <f>[24]С4!F25</f>
        <v>0.36199999999999999</v>
      </c>
    </row>
    <row r="113" spans="1:3" ht="17.25" x14ac:dyDescent="0.2">
      <c r="A113" s="59" t="s">
        <v>165</v>
      </c>
      <c r="B113" s="33" t="s">
        <v>166</v>
      </c>
      <c r="C113" s="34">
        <f>[24]С4!F26</f>
        <v>43.662099999999995</v>
      </c>
    </row>
    <row r="114" spans="1:3" ht="25.5" x14ac:dyDescent="0.2">
      <c r="A114" s="59" t="s">
        <v>167</v>
      </c>
      <c r="B114" s="53" t="s">
        <v>94</v>
      </c>
      <c r="C114" s="85">
        <f>[24]С4.3!E16</f>
        <v>0</v>
      </c>
    </row>
    <row r="115" spans="1:3" ht="360" customHeight="1" x14ac:dyDescent="0.2">
      <c r="A115" s="59" t="s">
        <v>168</v>
      </c>
      <c r="B115" s="53" t="s">
        <v>169</v>
      </c>
      <c r="C115" s="34">
        <f>[24]С4.3!E17</f>
        <v>21.58</v>
      </c>
    </row>
    <row r="116" spans="1:3" ht="38.25" x14ac:dyDescent="0.2">
      <c r="A116" s="59" t="s">
        <v>170</v>
      </c>
      <c r="B116" s="53" t="s">
        <v>106</v>
      </c>
      <c r="C116" s="85">
        <f>[24]С4.3!E18</f>
        <v>0</v>
      </c>
    </row>
    <row r="117" spans="1:3" ht="374.25" customHeight="1" x14ac:dyDescent="0.2">
      <c r="A117" s="59" t="s">
        <v>171</v>
      </c>
      <c r="B117" s="53" t="s">
        <v>172</v>
      </c>
      <c r="C117" s="34">
        <f>[24]С4.3!E19</f>
        <v>26.98</v>
      </c>
    </row>
    <row r="118" spans="1:3" x14ac:dyDescent="0.2">
      <c r="A118" s="59" t="s">
        <v>173</v>
      </c>
      <c r="B118" s="58" t="s">
        <v>174</v>
      </c>
      <c r="C118" s="62">
        <f>[24]С4.3!E11</f>
        <v>1871</v>
      </c>
    </row>
    <row r="119" spans="1:3" x14ac:dyDescent="0.2">
      <c r="A119" s="59" t="s">
        <v>175</v>
      </c>
      <c r="B119" s="58" t="s">
        <v>176</v>
      </c>
      <c r="C119" s="52">
        <f>[24]С4.3!E12</f>
        <v>61</v>
      </c>
    </row>
    <row r="120" spans="1:3" x14ac:dyDescent="0.2">
      <c r="A120" s="59" t="s">
        <v>177</v>
      </c>
      <c r="B120" s="58" t="s">
        <v>178</v>
      </c>
      <c r="C120" s="52">
        <f>[24]С4.3!E13</f>
        <v>73</v>
      </c>
    </row>
    <row r="121" spans="1:3" ht="30" x14ac:dyDescent="0.2">
      <c r="A121" s="59" t="s">
        <v>179</v>
      </c>
      <c r="B121" s="33" t="s">
        <v>255</v>
      </c>
      <c r="C121" s="34">
        <f>[24]С4!F27</f>
        <v>904.62444244124072</v>
      </c>
    </row>
    <row r="122" spans="1:3" ht="25.5" x14ac:dyDescent="0.2">
      <c r="A122" s="59" t="s">
        <v>181</v>
      </c>
      <c r="B122" s="53" t="s">
        <v>256</v>
      </c>
      <c r="C122" s="34">
        <f>[24]С4!F28</f>
        <v>694.79603874135228</v>
      </c>
    </row>
    <row r="123" spans="1:3" ht="42.75" x14ac:dyDescent="0.2">
      <c r="A123" s="59" t="s">
        <v>183</v>
      </c>
      <c r="B123" s="53" t="s">
        <v>184</v>
      </c>
      <c r="C123" s="34">
        <f>[24]С4!F29</f>
        <v>209.82840369988838</v>
      </c>
    </row>
    <row r="124" spans="1:3" ht="30.75" thickBot="1" x14ac:dyDescent="0.25">
      <c r="A124" s="72" t="s">
        <v>185</v>
      </c>
      <c r="B124" s="90" t="s">
        <v>186</v>
      </c>
      <c r="C124" s="83">
        <f>[24]С4!F30</f>
        <v>850.71994639315369</v>
      </c>
    </row>
    <row r="125" spans="1:3" s="89" customFormat="1" ht="13.5" thickBot="1" x14ac:dyDescent="0.25">
      <c r="A125" s="47"/>
      <c r="B125" s="75"/>
      <c r="C125" s="15"/>
    </row>
    <row r="126" spans="1:3" s="63" customFormat="1" ht="30" customHeight="1" x14ac:dyDescent="0.2">
      <c r="A126" s="76" t="s">
        <v>195</v>
      </c>
      <c r="B126" s="145" t="s">
        <v>196</v>
      </c>
      <c r="C126" s="145"/>
    </row>
    <row r="127" spans="1:3" ht="30.6" customHeight="1" thickBot="1" x14ac:dyDescent="0.25">
      <c r="A127" s="27" t="s">
        <v>197</v>
      </c>
      <c r="B127" s="90" t="s">
        <v>198</v>
      </c>
      <c r="C127" s="83">
        <f>[24]С5!F17</f>
        <v>0.02</v>
      </c>
    </row>
    <row r="128" spans="1:3" s="89" customFormat="1" ht="13.5" thickBot="1" x14ac:dyDescent="0.25">
      <c r="A128" s="47"/>
      <c r="B128" s="75"/>
      <c r="C128" s="15"/>
    </row>
    <row r="129" spans="1:3" ht="42.75" customHeight="1" x14ac:dyDescent="0.2">
      <c r="A129" s="84" t="s">
        <v>199</v>
      </c>
      <c r="B129" s="145" t="s">
        <v>200</v>
      </c>
      <c r="C129" s="145"/>
    </row>
    <row r="130" spans="1:3" ht="68.25" x14ac:dyDescent="0.2">
      <c r="A130" s="59" t="s">
        <v>201</v>
      </c>
      <c r="B130" s="91" t="s">
        <v>202</v>
      </c>
      <c r="C130" s="34" t="str">
        <f>IF([24]С6.1!E11="нет",[24]С6!F13,"")</f>
        <v/>
      </c>
    </row>
    <row r="131" spans="1:3" ht="42.75" x14ac:dyDescent="0.2">
      <c r="A131" s="59" t="s">
        <v>204</v>
      </c>
      <c r="B131" s="86" t="s">
        <v>205</v>
      </c>
      <c r="C131" s="92" t="str">
        <f>IF([24]С6.1!E12="нет",[24]С6.1!E17,"")</f>
        <v/>
      </c>
    </row>
    <row r="132" spans="1:3" ht="68.25" x14ac:dyDescent="0.2">
      <c r="A132" s="59" t="s">
        <v>206</v>
      </c>
      <c r="B132" s="91" t="s">
        <v>207</v>
      </c>
      <c r="C132" s="127" t="str">
        <f>IF([24]С6.1!E18="нет",[24]С6!F19,"")</f>
        <v/>
      </c>
    </row>
    <row r="133" spans="1:3" ht="55.5" x14ac:dyDescent="0.2">
      <c r="A133" s="59" t="s">
        <v>208</v>
      </c>
      <c r="B133" s="86" t="s">
        <v>209</v>
      </c>
      <c r="C133" s="35" t="str">
        <f>IF([24]С6.1!E18="нет",[24]С6.1!E19,"")</f>
        <v/>
      </c>
    </row>
    <row r="134" spans="1:3" ht="61.5" customHeight="1" x14ac:dyDescent="0.2">
      <c r="A134" s="59" t="s">
        <v>210</v>
      </c>
      <c r="B134" s="86" t="s">
        <v>257</v>
      </c>
      <c r="C134" s="35" t="str">
        <f>IF([24]С6.1!E18="нет",[24]С6.1!E22,"")</f>
        <v/>
      </c>
    </row>
    <row r="135" spans="1:3" ht="69" thickBot="1" x14ac:dyDescent="0.25">
      <c r="A135" s="72" t="s">
        <v>212</v>
      </c>
      <c r="B135" s="98" t="s">
        <v>213</v>
      </c>
      <c r="C135" s="74" t="str">
        <f>IF([24]С6.1!E18="нет",[24]С6.1!E23,"")</f>
        <v/>
      </c>
    </row>
    <row r="136" spans="1:3" s="89" customFormat="1" ht="13.5" thickBot="1" x14ac:dyDescent="0.25">
      <c r="A136" s="47"/>
      <c r="B136" s="75"/>
      <c r="C136" s="15"/>
    </row>
    <row r="137" spans="1:3" ht="15.75" x14ac:dyDescent="0.2">
      <c r="A137" s="84" t="s">
        <v>214</v>
      </c>
      <c r="B137" s="99" t="s">
        <v>215</v>
      </c>
      <c r="C137" s="100">
        <f>[24]С2!F39</f>
        <v>21.531904799999996</v>
      </c>
    </row>
    <row r="138" spans="1:3" ht="14.25" x14ac:dyDescent="0.2">
      <c r="A138" s="59" t="s">
        <v>216</v>
      </c>
      <c r="B138" s="58" t="s">
        <v>217</v>
      </c>
      <c r="C138" s="34">
        <f>[24]С2!F40</f>
        <v>7</v>
      </c>
    </row>
    <row r="139" spans="1:3" ht="17.25" x14ac:dyDescent="0.2">
      <c r="A139" s="59" t="s">
        <v>218</v>
      </c>
      <c r="B139" s="58" t="s">
        <v>219</v>
      </c>
      <c r="C139" s="34">
        <f>[24]С2!F42</f>
        <v>0.97</v>
      </c>
    </row>
    <row r="140" spans="1:3" ht="15" thickBot="1" x14ac:dyDescent="0.25">
      <c r="A140" s="72" t="s">
        <v>220</v>
      </c>
      <c r="B140" s="73" t="s">
        <v>221</v>
      </c>
      <c r="C140" s="46">
        <f>[24]С2!F44</f>
        <v>0.36199999999999999</v>
      </c>
    </row>
    <row r="141" spans="1:3" s="89" customFormat="1" ht="13.5" thickBot="1" x14ac:dyDescent="0.25">
      <c r="A141" s="47"/>
      <c r="B141" s="75"/>
      <c r="C141" s="15"/>
    </row>
    <row r="142" spans="1:3" ht="17.25" x14ac:dyDescent="0.2">
      <c r="A142" s="84" t="s">
        <v>222</v>
      </c>
      <c r="B142" s="103" t="s">
        <v>258</v>
      </c>
      <c r="C142" s="128">
        <f>[24]С2!F37</f>
        <v>1.7157947422665329</v>
      </c>
    </row>
    <row r="143" spans="1:3" ht="17.25" customHeight="1" thickBot="1" x14ac:dyDescent="0.25">
      <c r="A143" s="72" t="s">
        <v>224</v>
      </c>
      <c r="B143" s="141" t="s">
        <v>225</v>
      </c>
      <c r="C143" s="141"/>
    </row>
    <row r="144" spans="1:3" x14ac:dyDescent="0.2">
      <c r="A144" s="105"/>
      <c r="B144" s="129" t="s">
        <v>226</v>
      </c>
      <c r="C144" s="130"/>
    </row>
    <row r="145" spans="1:3" x14ac:dyDescent="0.2">
      <c r="A145" s="105"/>
      <c r="B145" s="131">
        <v>2020</v>
      </c>
      <c r="C145" s="132">
        <f>[24]С2.5!$E$11</f>
        <v>-2.9000000000000026E-2</v>
      </c>
    </row>
    <row r="146" spans="1:3" x14ac:dyDescent="0.2">
      <c r="B146" s="131">
        <f>B145+1</f>
        <v>2021</v>
      </c>
      <c r="C146" s="133">
        <f>[24]С2.5!$F$11</f>
        <v>0.245</v>
      </c>
    </row>
    <row r="147" spans="1:3" x14ac:dyDescent="0.2">
      <c r="B147" s="131">
        <f t="shared" ref="B147:B210" si="0">B146+1</f>
        <v>2022</v>
      </c>
      <c r="C147" s="134">
        <f>[24]С2.5!$G$11</f>
        <v>0.114</v>
      </c>
    </row>
    <row r="148" spans="1:3" x14ac:dyDescent="0.2">
      <c r="B148" s="110">
        <f t="shared" si="0"/>
        <v>2023</v>
      </c>
      <c r="C148" s="135">
        <f>[24]С2.5!$H$11</f>
        <v>0.04</v>
      </c>
    </row>
    <row r="149" spans="1:3" x14ac:dyDescent="0.2">
      <c r="B149" s="110">
        <f t="shared" si="0"/>
        <v>2024</v>
      </c>
      <c r="C149" s="135">
        <f>[24]С2.5!$I$11</f>
        <v>0.121</v>
      </c>
    </row>
    <row r="150" spans="1:3" x14ac:dyDescent="0.2">
      <c r="B150" s="110">
        <f t="shared" si="0"/>
        <v>2025</v>
      </c>
      <c r="C150" s="135">
        <f>[24]С2.5!$J$11</f>
        <v>0.03</v>
      </c>
    </row>
    <row r="151" spans="1:3" ht="13.5" thickBot="1" x14ac:dyDescent="0.25">
      <c r="B151" s="110">
        <f t="shared" si="0"/>
        <v>2026</v>
      </c>
      <c r="C151" s="135">
        <f>[24]С2.5!$K$11</f>
        <v>6.0999999999999999E-2</v>
      </c>
    </row>
    <row r="152" spans="1:3" ht="13.5" hidden="1" thickBot="1" x14ac:dyDescent="0.25">
      <c r="B152" s="110">
        <f t="shared" si="0"/>
        <v>2027</v>
      </c>
      <c r="C152" s="135">
        <f>[24]С2.5!$L$11</f>
        <v>0</v>
      </c>
    </row>
    <row r="153" spans="1:3" ht="13.5" hidden="1" thickBot="1" x14ac:dyDescent="0.25">
      <c r="B153" s="110">
        <f t="shared" si="0"/>
        <v>2028</v>
      </c>
      <c r="C153" s="135">
        <f>[24]С2.5!$M$11</f>
        <v>0</v>
      </c>
    </row>
    <row r="154" spans="1:3" ht="13.5" hidden="1" thickBot="1" x14ac:dyDescent="0.25">
      <c r="B154" s="110">
        <f t="shared" si="0"/>
        <v>2029</v>
      </c>
      <c r="C154" s="135">
        <f>[24]С2.5!$N$11</f>
        <v>0</v>
      </c>
    </row>
    <row r="155" spans="1:3" ht="13.5" hidden="1" thickBot="1" x14ac:dyDescent="0.25">
      <c r="B155" s="110">
        <f t="shared" si="0"/>
        <v>2030</v>
      </c>
      <c r="C155" s="135">
        <f>[24]С2.5!$O$11</f>
        <v>0</v>
      </c>
    </row>
    <row r="156" spans="1:3" ht="13.5" hidden="1" thickBot="1" x14ac:dyDescent="0.25">
      <c r="B156" s="110">
        <f t="shared" si="0"/>
        <v>2031</v>
      </c>
      <c r="C156" s="135">
        <f>[24]С2.5!$P$11</f>
        <v>0</v>
      </c>
    </row>
    <row r="157" spans="1:3" ht="13.5" hidden="1" thickBot="1" x14ac:dyDescent="0.25">
      <c r="B157" s="110">
        <f t="shared" si="0"/>
        <v>2032</v>
      </c>
      <c r="C157" s="135">
        <f>[24]С2.5!$Q$11</f>
        <v>0</v>
      </c>
    </row>
    <row r="158" spans="1:3" ht="13.5" hidden="1" thickBot="1" x14ac:dyDescent="0.25">
      <c r="B158" s="110">
        <f t="shared" si="0"/>
        <v>2033</v>
      </c>
      <c r="C158" s="135">
        <f>[24]С2.5!$R$11</f>
        <v>0</v>
      </c>
    </row>
    <row r="159" spans="1:3" ht="13.5" hidden="1" thickBot="1" x14ac:dyDescent="0.25">
      <c r="B159" s="110">
        <f t="shared" si="0"/>
        <v>2034</v>
      </c>
      <c r="C159" s="135">
        <f>[24]С2.5!$S$11</f>
        <v>0</v>
      </c>
    </row>
    <row r="160" spans="1:3" ht="13.5" hidden="1" thickBot="1" x14ac:dyDescent="0.25">
      <c r="B160" s="110">
        <f t="shared" si="0"/>
        <v>2035</v>
      </c>
      <c r="C160" s="135">
        <f>[24]С2.5!$T$11</f>
        <v>0</v>
      </c>
    </row>
    <row r="161" spans="2:3" ht="13.5" hidden="1" thickBot="1" x14ac:dyDescent="0.25">
      <c r="B161" s="110">
        <f t="shared" si="0"/>
        <v>2036</v>
      </c>
      <c r="C161" s="135">
        <f>[24]С2.5!$U$11</f>
        <v>0</v>
      </c>
    </row>
    <row r="162" spans="2:3" ht="13.5" hidden="1" thickBot="1" x14ac:dyDescent="0.25">
      <c r="B162" s="110">
        <f t="shared" si="0"/>
        <v>2037</v>
      </c>
      <c r="C162" s="135">
        <f>[24]С2.5!$V$11</f>
        <v>0</v>
      </c>
    </row>
    <row r="163" spans="2:3" ht="13.5" hidden="1" thickBot="1" x14ac:dyDescent="0.25">
      <c r="B163" s="110">
        <f t="shared" si="0"/>
        <v>2038</v>
      </c>
      <c r="C163" s="135">
        <f>[24]С2.5!$W$11</f>
        <v>0</v>
      </c>
    </row>
    <row r="164" spans="2:3" ht="13.5" hidden="1" thickBot="1" x14ac:dyDescent="0.25">
      <c r="B164" s="110">
        <f t="shared" si="0"/>
        <v>2039</v>
      </c>
      <c r="C164" s="135">
        <f>[24]С2.5!$X$11</f>
        <v>0</v>
      </c>
    </row>
    <row r="165" spans="2:3" ht="13.5" hidden="1" thickBot="1" x14ac:dyDescent="0.25">
      <c r="B165" s="110">
        <f t="shared" si="0"/>
        <v>2040</v>
      </c>
      <c r="C165" s="135">
        <f>[24]С2.5!$Y$11</f>
        <v>0</v>
      </c>
    </row>
    <row r="166" spans="2:3" ht="13.5" hidden="1" thickBot="1" x14ac:dyDescent="0.25">
      <c r="B166" s="110">
        <f t="shared" si="0"/>
        <v>2041</v>
      </c>
      <c r="C166" s="135">
        <f>[24]С2.5!$Z$11</f>
        <v>0</v>
      </c>
    </row>
    <row r="167" spans="2:3" ht="13.5" hidden="1" thickBot="1" x14ac:dyDescent="0.25">
      <c r="B167" s="110">
        <f t="shared" si="0"/>
        <v>2042</v>
      </c>
      <c r="C167" s="135">
        <f>[24]С2.5!$AA$11</f>
        <v>0</v>
      </c>
    </row>
    <row r="168" spans="2:3" ht="13.5" hidden="1" thickBot="1" x14ac:dyDescent="0.25">
      <c r="B168" s="110">
        <f t="shared" si="0"/>
        <v>2043</v>
      </c>
      <c r="C168" s="135">
        <f>[24]С2.5!$AB$11</f>
        <v>0</v>
      </c>
    </row>
    <row r="169" spans="2:3" ht="13.5" hidden="1" thickBot="1" x14ac:dyDescent="0.25">
      <c r="B169" s="110">
        <f t="shared" si="0"/>
        <v>2044</v>
      </c>
      <c r="C169" s="135">
        <f>[24]С2.5!$AC$11</f>
        <v>0</v>
      </c>
    </row>
    <row r="170" spans="2:3" ht="13.5" hidden="1" thickBot="1" x14ac:dyDescent="0.25">
      <c r="B170" s="110">
        <f t="shared" si="0"/>
        <v>2045</v>
      </c>
      <c r="C170" s="135">
        <f>[24]С2.5!$AD$11</f>
        <v>0</v>
      </c>
    </row>
    <row r="171" spans="2:3" ht="13.5" hidden="1" thickBot="1" x14ac:dyDescent="0.25">
      <c r="B171" s="110">
        <f t="shared" si="0"/>
        <v>2046</v>
      </c>
      <c r="C171" s="135">
        <f>[24]С2.5!$AE$11</f>
        <v>0</v>
      </c>
    </row>
    <row r="172" spans="2:3" ht="13.5" hidden="1" thickBot="1" x14ac:dyDescent="0.25">
      <c r="B172" s="110">
        <f t="shared" si="0"/>
        <v>2047</v>
      </c>
      <c r="C172" s="135">
        <f>[24]С2.5!$AF$11</f>
        <v>0</v>
      </c>
    </row>
    <row r="173" spans="2:3" ht="13.5" hidden="1" thickBot="1" x14ac:dyDescent="0.25">
      <c r="B173" s="110">
        <f t="shared" si="0"/>
        <v>2048</v>
      </c>
      <c r="C173" s="135">
        <f>[24]С2.5!$AG$11</f>
        <v>0</v>
      </c>
    </row>
    <row r="174" spans="2:3" ht="13.5" hidden="1" thickBot="1" x14ac:dyDescent="0.25">
      <c r="B174" s="110">
        <f t="shared" si="0"/>
        <v>2049</v>
      </c>
      <c r="C174" s="135">
        <f>[24]С2.5!$AH$11</f>
        <v>0</v>
      </c>
    </row>
    <row r="175" spans="2:3" ht="13.5" hidden="1" thickBot="1" x14ac:dyDescent="0.25">
      <c r="B175" s="110">
        <f t="shared" si="0"/>
        <v>2050</v>
      </c>
      <c r="C175" s="135">
        <f>[24]С2.5!$AI$11</f>
        <v>0</v>
      </c>
    </row>
    <row r="176" spans="2:3" ht="13.5" hidden="1" thickBot="1" x14ac:dyDescent="0.25">
      <c r="B176" s="110">
        <f t="shared" si="0"/>
        <v>2051</v>
      </c>
      <c r="C176" s="135">
        <f>[24]С2.5!$AJ$11</f>
        <v>0</v>
      </c>
    </row>
    <row r="177" spans="2:3" ht="13.5" hidden="1" thickBot="1" x14ac:dyDescent="0.25">
      <c r="B177" s="110">
        <f t="shared" si="0"/>
        <v>2052</v>
      </c>
      <c r="C177" s="135">
        <f>[24]С2.5!$AK$11</f>
        <v>0</v>
      </c>
    </row>
    <row r="178" spans="2:3" ht="13.5" hidden="1" thickBot="1" x14ac:dyDescent="0.25">
      <c r="B178" s="110">
        <f t="shared" si="0"/>
        <v>2053</v>
      </c>
      <c r="C178" s="135">
        <f>[24]С2.5!$AL$11</f>
        <v>0</v>
      </c>
    </row>
    <row r="179" spans="2:3" ht="13.5" hidden="1" thickBot="1" x14ac:dyDescent="0.25">
      <c r="B179" s="110">
        <f t="shared" si="0"/>
        <v>2054</v>
      </c>
      <c r="C179" s="135">
        <f>[24]С2.5!$AM$11</f>
        <v>0</v>
      </c>
    </row>
    <row r="180" spans="2:3" ht="13.5" hidden="1" thickBot="1" x14ac:dyDescent="0.25">
      <c r="B180" s="110">
        <f t="shared" si="0"/>
        <v>2055</v>
      </c>
      <c r="C180" s="135">
        <f>[24]С2.5!$AN$11</f>
        <v>0</v>
      </c>
    </row>
    <row r="181" spans="2:3" ht="13.5" hidden="1" thickBot="1" x14ac:dyDescent="0.25">
      <c r="B181" s="110">
        <f t="shared" si="0"/>
        <v>2056</v>
      </c>
      <c r="C181" s="135">
        <f>[24]С2.5!$AO$11</f>
        <v>0</v>
      </c>
    </row>
    <row r="182" spans="2:3" ht="13.5" hidden="1" thickBot="1" x14ac:dyDescent="0.25">
      <c r="B182" s="110">
        <f t="shared" si="0"/>
        <v>2057</v>
      </c>
      <c r="C182" s="135">
        <f>[24]С2.5!$AP$11</f>
        <v>0</v>
      </c>
    </row>
    <row r="183" spans="2:3" ht="13.5" hidden="1" thickBot="1" x14ac:dyDescent="0.25">
      <c r="B183" s="110">
        <f t="shared" si="0"/>
        <v>2058</v>
      </c>
      <c r="C183" s="135">
        <f>[24]С2.5!$AQ$11</f>
        <v>0</v>
      </c>
    </row>
    <row r="184" spans="2:3" ht="13.5" hidden="1" thickBot="1" x14ac:dyDescent="0.25">
      <c r="B184" s="110">
        <f t="shared" si="0"/>
        <v>2059</v>
      </c>
      <c r="C184" s="135">
        <f>[24]С2.5!$AR$11</f>
        <v>0</v>
      </c>
    </row>
    <row r="185" spans="2:3" ht="13.5" hidden="1" thickBot="1" x14ac:dyDescent="0.25">
      <c r="B185" s="110">
        <f t="shared" si="0"/>
        <v>2060</v>
      </c>
      <c r="C185" s="135">
        <f>[24]С2.5!$AS$11</f>
        <v>0</v>
      </c>
    </row>
    <row r="186" spans="2:3" ht="13.5" hidden="1" thickBot="1" x14ac:dyDescent="0.25">
      <c r="B186" s="110">
        <f t="shared" si="0"/>
        <v>2061</v>
      </c>
      <c r="C186" s="135">
        <f>[24]С2.5!$AT$11</f>
        <v>0</v>
      </c>
    </row>
    <row r="187" spans="2:3" ht="13.5" hidden="1" thickBot="1" x14ac:dyDescent="0.25">
      <c r="B187" s="110">
        <f t="shared" si="0"/>
        <v>2062</v>
      </c>
      <c r="C187" s="135">
        <f>[24]С2.5!$AU$11</f>
        <v>0</v>
      </c>
    </row>
    <row r="188" spans="2:3" ht="13.5" hidden="1" thickBot="1" x14ac:dyDescent="0.25">
      <c r="B188" s="110">
        <f t="shared" si="0"/>
        <v>2063</v>
      </c>
      <c r="C188" s="135">
        <f>[24]С2.5!$AV$11</f>
        <v>0</v>
      </c>
    </row>
    <row r="189" spans="2:3" ht="13.5" hidden="1" thickBot="1" x14ac:dyDescent="0.25">
      <c r="B189" s="110">
        <f t="shared" si="0"/>
        <v>2064</v>
      </c>
      <c r="C189" s="135">
        <f>[24]С2.5!$AW$11</f>
        <v>0</v>
      </c>
    </row>
    <row r="190" spans="2:3" ht="13.5" hidden="1" thickBot="1" x14ac:dyDescent="0.25">
      <c r="B190" s="110">
        <f t="shared" si="0"/>
        <v>2065</v>
      </c>
      <c r="C190" s="135">
        <f>[24]С2.5!$AX$11</f>
        <v>0</v>
      </c>
    </row>
    <row r="191" spans="2:3" ht="13.5" hidden="1" thickBot="1" x14ac:dyDescent="0.25">
      <c r="B191" s="110">
        <f t="shared" si="0"/>
        <v>2066</v>
      </c>
      <c r="C191" s="135">
        <f>[24]С2.5!$AY$11</f>
        <v>0</v>
      </c>
    </row>
    <row r="192" spans="2:3" ht="13.5" hidden="1" thickBot="1" x14ac:dyDescent="0.25">
      <c r="B192" s="110">
        <f t="shared" si="0"/>
        <v>2067</v>
      </c>
      <c r="C192" s="135">
        <f>[24]С2.5!$AZ$11</f>
        <v>0</v>
      </c>
    </row>
    <row r="193" spans="2:3" ht="13.5" hidden="1" thickBot="1" x14ac:dyDescent="0.25">
      <c r="B193" s="110">
        <f t="shared" si="0"/>
        <v>2068</v>
      </c>
      <c r="C193" s="135">
        <f>[24]С2.5!$BA$11</f>
        <v>0</v>
      </c>
    </row>
    <row r="194" spans="2:3" ht="13.5" hidden="1" thickBot="1" x14ac:dyDescent="0.25">
      <c r="B194" s="110">
        <f t="shared" si="0"/>
        <v>2069</v>
      </c>
      <c r="C194" s="135">
        <f>[24]С2.5!$BB$11</f>
        <v>0</v>
      </c>
    </row>
    <row r="195" spans="2:3" ht="13.5" hidden="1" thickBot="1" x14ac:dyDescent="0.25">
      <c r="B195" s="110">
        <f t="shared" si="0"/>
        <v>2070</v>
      </c>
      <c r="C195" s="135">
        <f>[24]С2.5!$BC$11</f>
        <v>0</v>
      </c>
    </row>
    <row r="196" spans="2:3" ht="13.5" hidden="1" thickBot="1" x14ac:dyDescent="0.25">
      <c r="B196" s="110">
        <f t="shared" si="0"/>
        <v>2071</v>
      </c>
      <c r="C196" s="135">
        <f>[24]С2.5!$BD$11</f>
        <v>0</v>
      </c>
    </row>
    <row r="197" spans="2:3" ht="13.5" hidden="1" thickBot="1" x14ac:dyDescent="0.25">
      <c r="B197" s="110">
        <f t="shared" si="0"/>
        <v>2072</v>
      </c>
      <c r="C197" s="135">
        <f>[24]С2.5!$BE$11</f>
        <v>0</v>
      </c>
    </row>
    <row r="198" spans="2:3" ht="13.5" hidden="1" thickBot="1" x14ac:dyDescent="0.25">
      <c r="B198" s="110">
        <f t="shared" si="0"/>
        <v>2073</v>
      </c>
      <c r="C198" s="135">
        <f>[24]С2.5!$BF$11</f>
        <v>0</v>
      </c>
    </row>
    <row r="199" spans="2:3" ht="13.5" hidden="1" thickBot="1" x14ac:dyDescent="0.25">
      <c r="B199" s="110">
        <f t="shared" si="0"/>
        <v>2074</v>
      </c>
      <c r="C199" s="135">
        <f>[24]С2.5!$BG$11</f>
        <v>0</v>
      </c>
    </row>
    <row r="200" spans="2:3" ht="13.5" hidden="1" thickBot="1" x14ac:dyDescent="0.25">
      <c r="B200" s="110">
        <f t="shared" si="0"/>
        <v>2075</v>
      </c>
      <c r="C200" s="135">
        <f>[24]С2.5!$BH$11</f>
        <v>0</v>
      </c>
    </row>
    <row r="201" spans="2:3" ht="13.5" hidden="1" thickBot="1" x14ac:dyDescent="0.25">
      <c r="B201" s="110">
        <f t="shared" si="0"/>
        <v>2076</v>
      </c>
      <c r="C201" s="135">
        <f>[24]С2.5!$BI$11</f>
        <v>0</v>
      </c>
    </row>
    <row r="202" spans="2:3" ht="13.5" hidden="1" thickBot="1" x14ac:dyDescent="0.25">
      <c r="B202" s="110">
        <f t="shared" si="0"/>
        <v>2077</v>
      </c>
      <c r="C202" s="135">
        <f>[24]С2.5!$BJ$11</f>
        <v>0</v>
      </c>
    </row>
    <row r="203" spans="2:3" ht="13.5" hidden="1" thickBot="1" x14ac:dyDescent="0.25">
      <c r="B203" s="110">
        <f t="shared" si="0"/>
        <v>2078</v>
      </c>
      <c r="C203" s="135">
        <f>[24]С2.5!$BK$11</f>
        <v>0</v>
      </c>
    </row>
    <row r="204" spans="2:3" ht="13.5" hidden="1" thickBot="1" x14ac:dyDescent="0.25">
      <c r="B204" s="110">
        <f t="shared" si="0"/>
        <v>2079</v>
      </c>
      <c r="C204" s="135">
        <f>[24]С2.5!$BL$11</f>
        <v>0</v>
      </c>
    </row>
    <row r="205" spans="2:3" ht="13.5" hidden="1" thickBot="1" x14ac:dyDescent="0.25">
      <c r="B205" s="110">
        <f t="shared" si="0"/>
        <v>2080</v>
      </c>
      <c r="C205" s="135">
        <f>[24]С2.5!$BM$11</f>
        <v>0</v>
      </c>
    </row>
    <row r="206" spans="2:3" ht="13.5" hidden="1" thickBot="1" x14ac:dyDescent="0.25">
      <c r="B206" s="110">
        <f t="shared" si="0"/>
        <v>2081</v>
      </c>
      <c r="C206" s="135">
        <f>[24]С2.5!$BN$11</f>
        <v>0</v>
      </c>
    </row>
    <row r="207" spans="2:3" ht="13.5" hidden="1" thickBot="1" x14ac:dyDescent="0.25">
      <c r="B207" s="110">
        <f t="shared" si="0"/>
        <v>2082</v>
      </c>
      <c r="C207" s="135">
        <f>[24]С2.5!$BO$11</f>
        <v>0</v>
      </c>
    </row>
    <row r="208" spans="2:3" ht="13.5" hidden="1" thickBot="1" x14ac:dyDescent="0.25">
      <c r="B208" s="110">
        <f t="shared" si="0"/>
        <v>2083</v>
      </c>
      <c r="C208" s="135">
        <f>[24]С2.5!$BP$11</f>
        <v>0</v>
      </c>
    </row>
    <row r="209" spans="2:3" ht="13.5" hidden="1" thickBot="1" x14ac:dyDescent="0.25">
      <c r="B209" s="110">
        <f t="shared" si="0"/>
        <v>2084</v>
      </c>
      <c r="C209" s="135">
        <f>[24]С2.5!$BQ$11</f>
        <v>0</v>
      </c>
    </row>
    <row r="210" spans="2:3" ht="13.5" hidden="1" thickBot="1" x14ac:dyDescent="0.25">
      <c r="B210" s="110">
        <f t="shared" si="0"/>
        <v>2085</v>
      </c>
      <c r="C210" s="135">
        <f>[24]С2.5!$BR$11</f>
        <v>0</v>
      </c>
    </row>
    <row r="211" spans="2:3" ht="13.5" hidden="1" thickBot="1" x14ac:dyDescent="0.25">
      <c r="B211" s="110">
        <f t="shared" ref="B211:B224" si="1">B210+1</f>
        <v>2086</v>
      </c>
      <c r="C211" s="135">
        <f>[24]С2.5!$BS$11</f>
        <v>0</v>
      </c>
    </row>
    <row r="212" spans="2:3" ht="13.5" hidden="1" thickBot="1" x14ac:dyDescent="0.25">
      <c r="B212" s="110">
        <f t="shared" si="1"/>
        <v>2087</v>
      </c>
      <c r="C212" s="135">
        <f>[24]С2.5!$BT$11</f>
        <v>0</v>
      </c>
    </row>
    <row r="213" spans="2:3" ht="13.5" hidden="1" thickBot="1" x14ac:dyDescent="0.25">
      <c r="B213" s="110">
        <f t="shared" si="1"/>
        <v>2088</v>
      </c>
      <c r="C213" s="135">
        <f>[24]С2.5!$BU$11</f>
        <v>0</v>
      </c>
    </row>
    <row r="214" spans="2:3" ht="13.5" hidden="1" thickBot="1" x14ac:dyDescent="0.25">
      <c r="B214" s="110">
        <f t="shared" si="1"/>
        <v>2089</v>
      </c>
      <c r="C214" s="135">
        <f>[24]С2.5!$BV$11</f>
        <v>0</v>
      </c>
    </row>
    <row r="215" spans="2:3" ht="13.5" hidden="1" thickBot="1" x14ac:dyDescent="0.25">
      <c r="B215" s="110">
        <f t="shared" si="1"/>
        <v>2090</v>
      </c>
      <c r="C215" s="135">
        <f>[24]С2.5!$BW$11</f>
        <v>0</v>
      </c>
    </row>
    <row r="216" spans="2:3" ht="13.5" hidden="1" thickBot="1" x14ac:dyDescent="0.25">
      <c r="B216" s="110">
        <f t="shared" si="1"/>
        <v>2091</v>
      </c>
      <c r="C216" s="135">
        <f>[24]С2.5!$BX$11</f>
        <v>0</v>
      </c>
    </row>
    <row r="217" spans="2:3" ht="13.5" hidden="1" thickBot="1" x14ac:dyDescent="0.25">
      <c r="B217" s="110">
        <f t="shared" si="1"/>
        <v>2092</v>
      </c>
      <c r="C217" s="135">
        <f>[24]С2.5!$BY$11</f>
        <v>0</v>
      </c>
    </row>
    <row r="218" spans="2:3" ht="13.5" hidden="1" thickBot="1" x14ac:dyDescent="0.25">
      <c r="B218" s="110">
        <f t="shared" si="1"/>
        <v>2093</v>
      </c>
      <c r="C218" s="135">
        <f>[24]С2.5!$BZ$11</f>
        <v>0</v>
      </c>
    </row>
    <row r="219" spans="2:3" ht="13.5" hidden="1" thickBot="1" x14ac:dyDescent="0.25">
      <c r="B219" s="110">
        <f t="shared" si="1"/>
        <v>2094</v>
      </c>
      <c r="C219" s="135">
        <f>[24]С2.5!$CA$11</f>
        <v>0</v>
      </c>
    </row>
    <row r="220" spans="2:3" ht="13.5" hidden="1" thickBot="1" x14ac:dyDescent="0.25">
      <c r="B220" s="110">
        <f t="shared" si="1"/>
        <v>2095</v>
      </c>
      <c r="C220" s="135">
        <f>[24]С2.5!$CB$11</f>
        <v>0</v>
      </c>
    </row>
    <row r="221" spans="2:3" ht="13.5" hidden="1" thickBot="1" x14ac:dyDescent="0.25">
      <c r="B221" s="110">
        <f t="shared" si="1"/>
        <v>2096</v>
      </c>
      <c r="C221" s="135">
        <f>[24]С2.5!$CC$11</f>
        <v>0</v>
      </c>
    </row>
    <row r="222" spans="2:3" ht="13.5" hidden="1" thickBot="1" x14ac:dyDescent="0.25">
      <c r="B222" s="110">
        <f t="shared" si="1"/>
        <v>2097</v>
      </c>
      <c r="C222" s="135">
        <f>[24]С2.5!$CD$11</f>
        <v>0</v>
      </c>
    </row>
    <row r="223" spans="2:3" ht="13.5" hidden="1" thickBot="1" x14ac:dyDescent="0.25">
      <c r="B223" s="110">
        <f t="shared" si="1"/>
        <v>2098</v>
      </c>
      <c r="C223" s="135">
        <f>[24]С2.5!$CE$11</f>
        <v>0</v>
      </c>
    </row>
    <row r="224" spans="2:3" ht="13.5" hidden="1" thickBot="1" x14ac:dyDescent="0.25">
      <c r="B224" s="110">
        <f t="shared" si="1"/>
        <v>2099</v>
      </c>
      <c r="C224" s="135">
        <f>[24]С2.5!$CF$11</f>
        <v>0</v>
      </c>
    </row>
    <row r="225" spans="2:3" ht="13.5" hidden="1" thickBot="1" x14ac:dyDescent="0.25">
      <c r="B225" s="112">
        <f>B162+1</f>
        <v>2038</v>
      </c>
      <c r="C225" s="136" t="e">
        <f>[24]С2.5!#REF!</f>
        <v>#REF!</v>
      </c>
    </row>
    <row r="226" spans="2:3" x14ac:dyDescent="0.2">
      <c r="B226" s="137"/>
      <c r="C226" s="138"/>
    </row>
  </sheetData>
  <mergeCells count="9">
    <mergeCell ref="B143:C143"/>
    <mergeCell ref="A14:C14"/>
    <mergeCell ref="B1:C1"/>
    <mergeCell ref="B27:C27"/>
    <mergeCell ref="B45:C45"/>
    <mergeCell ref="B90:C90"/>
    <mergeCell ref="B101:C101"/>
    <mergeCell ref="B126:C126"/>
    <mergeCell ref="B129:C129"/>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26"/>
  <sheetViews>
    <sheetView workbookViewId="0">
      <selection activeCell="C7" sqref="C7"/>
    </sheetView>
  </sheetViews>
  <sheetFormatPr defaultRowHeight="12.75" x14ac:dyDescent="0.2"/>
  <cols>
    <col min="1" max="1" width="9.140625" style="2" customWidth="1"/>
    <col min="2" max="2" width="100.5703125" style="2" customWidth="1"/>
    <col min="3" max="3" width="20.85546875" style="7" customWidth="1"/>
    <col min="4" max="242" width="9.140625" style="2"/>
    <col min="243" max="243" width="3.5703125" style="2" customWidth="1"/>
    <col min="244" max="244" width="96.85546875" style="2" customWidth="1"/>
    <col min="245" max="245" width="30.85546875" style="2" customWidth="1"/>
    <col min="246" max="246" width="12.5703125" style="2" customWidth="1"/>
    <col min="247" max="247" width="5.140625" style="2" customWidth="1"/>
    <col min="248" max="248" width="9.140625" style="2"/>
    <col min="249" max="249" width="4.85546875" style="2" customWidth="1"/>
    <col min="250" max="250" width="30.5703125" style="2" customWidth="1"/>
    <col min="251" max="251" width="33.85546875" style="2" customWidth="1"/>
    <col min="252" max="252" width="5.140625" style="2" customWidth="1"/>
    <col min="253" max="254" width="17.5703125" style="2" customWidth="1"/>
    <col min="255" max="498" width="9.140625" style="2"/>
    <col min="499" max="499" width="3.5703125" style="2" customWidth="1"/>
    <col min="500" max="500" width="96.85546875" style="2" customWidth="1"/>
    <col min="501" max="501" width="30.85546875" style="2" customWidth="1"/>
    <col min="502" max="502" width="12.5703125" style="2" customWidth="1"/>
    <col min="503" max="503" width="5.140625" style="2" customWidth="1"/>
    <col min="504" max="504" width="9.140625" style="2"/>
    <col min="505" max="505" width="4.85546875" style="2" customWidth="1"/>
    <col min="506" max="506" width="30.5703125" style="2" customWidth="1"/>
    <col min="507" max="507" width="33.85546875" style="2" customWidth="1"/>
    <col min="508" max="508" width="5.140625" style="2" customWidth="1"/>
    <col min="509" max="510" width="17.5703125" style="2" customWidth="1"/>
    <col min="511" max="754" width="9.140625" style="2"/>
    <col min="755" max="755" width="3.5703125" style="2" customWidth="1"/>
    <col min="756" max="756" width="96.85546875" style="2" customWidth="1"/>
    <col min="757" max="757" width="30.85546875" style="2" customWidth="1"/>
    <col min="758" max="758" width="12.5703125" style="2" customWidth="1"/>
    <col min="759" max="759" width="5.140625" style="2" customWidth="1"/>
    <col min="760" max="760" width="9.140625" style="2"/>
    <col min="761" max="761" width="4.85546875" style="2" customWidth="1"/>
    <col min="762" max="762" width="30.5703125" style="2" customWidth="1"/>
    <col min="763" max="763" width="33.85546875" style="2" customWidth="1"/>
    <col min="764" max="764" width="5.140625" style="2" customWidth="1"/>
    <col min="765" max="766" width="17.5703125" style="2" customWidth="1"/>
    <col min="767" max="1010" width="9.140625" style="2"/>
    <col min="1011" max="1011" width="3.5703125" style="2" customWidth="1"/>
    <col min="1012" max="1012" width="96.85546875" style="2" customWidth="1"/>
    <col min="1013" max="1013" width="30.85546875" style="2" customWidth="1"/>
    <col min="1014" max="1014" width="12.5703125" style="2" customWidth="1"/>
    <col min="1015" max="1015" width="5.140625" style="2" customWidth="1"/>
    <col min="1016" max="1016" width="9.140625" style="2"/>
    <col min="1017" max="1017" width="4.85546875" style="2" customWidth="1"/>
    <col min="1018" max="1018" width="30.5703125" style="2" customWidth="1"/>
    <col min="1019" max="1019" width="33.85546875" style="2" customWidth="1"/>
    <col min="1020" max="1020" width="5.140625" style="2" customWidth="1"/>
    <col min="1021" max="1022" width="17.5703125" style="2" customWidth="1"/>
    <col min="1023" max="1266" width="9.140625" style="2"/>
    <col min="1267" max="1267" width="3.5703125" style="2" customWidth="1"/>
    <col min="1268" max="1268" width="96.85546875" style="2" customWidth="1"/>
    <col min="1269" max="1269" width="30.85546875" style="2" customWidth="1"/>
    <col min="1270" max="1270" width="12.5703125" style="2" customWidth="1"/>
    <col min="1271" max="1271" width="5.140625" style="2" customWidth="1"/>
    <col min="1272" max="1272" width="9.140625" style="2"/>
    <col min="1273" max="1273" width="4.85546875" style="2" customWidth="1"/>
    <col min="1274" max="1274" width="30.5703125" style="2" customWidth="1"/>
    <col min="1275" max="1275" width="33.85546875" style="2" customWidth="1"/>
    <col min="1276" max="1276" width="5.140625" style="2" customWidth="1"/>
    <col min="1277" max="1278" width="17.5703125" style="2" customWidth="1"/>
    <col min="1279" max="1522" width="9.140625" style="2"/>
    <col min="1523" max="1523" width="3.5703125" style="2" customWidth="1"/>
    <col min="1524" max="1524" width="96.85546875" style="2" customWidth="1"/>
    <col min="1525" max="1525" width="30.85546875" style="2" customWidth="1"/>
    <col min="1526" max="1526" width="12.5703125" style="2" customWidth="1"/>
    <col min="1527" max="1527" width="5.140625" style="2" customWidth="1"/>
    <col min="1528" max="1528" width="9.140625" style="2"/>
    <col min="1529" max="1529" width="4.85546875" style="2" customWidth="1"/>
    <col min="1530" max="1530" width="30.5703125" style="2" customWidth="1"/>
    <col min="1531" max="1531" width="33.85546875" style="2" customWidth="1"/>
    <col min="1532" max="1532" width="5.140625" style="2" customWidth="1"/>
    <col min="1533" max="1534" width="17.5703125" style="2" customWidth="1"/>
    <col min="1535" max="1778" width="9.140625" style="2"/>
    <col min="1779" max="1779" width="3.5703125" style="2" customWidth="1"/>
    <col min="1780" max="1780" width="96.85546875" style="2" customWidth="1"/>
    <col min="1781" max="1781" width="30.85546875" style="2" customWidth="1"/>
    <col min="1782" max="1782" width="12.5703125" style="2" customWidth="1"/>
    <col min="1783" max="1783" width="5.140625" style="2" customWidth="1"/>
    <col min="1784" max="1784" width="9.140625" style="2"/>
    <col min="1785" max="1785" width="4.85546875" style="2" customWidth="1"/>
    <col min="1786" max="1786" width="30.5703125" style="2" customWidth="1"/>
    <col min="1787" max="1787" width="33.85546875" style="2" customWidth="1"/>
    <col min="1788" max="1788" width="5.140625" style="2" customWidth="1"/>
    <col min="1789" max="1790" width="17.5703125" style="2" customWidth="1"/>
    <col min="1791" max="2034" width="9.140625" style="2"/>
    <col min="2035" max="2035" width="3.5703125" style="2" customWidth="1"/>
    <col min="2036" max="2036" width="96.85546875" style="2" customWidth="1"/>
    <col min="2037" max="2037" width="30.85546875" style="2" customWidth="1"/>
    <col min="2038" max="2038" width="12.5703125" style="2" customWidth="1"/>
    <col min="2039" max="2039" width="5.140625" style="2" customWidth="1"/>
    <col min="2040" max="2040" width="9.140625" style="2"/>
    <col min="2041" max="2041" width="4.85546875" style="2" customWidth="1"/>
    <col min="2042" max="2042" width="30.5703125" style="2" customWidth="1"/>
    <col min="2043" max="2043" width="33.85546875" style="2" customWidth="1"/>
    <col min="2044" max="2044" width="5.140625" style="2" customWidth="1"/>
    <col min="2045" max="2046" width="17.5703125" style="2" customWidth="1"/>
    <col min="2047" max="2290" width="9.140625" style="2"/>
    <col min="2291" max="2291" width="3.5703125" style="2" customWidth="1"/>
    <col min="2292" max="2292" width="96.85546875" style="2" customWidth="1"/>
    <col min="2293" max="2293" width="30.85546875" style="2" customWidth="1"/>
    <col min="2294" max="2294" width="12.5703125" style="2" customWidth="1"/>
    <col min="2295" max="2295" width="5.140625" style="2" customWidth="1"/>
    <col min="2296" max="2296" width="9.140625" style="2"/>
    <col min="2297" max="2297" width="4.85546875" style="2" customWidth="1"/>
    <col min="2298" max="2298" width="30.5703125" style="2" customWidth="1"/>
    <col min="2299" max="2299" width="33.85546875" style="2" customWidth="1"/>
    <col min="2300" max="2300" width="5.140625" style="2" customWidth="1"/>
    <col min="2301" max="2302" width="17.5703125" style="2" customWidth="1"/>
    <col min="2303" max="2546" width="9.140625" style="2"/>
    <col min="2547" max="2547" width="3.5703125" style="2" customWidth="1"/>
    <col min="2548" max="2548" width="96.85546875" style="2" customWidth="1"/>
    <col min="2549" max="2549" width="30.85546875" style="2" customWidth="1"/>
    <col min="2550" max="2550" width="12.5703125" style="2" customWidth="1"/>
    <col min="2551" max="2551" width="5.140625" style="2" customWidth="1"/>
    <col min="2552" max="2552" width="9.140625" style="2"/>
    <col min="2553" max="2553" width="4.85546875" style="2" customWidth="1"/>
    <col min="2554" max="2554" width="30.5703125" style="2" customWidth="1"/>
    <col min="2555" max="2555" width="33.85546875" style="2" customWidth="1"/>
    <col min="2556" max="2556" width="5.140625" style="2" customWidth="1"/>
    <col min="2557" max="2558" width="17.5703125" style="2" customWidth="1"/>
    <col min="2559" max="2802" width="9.140625" style="2"/>
    <col min="2803" max="2803" width="3.5703125" style="2" customWidth="1"/>
    <col min="2804" max="2804" width="96.85546875" style="2" customWidth="1"/>
    <col min="2805" max="2805" width="30.85546875" style="2" customWidth="1"/>
    <col min="2806" max="2806" width="12.5703125" style="2" customWidth="1"/>
    <col min="2807" max="2807" width="5.140625" style="2" customWidth="1"/>
    <col min="2808" max="2808" width="9.140625" style="2"/>
    <col min="2809" max="2809" width="4.85546875" style="2" customWidth="1"/>
    <col min="2810" max="2810" width="30.5703125" style="2" customWidth="1"/>
    <col min="2811" max="2811" width="33.85546875" style="2" customWidth="1"/>
    <col min="2812" max="2812" width="5.140625" style="2" customWidth="1"/>
    <col min="2813" max="2814" width="17.5703125" style="2" customWidth="1"/>
    <col min="2815" max="3058" width="9.140625" style="2"/>
    <col min="3059" max="3059" width="3.5703125" style="2" customWidth="1"/>
    <col min="3060" max="3060" width="96.85546875" style="2" customWidth="1"/>
    <col min="3061" max="3061" width="30.85546875" style="2" customWidth="1"/>
    <col min="3062" max="3062" width="12.5703125" style="2" customWidth="1"/>
    <col min="3063" max="3063" width="5.140625" style="2" customWidth="1"/>
    <col min="3064" max="3064" width="9.140625" style="2"/>
    <col min="3065" max="3065" width="4.85546875" style="2" customWidth="1"/>
    <col min="3066" max="3066" width="30.5703125" style="2" customWidth="1"/>
    <col min="3067" max="3067" width="33.85546875" style="2" customWidth="1"/>
    <col min="3068" max="3068" width="5.140625" style="2" customWidth="1"/>
    <col min="3069" max="3070" width="17.5703125" style="2" customWidth="1"/>
    <col min="3071" max="3314" width="9.140625" style="2"/>
    <col min="3315" max="3315" width="3.5703125" style="2" customWidth="1"/>
    <col min="3316" max="3316" width="96.85546875" style="2" customWidth="1"/>
    <col min="3317" max="3317" width="30.85546875" style="2" customWidth="1"/>
    <col min="3318" max="3318" width="12.5703125" style="2" customWidth="1"/>
    <col min="3319" max="3319" width="5.140625" style="2" customWidth="1"/>
    <col min="3320" max="3320" width="9.140625" style="2"/>
    <col min="3321" max="3321" width="4.85546875" style="2" customWidth="1"/>
    <col min="3322" max="3322" width="30.5703125" style="2" customWidth="1"/>
    <col min="3323" max="3323" width="33.85546875" style="2" customWidth="1"/>
    <col min="3324" max="3324" width="5.140625" style="2" customWidth="1"/>
    <col min="3325" max="3326" width="17.5703125" style="2" customWidth="1"/>
    <col min="3327" max="3570" width="9.140625" style="2"/>
    <col min="3571" max="3571" width="3.5703125" style="2" customWidth="1"/>
    <col min="3572" max="3572" width="96.85546875" style="2" customWidth="1"/>
    <col min="3573" max="3573" width="30.85546875" style="2" customWidth="1"/>
    <col min="3574" max="3574" width="12.5703125" style="2" customWidth="1"/>
    <col min="3575" max="3575" width="5.140625" style="2" customWidth="1"/>
    <col min="3576" max="3576" width="9.140625" style="2"/>
    <col min="3577" max="3577" width="4.85546875" style="2" customWidth="1"/>
    <col min="3578" max="3578" width="30.5703125" style="2" customWidth="1"/>
    <col min="3579" max="3579" width="33.85546875" style="2" customWidth="1"/>
    <col min="3580" max="3580" width="5.140625" style="2" customWidth="1"/>
    <col min="3581" max="3582" width="17.5703125" style="2" customWidth="1"/>
    <col min="3583" max="3826" width="9.140625" style="2"/>
    <col min="3827" max="3827" width="3.5703125" style="2" customWidth="1"/>
    <col min="3828" max="3828" width="96.85546875" style="2" customWidth="1"/>
    <col min="3829" max="3829" width="30.85546875" style="2" customWidth="1"/>
    <col min="3830" max="3830" width="12.5703125" style="2" customWidth="1"/>
    <col min="3831" max="3831" width="5.140625" style="2" customWidth="1"/>
    <col min="3832" max="3832" width="9.140625" style="2"/>
    <col min="3833" max="3833" width="4.85546875" style="2" customWidth="1"/>
    <col min="3834" max="3834" width="30.5703125" style="2" customWidth="1"/>
    <col min="3835" max="3835" width="33.85546875" style="2" customWidth="1"/>
    <col min="3836" max="3836" width="5.140625" style="2" customWidth="1"/>
    <col min="3837" max="3838" width="17.5703125" style="2" customWidth="1"/>
    <col min="3839" max="4082" width="9.140625" style="2"/>
    <col min="4083" max="4083" width="3.5703125" style="2" customWidth="1"/>
    <col min="4084" max="4084" width="96.85546875" style="2" customWidth="1"/>
    <col min="4085" max="4085" width="30.85546875" style="2" customWidth="1"/>
    <col min="4086" max="4086" width="12.5703125" style="2" customWidth="1"/>
    <col min="4087" max="4087" width="5.140625" style="2" customWidth="1"/>
    <col min="4088" max="4088" width="9.140625" style="2"/>
    <col min="4089" max="4089" width="4.85546875" style="2" customWidth="1"/>
    <col min="4090" max="4090" width="30.5703125" style="2" customWidth="1"/>
    <col min="4091" max="4091" width="33.85546875" style="2" customWidth="1"/>
    <col min="4092" max="4092" width="5.140625" style="2" customWidth="1"/>
    <col min="4093" max="4094" width="17.5703125" style="2" customWidth="1"/>
    <col min="4095" max="4338" width="9.140625" style="2"/>
    <col min="4339" max="4339" width="3.5703125" style="2" customWidth="1"/>
    <col min="4340" max="4340" width="96.85546875" style="2" customWidth="1"/>
    <col min="4341" max="4341" width="30.85546875" style="2" customWidth="1"/>
    <col min="4342" max="4342" width="12.5703125" style="2" customWidth="1"/>
    <col min="4343" max="4343" width="5.140625" style="2" customWidth="1"/>
    <col min="4344" max="4344" width="9.140625" style="2"/>
    <col min="4345" max="4345" width="4.85546875" style="2" customWidth="1"/>
    <col min="4346" max="4346" width="30.5703125" style="2" customWidth="1"/>
    <col min="4347" max="4347" width="33.85546875" style="2" customWidth="1"/>
    <col min="4348" max="4348" width="5.140625" style="2" customWidth="1"/>
    <col min="4349" max="4350" width="17.5703125" style="2" customWidth="1"/>
    <col min="4351" max="4594" width="9.140625" style="2"/>
    <col min="4595" max="4595" width="3.5703125" style="2" customWidth="1"/>
    <col min="4596" max="4596" width="96.85546875" style="2" customWidth="1"/>
    <col min="4597" max="4597" width="30.85546875" style="2" customWidth="1"/>
    <col min="4598" max="4598" width="12.5703125" style="2" customWidth="1"/>
    <col min="4599" max="4599" width="5.140625" style="2" customWidth="1"/>
    <col min="4600" max="4600" width="9.140625" style="2"/>
    <col min="4601" max="4601" width="4.85546875" style="2" customWidth="1"/>
    <col min="4602" max="4602" width="30.5703125" style="2" customWidth="1"/>
    <col min="4603" max="4603" width="33.85546875" style="2" customWidth="1"/>
    <col min="4604" max="4604" width="5.140625" style="2" customWidth="1"/>
    <col min="4605" max="4606" width="17.5703125" style="2" customWidth="1"/>
    <col min="4607" max="4850" width="9.140625" style="2"/>
    <col min="4851" max="4851" width="3.5703125" style="2" customWidth="1"/>
    <col min="4852" max="4852" width="96.85546875" style="2" customWidth="1"/>
    <col min="4853" max="4853" width="30.85546875" style="2" customWidth="1"/>
    <col min="4854" max="4854" width="12.5703125" style="2" customWidth="1"/>
    <col min="4855" max="4855" width="5.140625" style="2" customWidth="1"/>
    <col min="4856" max="4856" width="9.140625" style="2"/>
    <col min="4857" max="4857" width="4.85546875" style="2" customWidth="1"/>
    <col min="4858" max="4858" width="30.5703125" style="2" customWidth="1"/>
    <col min="4859" max="4859" width="33.85546875" style="2" customWidth="1"/>
    <col min="4860" max="4860" width="5.140625" style="2" customWidth="1"/>
    <col min="4861" max="4862" width="17.5703125" style="2" customWidth="1"/>
    <col min="4863" max="5106" width="9.140625" style="2"/>
    <col min="5107" max="5107" width="3.5703125" style="2" customWidth="1"/>
    <col min="5108" max="5108" width="96.85546875" style="2" customWidth="1"/>
    <col min="5109" max="5109" width="30.85546875" style="2" customWidth="1"/>
    <col min="5110" max="5110" width="12.5703125" style="2" customWidth="1"/>
    <col min="5111" max="5111" width="5.140625" style="2" customWidth="1"/>
    <col min="5112" max="5112" width="9.140625" style="2"/>
    <col min="5113" max="5113" width="4.85546875" style="2" customWidth="1"/>
    <col min="5114" max="5114" width="30.5703125" style="2" customWidth="1"/>
    <col min="5115" max="5115" width="33.85546875" style="2" customWidth="1"/>
    <col min="5116" max="5116" width="5.140625" style="2" customWidth="1"/>
    <col min="5117" max="5118" width="17.5703125" style="2" customWidth="1"/>
    <col min="5119" max="5362" width="9.140625" style="2"/>
    <col min="5363" max="5363" width="3.5703125" style="2" customWidth="1"/>
    <col min="5364" max="5364" width="96.85546875" style="2" customWidth="1"/>
    <col min="5365" max="5365" width="30.85546875" style="2" customWidth="1"/>
    <col min="5366" max="5366" width="12.5703125" style="2" customWidth="1"/>
    <col min="5367" max="5367" width="5.140625" style="2" customWidth="1"/>
    <col min="5368" max="5368" width="9.140625" style="2"/>
    <col min="5369" max="5369" width="4.85546875" style="2" customWidth="1"/>
    <col min="5370" max="5370" width="30.5703125" style="2" customWidth="1"/>
    <col min="5371" max="5371" width="33.85546875" style="2" customWidth="1"/>
    <col min="5372" max="5372" width="5.140625" style="2" customWidth="1"/>
    <col min="5373" max="5374" width="17.5703125" style="2" customWidth="1"/>
    <col min="5375" max="5618" width="9.140625" style="2"/>
    <col min="5619" max="5619" width="3.5703125" style="2" customWidth="1"/>
    <col min="5620" max="5620" width="96.85546875" style="2" customWidth="1"/>
    <col min="5621" max="5621" width="30.85546875" style="2" customWidth="1"/>
    <col min="5622" max="5622" width="12.5703125" style="2" customWidth="1"/>
    <col min="5623" max="5623" width="5.140625" style="2" customWidth="1"/>
    <col min="5624" max="5624" width="9.140625" style="2"/>
    <col min="5625" max="5625" width="4.85546875" style="2" customWidth="1"/>
    <col min="5626" max="5626" width="30.5703125" style="2" customWidth="1"/>
    <col min="5627" max="5627" width="33.85546875" style="2" customWidth="1"/>
    <col min="5628" max="5628" width="5.140625" style="2" customWidth="1"/>
    <col min="5629" max="5630" width="17.5703125" style="2" customWidth="1"/>
    <col min="5631" max="5874" width="9.140625" style="2"/>
    <col min="5875" max="5875" width="3.5703125" style="2" customWidth="1"/>
    <col min="5876" max="5876" width="96.85546875" style="2" customWidth="1"/>
    <col min="5877" max="5877" width="30.85546875" style="2" customWidth="1"/>
    <col min="5878" max="5878" width="12.5703125" style="2" customWidth="1"/>
    <col min="5879" max="5879" width="5.140625" style="2" customWidth="1"/>
    <col min="5880" max="5880" width="9.140625" style="2"/>
    <col min="5881" max="5881" width="4.85546875" style="2" customWidth="1"/>
    <col min="5882" max="5882" width="30.5703125" style="2" customWidth="1"/>
    <col min="5883" max="5883" width="33.85546875" style="2" customWidth="1"/>
    <col min="5884" max="5884" width="5.140625" style="2" customWidth="1"/>
    <col min="5885" max="5886" width="17.5703125" style="2" customWidth="1"/>
    <col min="5887" max="6130" width="9.140625" style="2"/>
    <col min="6131" max="6131" width="3.5703125" style="2" customWidth="1"/>
    <col min="6132" max="6132" width="96.85546875" style="2" customWidth="1"/>
    <col min="6133" max="6133" width="30.85546875" style="2" customWidth="1"/>
    <col min="6134" max="6134" width="12.5703125" style="2" customWidth="1"/>
    <col min="6135" max="6135" width="5.140625" style="2" customWidth="1"/>
    <col min="6136" max="6136" width="9.140625" style="2"/>
    <col min="6137" max="6137" width="4.85546875" style="2" customWidth="1"/>
    <col min="6138" max="6138" width="30.5703125" style="2" customWidth="1"/>
    <col min="6139" max="6139" width="33.85546875" style="2" customWidth="1"/>
    <col min="6140" max="6140" width="5.140625" style="2" customWidth="1"/>
    <col min="6141" max="6142" width="17.5703125" style="2" customWidth="1"/>
    <col min="6143" max="6386" width="9.140625" style="2"/>
    <col min="6387" max="6387" width="3.5703125" style="2" customWidth="1"/>
    <col min="6388" max="6388" width="96.85546875" style="2" customWidth="1"/>
    <col min="6389" max="6389" width="30.85546875" style="2" customWidth="1"/>
    <col min="6390" max="6390" width="12.5703125" style="2" customWidth="1"/>
    <col min="6391" max="6391" width="5.140625" style="2" customWidth="1"/>
    <col min="6392" max="6392" width="9.140625" style="2"/>
    <col min="6393" max="6393" width="4.85546875" style="2" customWidth="1"/>
    <col min="6394" max="6394" width="30.5703125" style="2" customWidth="1"/>
    <col min="6395" max="6395" width="33.85546875" style="2" customWidth="1"/>
    <col min="6396" max="6396" width="5.140625" style="2" customWidth="1"/>
    <col min="6397" max="6398" width="17.5703125" style="2" customWidth="1"/>
    <col min="6399" max="6642" width="9.140625" style="2"/>
    <col min="6643" max="6643" width="3.5703125" style="2" customWidth="1"/>
    <col min="6644" max="6644" width="96.85546875" style="2" customWidth="1"/>
    <col min="6645" max="6645" width="30.85546875" style="2" customWidth="1"/>
    <col min="6646" max="6646" width="12.5703125" style="2" customWidth="1"/>
    <col min="6647" max="6647" width="5.140625" style="2" customWidth="1"/>
    <col min="6648" max="6648" width="9.140625" style="2"/>
    <col min="6649" max="6649" width="4.85546875" style="2" customWidth="1"/>
    <col min="6650" max="6650" width="30.5703125" style="2" customWidth="1"/>
    <col min="6651" max="6651" width="33.85546875" style="2" customWidth="1"/>
    <col min="6652" max="6652" width="5.140625" style="2" customWidth="1"/>
    <col min="6653" max="6654" width="17.5703125" style="2" customWidth="1"/>
    <col min="6655" max="6898" width="9.140625" style="2"/>
    <col min="6899" max="6899" width="3.5703125" style="2" customWidth="1"/>
    <col min="6900" max="6900" width="96.85546875" style="2" customWidth="1"/>
    <col min="6901" max="6901" width="30.85546875" style="2" customWidth="1"/>
    <col min="6902" max="6902" width="12.5703125" style="2" customWidth="1"/>
    <col min="6903" max="6903" width="5.140625" style="2" customWidth="1"/>
    <col min="6904" max="6904" width="9.140625" style="2"/>
    <col min="6905" max="6905" width="4.85546875" style="2" customWidth="1"/>
    <col min="6906" max="6906" width="30.5703125" style="2" customWidth="1"/>
    <col min="6907" max="6907" width="33.85546875" style="2" customWidth="1"/>
    <col min="6908" max="6908" width="5.140625" style="2" customWidth="1"/>
    <col min="6909" max="6910" width="17.5703125" style="2" customWidth="1"/>
    <col min="6911" max="7154" width="9.140625" style="2"/>
    <col min="7155" max="7155" width="3.5703125" style="2" customWidth="1"/>
    <col min="7156" max="7156" width="96.85546875" style="2" customWidth="1"/>
    <col min="7157" max="7157" width="30.85546875" style="2" customWidth="1"/>
    <col min="7158" max="7158" width="12.5703125" style="2" customWidth="1"/>
    <col min="7159" max="7159" width="5.140625" style="2" customWidth="1"/>
    <col min="7160" max="7160" width="9.140625" style="2"/>
    <col min="7161" max="7161" width="4.85546875" style="2" customWidth="1"/>
    <col min="7162" max="7162" width="30.5703125" style="2" customWidth="1"/>
    <col min="7163" max="7163" width="33.85546875" style="2" customWidth="1"/>
    <col min="7164" max="7164" width="5.140625" style="2" customWidth="1"/>
    <col min="7165" max="7166" width="17.5703125" style="2" customWidth="1"/>
    <col min="7167" max="7410" width="9.140625" style="2"/>
    <col min="7411" max="7411" width="3.5703125" style="2" customWidth="1"/>
    <col min="7412" max="7412" width="96.85546875" style="2" customWidth="1"/>
    <col min="7413" max="7413" width="30.85546875" style="2" customWidth="1"/>
    <col min="7414" max="7414" width="12.5703125" style="2" customWidth="1"/>
    <col min="7415" max="7415" width="5.140625" style="2" customWidth="1"/>
    <col min="7416" max="7416" width="9.140625" style="2"/>
    <col min="7417" max="7417" width="4.85546875" style="2" customWidth="1"/>
    <col min="7418" max="7418" width="30.5703125" style="2" customWidth="1"/>
    <col min="7419" max="7419" width="33.85546875" style="2" customWidth="1"/>
    <col min="7420" max="7420" width="5.140625" style="2" customWidth="1"/>
    <col min="7421" max="7422" width="17.5703125" style="2" customWidth="1"/>
    <col min="7423" max="7666" width="9.140625" style="2"/>
    <col min="7667" max="7667" width="3.5703125" style="2" customWidth="1"/>
    <col min="7668" max="7668" width="96.85546875" style="2" customWidth="1"/>
    <col min="7669" max="7669" width="30.85546875" style="2" customWidth="1"/>
    <col min="7670" max="7670" width="12.5703125" style="2" customWidth="1"/>
    <col min="7671" max="7671" width="5.140625" style="2" customWidth="1"/>
    <col min="7672" max="7672" width="9.140625" style="2"/>
    <col min="7673" max="7673" width="4.85546875" style="2" customWidth="1"/>
    <col min="7674" max="7674" width="30.5703125" style="2" customWidth="1"/>
    <col min="7675" max="7675" width="33.85546875" style="2" customWidth="1"/>
    <col min="7676" max="7676" width="5.140625" style="2" customWidth="1"/>
    <col min="7677" max="7678" width="17.5703125" style="2" customWidth="1"/>
    <col min="7679" max="7922" width="9.140625" style="2"/>
    <col min="7923" max="7923" width="3.5703125" style="2" customWidth="1"/>
    <col min="7924" max="7924" width="96.85546875" style="2" customWidth="1"/>
    <col min="7925" max="7925" width="30.85546875" style="2" customWidth="1"/>
    <col min="7926" max="7926" width="12.5703125" style="2" customWidth="1"/>
    <col min="7927" max="7927" width="5.140625" style="2" customWidth="1"/>
    <col min="7928" max="7928" width="9.140625" style="2"/>
    <col min="7929" max="7929" width="4.85546875" style="2" customWidth="1"/>
    <col min="7930" max="7930" width="30.5703125" style="2" customWidth="1"/>
    <col min="7931" max="7931" width="33.85546875" style="2" customWidth="1"/>
    <col min="7932" max="7932" width="5.140625" style="2" customWidth="1"/>
    <col min="7933" max="7934" width="17.5703125" style="2" customWidth="1"/>
    <col min="7935" max="8178" width="9.140625" style="2"/>
    <col min="8179" max="8179" width="3.5703125" style="2" customWidth="1"/>
    <col min="8180" max="8180" width="96.85546875" style="2" customWidth="1"/>
    <col min="8181" max="8181" width="30.85546875" style="2" customWidth="1"/>
    <col min="8182" max="8182" width="12.5703125" style="2" customWidth="1"/>
    <col min="8183" max="8183" width="5.140625" style="2" customWidth="1"/>
    <col min="8184" max="8184" width="9.140625" style="2"/>
    <col min="8185" max="8185" width="4.85546875" style="2" customWidth="1"/>
    <col min="8186" max="8186" width="30.5703125" style="2" customWidth="1"/>
    <col min="8187" max="8187" width="33.85546875" style="2" customWidth="1"/>
    <col min="8188" max="8188" width="5.140625" style="2" customWidth="1"/>
    <col min="8189" max="8190" width="17.5703125" style="2" customWidth="1"/>
    <col min="8191" max="8434" width="9.140625" style="2"/>
    <col min="8435" max="8435" width="3.5703125" style="2" customWidth="1"/>
    <col min="8436" max="8436" width="96.85546875" style="2" customWidth="1"/>
    <col min="8437" max="8437" width="30.85546875" style="2" customWidth="1"/>
    <col min="8438" max="8438" width="12.5703125" style="2" customWidth="1"/>
    <col min="8439" max="8439" width="5.140625" style="2" customWidth="1"/>
    <col min="8440" max="8440" width="9.140625" style="2"/>
    <col min="8441" max="8441" width="4.85546875" style="2" customWidth="1"/>
    <col min="8442" max="8442" width="30.5703125" style="2" customWidth="1"/>
    <col min="8443" max="8443" width="33.85546875" style="2" customWidth="1"/>
    <col min="8444" max="8444" width="5.140625" style="2" customWidth="1"/>
    <col min="8445" max="8446" width="17.5703125" style="2" customWidth="1"/>
    <col min="8447" max="8690" width="9.140625" style="2"/>
    <col min="8691" max="8691" width="3.5703125" style="2" customWidth="1"/>
    <col min="8692" max="8692" width="96.85546875" style="2" customWidth="1"/>
    <col min="8693" max="8693" width="30.85546875" style="2" customWidth="1"/>
    <col min="8694" max="8694" width="12.5703125" style="2" customWidth="1"/>
    <col min="8695" max="8695" width="5.140625" style="2" customWidth="1"/>
    <col min="8696" max="8696" width="9.140625" style="2"/>
    <col min="8697" max="8697" width="4.85546875" style="2" customWidth="1"/>
    <col min="8698" max="8698" width="30.5703125" style="2" customWidth="1"/>
    <col min="8699" max="8699" width="33.85546875" style="2" customWidth="1"/>
    <col min="8700" max="8700" width="5.140625" style="2" customWidth="1"/>
    <col min="8701" max="8702" width="17.5703125" style="2" customWidth="1"/>
    <col min="8703" max="8946" width="9.140625" style="2"/>
    <col min="8947" max="8947" width="3.5703125" style="2" customWidth="1"/>
    <col min="8948" max="8948" width="96.85546875" style="2" customWidth="1"/>
    <col min="8949" max="8949" width="30.85546875" style="2" customWidth="1"/>
    <col min="8950" max="8950" width="12.5703125" style="2" customWidth="1"/>
    <col min="8951" max="8951" width="5.140625" style="2" customWidth="1"/>
    <col min="8952" max="8952" width="9.140625" style="2"/>
    <col min="8953" max="8953" width="4.85546875" style="2" customWidth="1"/>
    <col min="8954" max="8954" width="30.5703125" style="2" customWidth="1"/>
    <col min="8955" max="8955" width="33.85546875" style="2" customWidth="1"/>
    <col min="8956" max="8956" width="5.140625" style="2" customWidth="1"/>
    <col min="8957" max="8958" width="17.5703125" style="2" customWidth="1"/>
    <col min="8959" max="9202" width="9.140625" style="2"/>
    <col min="9203" max="9203" width="3.5703125" style="2" customWidth="1"/>
    <col min="9204" max="9204" width="96.85546875" style="2" customWidth="1"/>
    <col min="9205" max="9205" width="30.85546875" style="2" customWidth="1"/>
    <col min="9206" max="9206" width="12.5703125" style="2" customWidth="1"/>
    <col min="9207" max="9207" width="5.140625" style="2" customWidth="1"/>
    <col min="9208" max="9208" width="9.140625" style="2"/>
    <col min="9209" max="9209" width="4.85546875" style="2" customWidth="1"/>
    <col min="9210" max="9210" width="30.5703125" style="2" customWidth="1"/>
    <col min="9211" max="9211" width="33.85546875" style="2" customWidth="1"/>
    <col min="9212" max="9212" width="5.140625" style="2" customWidth="1"/>
    <col min="9213" max="9214" width="17.5703125" style="2" customWidth="1"/>
    <col min="9215" max="9458" width="9.140625" style="2"/>
    <col min="9459" max="9459" width="3.5703125" style="2" customWidth="1"/>
    <col min="9460" max="9460" width="96.85546875" style="2" customWidth="1"/>
    <col min="9461" max="9461" width="30.85546875" style="2" customWidth="1"/>
    <col min="9462" max="9462" width="12.5703125" style="2" customWidth="1"/>
    <col min="9463" max="9463" width="5.140625" style="2" customWidth="1"/>
    <col min="9464" max="9464" width="9.140625" style="2"/>
    <col min="9465" max="9465" width="4.85546875" style="2" customWidth="1"/>
    <col min="9466" max="9466" width="30.5703125" style="2" customWidth="1"/>
    <col min="9467" max="9467" width="33.85546875" style="2" customWidth="1"/>
    <col min="9468" max="9468" width="5.140625" style="2" customWidth="1"/>
    <col min="9469" max="9470" width="17.5703125" style="2" customWidth="1"/>
    <col min="9471" max="9714" width="9.140625" style="2"/>
    <col min="9715" max="9715" width="3.5703125" style="2" customWidth="1"/>
    <col min="9716" max="9716" width="96.85546875" style="2" customWidth="1"/>
    <col min="9717" max="9717" width="30.85546875" style="2" customWidth="1"/>
    <col min="9718" max="9718" width="12.5703125" style="2" customWidth="1"/>
    <col min="9719" max="9719" width="5.140625" style="2" customWidth="1"/>
    <col min="9720" max="9720" width="9.140625" style="2"/>
    <col min="9721" max="9721" width="4.85546875" style="2" customWidth="1"/>
    <col min="9722" max="9722" width="30.5703125" style="2" customWidth="1"/>
    <col min="9723" max="9723" width="33.85546875" style="2" customWidth="1"/>
    <col min="9724" max="9724" width="5.140625" style="2" customWidth="1"/>
    <col min="9725" max="9726" width="17.5703125" style="2" customWidth="1"/>
    <col min="9727" max="9970" width="9.140625" style="2"/>
    <col min="9971" max="9971" width="3.5703125" style="2" customWidth="1"/>
    <col min="9972" max="9972" width="96.85546875" style="2" customWidth="1"/>
    <col min="9973" max="9973" width="30.85546875" style="2" customWidth="1"/>
    <col min="9974" max="9974" width="12.5703125" style="2" customWidth="1"/>
    <col min="9975" max="9975" width="5.140625" style="2" customWidth="1"/>
    <col min="9976" max="9976" width="9.140625" style="2"/>
    <col min="9977" max="9977" width="4.85546875" style="2" customWidth="1"/>
    <col min="9978" max="9978" width="30.5703125" style="2" customWidth="1"/>
    <col min="9979" max="9979" width="33.85546875" style="2" customWidth="1"/>
    <col min="9980" max="9980" width="5.140625" style="2" customWidth="1"/>
    <col min="9981" max="9982" width="17.5703125" style="2" customWidth="1"/>
    <col min="9983" max="10226" width="9.140625" style="2"/>
    <col min="10227" max="10227" width="3.5703125" style="2" customWidth="1"/>
    <col min="10228" max="10228" width="96.85546875" style="2" customWidth="1"/>
    <col min="10229" max="10229" width="30.85546875" style="2" customWidth="1"/>
    <col min="10230" max="10230" width="12.5703125" style="2" customWidth="1"/>
    <col min="10231" max="10231" width="5.140625" style="2" customWidth="1"/>
    <col min="10232" max="10232" width="9.140625" style="2"/>
    <col min="10233" max="10233" width="4.85546875" style="2" customWidth="1"/>
    <col min="10234" max="10234" width="30.5703125" style="2" customWidth="1"/>
    <col min="10235" max="10235" width="33.85546875" style="2" customWidth="1"/>
    <col min="10236" max="10236" width="5.140625" style="2" customWidth="1"/>
    <col min="10237" max="10238" width="17.5703125" style="2" customWidth="1"/>
    <col min="10239" max="10482" width="9.140625" style="2"/>
    <col min="10483" max="10483" width="3.5703125" style="2" customWidth="1"/>
    <col min="10484" max="10484" width="96.85546875" style="2" customWidth="1"/>
    <col min="10485" max="10485" width="30.85546875" style="2" customWidth="1"/>
    <col min="10486" max="10486" width="12.5703125" style="2" customWidth="1"/>
    <col min="10487" max="10487" width="5.140625" style="2" customWidth="1"/>
    <col min="10488" max="10488" width="9.140625" style="2"/>
    <col min="10489" max="10489" width="4.85546875" style="2" customWidth="1"/>
    <col min="10490" max="10490" width="30.5703125" style="2" customWidth="1"/>
    <col min="10491" max="10491" width="33.85546875" style="2" customWidth="1"/>
    <col min="10492" max="10492" width="5.140625" style="2" customWidth="1"/>
    <col min="10493" max="10494" width="17.5703125" style="2" customWidth="1"/>
    <col min="10495" max="10738" width="9.140625" style="2"/>
    <col min="10739" max="10739" width="3.5703125" style="2" customWidth="1"/>
    <col min="10740" max="10740" width="96.85546875" style="2" customWidth="1"/>
    <col min="10741" max="10741" width="30.85546875" style="2" customWidth="1"/>
    <col min="10742" max="10742" width="12.5703125" style="2" customWidth="1"/>
    <col min="10743" max="10743" width="5.140625" style="2" customWidth="1"/>
    <col min="10744" max="10744" width="9.140625" style="2"/>
    <col min="10745" max="10745" width="4.85546875" style="2" customWidth="1"/>
    <col min="10746" max="10746" width="30.5703125" style="2" customWidth="1"/>
    <col min="10747" max="10747" width="33.85546875" style="2" customWidth="1"/>
    <col min="10748" max="10748" width="5.140625" style="2" customWidth="1"/>
    <col min="10749" max="10750" width="17.5703125" style="2" customWidth="1"/>
    <col min="10751" max="10994" width="9.140625" style="2"/>
    <col min="10995" max="10995" width="3.5703125" style="2" customWidth="1"/>
    <col min="10996" max="10996" width="96.85546875" style="2" customWidth="1"/>
    <col min="10997" max="10997" width="30.85546875" style="2" customWidth="1"/>
    <col min="10998" max="10998" width="12.5703125" style="2" customWidth="1"/>
    <col min="10999" max="10999" width="5.140625" style="2" customWidth="1"/>
    <col min="11000" max="11000" width="9.140625" style="2"/>
    <col min="11001" max="11001" width="4.85546875" style="2" customWidth="1"/>
    <col min="11002" max="11002" width="30.5703125" style="2" customWidth="1"/>
    <col min="11003" max="11003" width="33.85546875" style="2" customWidth="1"/>
    <col min="11004" max="11004" width="5.140625" style="2" customWidth="1"/>
    <col min="11005" max="11006" width="17.5703125" style="2" customWidth="1"/>
    <col min="11007" max="11250" width="9.140625" style="2"/>
    <col min="11251" max="11251" width="3.5703125" style="2" customWidth="1"/>
    <col min="11252" max="11252" width="96.85546875" style="2" customWidth="1"/>
    <col min="11253" max="11253" width="30.85546875" style="2" customWidth="1"/>
    <col min="11254" max="11254" width="12.5703125" style="2" customWidth="1"/>
    <col min="11255" max="11255" width="5.140625" style="2" customWidth="1"/>
    <col min="11256" max="11256" width="9.140625" style="2"/>
    <col min="11257" max="11257" width="4.85546875" style="2" customWidth="1"/>
    <col min="11258" max="11258" width="30.5703125" style="2" customWidth="1"/>
    <col min="11259" max="11259" width="33.85546875" style="2" customWidth="1"/>
    <col min="11260" max="11260" width="5.140625" style="2" customWidth="1"/>
    <col min="11261" max="11262" width="17.5703125" style="2" customWidth="1"/>
    <col min="11263" max="11506" width="9.140625" style="2"/>
    <col min="11507" max="11507" width="3.5703125" style="2" customWidth="1"/>
    <col min="11508" max="11508" width="96.85546875" style="2" customWidth="1"/>
    <col min="11509" max="11509" width="30.85546875" style="2" customWidth="1"/>
    <col min="11510" max="11510" width="12.5703125" style="2" customWidth="1"/>
    <col min="11511" max="11511" width="5.140625" style="2" customWidth="1"/>
    <col min="11512" max="11512" width="9.140625" style="2"/>
    <col min="11513" max="11513" width="4.85546875" style="2" customWidth="1"/>
    <col min="11514" max="11514" width="30.5703125" style="2" customWidth="1"/>
    <col min="11515" max="11515" width="33.85546875" style="2" customWidth="1"/>
    <col min="11516" max="11516" width="5.140625" style="2" customWidth="1"/>
    <col min="11517" max="11518" width="17.5703125" style="2" customWidth="1"/>
    <col min="11519" max="11762" width="9.140625" style="2"/>
    <col min="11763" max="11763" width="3.5703125" style="2" customWidth="1"/>
    <col min="11764" max="11764" width="96.85546875" style="2" customWidth="1"/>
    <col min="11765" max="11765" width="30.85546875" style="2" customWidth="1"/>
    <col min="11766" max="11766" width="12.5703125" style="2" customWidth="1"/>
    <col min="11767" max="11767" width="5.140625" style="2" customWidth="1"/>
    <col min="11768" max="11768" width="9.140625" style="2"/>
    <col min="11769" max="11769" width="4.85546875" style="2" customWidth="1"/>
    <col min="11770" max="11770" width="30.5703125" style="2" customWidth="1"/>
    <col min="11771" max="11771" width="33.85546875" style="2" customWidth="1"/>
    <col min="11772" max="11772" width="5.140625" style="2" customWidth="1"/>
    <col min="11773" max="11774" width="17.5703125" style="2" customWidth="1"/>
    <col min="11775" max="12018" width="9.140625" style="2"/>
    <col min="12019" max="12019" width="3.5703125" style="2" customWidth="1"/>
    <col min="12020" max="12020" width="96.85546875" style="2" customWidth="1"/>
    <col min="12021" max="12021" width="30.85546875" style="2" customWidth="1"/>
    <col min="12022" max="12022" width="12.5703125" style="2" customWidth="1"/>
    <col min="12023" max="12023" width="5.140625" style="2" customWidth="1"/>
    <col min="12024" max="12024" width="9.140625" style="2"/>
    <col min="12025" max="12025" width="4.85546875" style="2" customWidth="1"/>
    <col min="12026" max="12026" width="30.5703125" style="2" customWidth="1"/>
    <col min="12027" max="12027" width="33.85546875" style="2" customWidth="1"/>
    <col min="12028" max="12028" width="5.140625" style="2" customWidth="1"/>
    <col min="12029" max="12030" width="17.5703125" style="2" customWidth="1"/>
    <col min="12031" max="12274" width="9.140625" style="2"/>
    <col min="12275" max="12275" width="3.5703125" style="2" customWidth="1"/>
    <col min="12276" max="12276" width="96.85546875" style="2" customWidth="1"/>
    <col min="12277" max="12277" width="30.85546875" style="2" customWidth="1"/>
    <col min="12278" max="12278" width="12.5703125" style="2" customWidth="1"/>
    <col min="12279" max="12279" width="5.140625" style="2" customWidth="1"/>
    <col min="12280" max="12280" width="9.140625" style="2"/>
    <col min="12281" max="12281" width="4.85546875" style="2" customWidth="1"/>
    <col min="12282" max="12282" width="30.5703125" style="2" customWidth="1"/>
    <col min="12283" max="12283" width="33.85546875" style="2" customWidth="1"/>
    <col min="12284" max="12284" width="5.140625" style="2" customWidth="1"/>
    <col min="12285" max="12286" width="17.5703125" style="2" customWidth="1"/>
    <col min="12287" max="12530" width="9.140625" style="2"/>
    <col min="12531" max="12531" width="3.5703125" style="2" customWidth="1"/>
    <col min="12532" max="12532" width="96.85546875" style="2" customWidth="1"/>
    <col min="12533" max="12533" width="30.85546875" style="2" customWidth="1"/>
    <col min="12534" max="12534" width="12.5703125" style="2" customWidth="1"/>
    <col min="12535" max="12535" width="5.140625" style="2" customWidth="1"/>
    <col min="12536" max="12536" width="9.140625" style="2"/>
    <col min="12537" max="12537" width="4.85546875" style="2" customWidth="1"/>
    <col min="12538" max="12538" width="30.5703125" style="2" customWidth="1"/>
    <col min="12539" max="12539" width="33.85546875" style="2" customWidth="1"/>
    <col min="12540" max="12540" width="5.140625" style="2" customWidth="1"/>
    <col min="12541" max="12542" width="17.5703125" style="2" customWidth="1"/>
    <col min="12543" max="12786" width="9.140625" style="2"/>
    <col min="12787" max="12787" width="3.5703125" style="2" customWidth="1"/>
    <col min="12788" max="12788" width="96.85546875" style="2" customWidth="1"/>
    <col min="12789" max="12789" width="30.85546875" style="2" customWidth="1"/>
    <col min="12790" max="12790" width="12.5703125" style="2" customWidth="1"/>
    <col min="12791" max="12791" width="5.140625" style="2" customWidth="1"/>
    <col min="12792" max="12792" width="9.140625" style="2"/>
    <col min="12793" max="12793" width="4.85546875" style="2" customWidth="1"/>
    <col min="12794" max="12794" width="30.5703125" style="2" customWidth="1"/>
    <col min="12795" max="12795" width="33.85546875" style="2" customWidth="1"/>
    <col min="12796" max="12796" width="5.140625" style="2" customWidth="1"/>
    <col min="12797" max="12798" width="17.5703125" style="2" customWidth="1"/>
    <col min="12799" max="13042" width="9.140625" style="2"/>
    <col min="13043" max="13043" width="3.5703125" style="2" customWidth="1"/>
    <col min="13044" max="13044" width="96.85546875" style="2" customWidth="1"/>
    <col min="13045" max="13045" width="30.85546875" style="2" customWidth="1"/>
    <col min="13046" max="13046" width="12.5703125" style="2" customWidth="1"/>
    <col min="13047" max="13047" width="5.140625" style="2" customWidth="1"/>
    <col min="13048" max="13048" width="9.140625" style="2"/>
    <col min="13049" max="13049" width="4.85546875" style="2" customWidth="1"/>
    <col min="13050" max="13050" width="30.5703125" style="2" customWidth="1"/>
    <col min="13051" max="13051" width="33.85546875" style="2" customWidth="1"/>
    <col min="13052" max="13052" width="5.140625" style="2" customWidth="1"/>
    <col min="13053" max="13054" width="17.5703125" style="2" customWidth="1"/>
    <col min="13055" max="13298" width="9.140625" style="2"/>
    <col min="13299" max="13299" width="3.5703125" style="2" customWidth="1"/>
    <col min="13300" max="13300" width="96.85546875" style="2" customWidth="1"/>
    <col min="13301" max="13301" width="30.85546875" style="2" customWidth="1"/>
    <col min="13302" max="13302" width="12.5703125" style="2" customWidth="1"/>
    <col min="13303" max="13303" width="5.140625" style="2" customWidth="1"/>
    <col min="13304" max="13304" width="9.140625" style="2"/>
    <col min="13305" max="13305" width="4.85546875" style="2" customWidth="1"/>
    <col min="13306" max="13306" width="30.5703125" style="2" customWidth="1"/>
    <col min="13307" max="13307" width="33.85546875" style="2" customWidth="1"/>
    <col min="13308" max="13308" width="5.140625" style="2" customWidth="1"/>
    <col min="13309" max="13310" width="17.5703125" style="2" customWidth="1"/>
    <col min="13311" max="13554" width="9.140625" style="2"/>
    <col min="13555" max="13555" width="3.5703125" style="2" customWidth="1"/>
    <col min="13556" max="13556" width="96.85546875" style="2" customWidth="1"/>
    <col min="13557" max="13557" width="30.85546875" style="2" customWidth="1"/>
    <col min="13558" max="13558" width="12.5703125" style="2" customWidth="1"/>
    <col min="13559" max="13559" width="5.140625" style="2" customWidth="1"/>
    <col min="13560" max="13560" width="9.140625" style="2"/>
    <col min="13561" max="13561" width="4.85546875" style="2" customWidth="1"/>
    <col min="13562" max="13562" width="30.5703125" style="2" customWidth="1"/>
    <col min="13563" max="13563" width="33.85546875" style="2" customWidth="1"/>
    <col min="13564" max="13564" width="5.140625" style="2" customWidth="1"/>
    <col min="13565" max="13566" width="17.5703125" style="2" customWidth="1"/>
    <col min="13567" max="13810" width="9.140625" style="2"/>
    <col min="13811" max="13811" width="3.5703125" style="2" customWidth="1"/>
    <col min="13812" max="13812" width="96.85546875" style="2" customWidth="1"/>
    <col min="13813" max="13813" width="30.85546875" style="2" customWidth="1"/>
    <col min="13814" max="13814" width="12.5703125" style="2" customWidth="1"/>
    <col min="13815" max="13815" width="5.140625" style="2" customWidth="1"/>
    <col min="13816" max="13816" width="9.140625" style="2"/>
    <col min="13817" max="13817" width="4.85546875" style="2" customWidth="1"/>
    <col min="13818" max="13818" width="30.5703125" style="2" customWidth="1"/>
    <col min="13819" max="13819" width="33.85546875" style="2" customWidth="1"/>
    <col min="13820" max="13820" width="5.140625" style="2" customWidth="1"/>
    <col min="13821" max="13822" width="17.5703125" style="2" customWidth="1"/>
    <col min="13823" max="14066" width="9.140625" style="2"/>
    <col min="14067" max="14067" width="3.5703125" style="2" customWidth="1"/>
    <col min="14068" max="14068" width="96.85546875" style="2" customWidth="1"/>
    <col min="14069" max="14069" width="30.85546875" style="2" customWidth="1"/>
    <col min="14070" max="14070" width="12.5703125" style="2" customWidth="1"/>
    <col min="14071" max="14071" width="5.140625" style="2" customWidth="1"/>
    <col min="14072" max="14072" width="9.140625" style="2"/>
    <col min="14073" max="14073" width="4.85546875" style="2" customWidth="1"/>
    <col min="14074" max="14074" width="30.5703125" style="2" customWidth="1"/>
    <col min="14075" max="14075" width="33.85546875" style="2" customWidth="1"/>
    <col min="14076" max="14076" width="5.140625" style="2" customWidth="1"/>
    <col min="14077" max="14078" width="17.5703125" style="2" customWidth="1"/>
    <col min="14079" max="14322" width="9.140625" style="2"/>
    <col min="14323" max="14323" width="3.5703125" style="2" customWidth="1"/>
    <col min="14324" max="14324" width="96.85546875" style="2" customWidth="1"/>
    <col min="14325" max="14325" width="30.85546875" style="2" customWidth="1"/>
    <col min="14326" max="14326" width="12.5703125" style="2" customWidth="1"/>
    <col min="14327" max="14327" width="5.140625" style="2" customWidth="1"/>
    <col min="14328" max="14328" width="9.140625" style="2"/>
    <col min="14329" max="14329" width="4.85546875" style="2" customWidth="1"/>
    <col min="14330" max="14330" width="30.5703125" style="2" customWidth="1"/>
    <col min="14331" max="14331" width="33.85546875" style="2" customWidth="1"/>
    <col min="14332" max="14332" width="5.140625" style="2" customWidth="1"/>
    <col min="14333" max="14334" width="17.5703125" style="2" customWidth="1"/>
    <col min="14335" max="14578" width="9.140625" style="2"/>
    <col min="14579" max="14579" width="3.5703125" style="2" customWidth="1"/>
    <col min="14580" max="14580" width="96.85546875" style="2" customWidth="1"/>
    <col min="14581" max="14581" width="30.85546875" style="2" customWidth="1"/>
    <col min="14582" max="14582" width="12.5703125" style="2" customWidth="1"/>
    <col min="14583" max="14583" width="5.140625" style="2" customWidth="1"/>
    <col min="14584" max="14584" width="9.140625" style="2"/>
    <col min="14585" max="14585" width="4.85546875" style="2" customWidth="1"/>
    <col min="14586" max="14586" width="30.5703125" style="2" customWidth="1"/>
    <col min="14587" max="14587" width="33.85546875" style="2" customWidth="1"/>
    <col min="14588" max="14588" width="5.140625" style="2" customWidth="1"/>
    <col min="14589" max="14590" width="17.5703125" style="2" customWidth="1"/>
    <col min="14591" max="14834" width="9.140625" style="2"/>
    <col min="14835" max="14835" width="3.5703125" style="2" customWidth="1"/>
    <col min="14836" max="14836" width="96.85546875" style="2" customWidth="1"/>
    <col min="14837" max="14837" width="30.85546875" style="2" customWidth="1"/>
    <col min="14838" max="14838" width="12.5703125" style="2" customWidth="1"/>
    <col min="14839" max="14839" width="5.140625" style="2" customWidth="1"/>
    <col min="14840" max="14840" width="9.140625" style="2"/>
    <col min="14841" max="14841" width="4.85546875" style="2" customWidth="1"/>
    <col min="14842" max="14842" width="30.5703125" style="2" customWidth="1"/>
    <col min="14843" max="14843" width="33.85546875" style="2" customWidth="1"/>
    <col min="14844" max="14844" width="5.140625" style="2" customWidth="1"/>
    <col min="14845" max="14846" width="17.5703125" style="2" customWidth="1"/>
    <col min="14847" max="15090" width="9.140625" style="2"/>
    <col min="15091" max="15091" width="3.5703125" style="2" customWidth="1"/>
    <col min="15092" max="15092" width="96.85546875" style="2" customWidth="1"/>
    <col min="15093" max="15093" width="30.85546875" style="2" customWidth="1"/>
    <col min="15094" max="15094" width="12.5703125" style="2" customWidth="1"/>
    <col min="15095" max="15095" width="5.140625" style="2" customWidth="1"/>
    <col min="15096" max="15096" width="9.140625" style="2"/>
    <col min="15097" max="15097" width="4.85546875" style="2" customWidth="1"/>
    <col min="15098" max="15098" width="30.5703125" style="2" customWidth="1"/>
    <col min="15099" max="15099" width="33.85546875" style="2" customWidth="1"/>
    <col min="15100" max="15100" width="5.140625" style="2" customWidth="1"/>
    <col min="15101" max="15102" width="17.5703125" style="2" customWidth="1"/>
    <col min="15103" max="15346" width="9.140625" style="2"/>
    <col min="15347" max="15347" width="3.5703125" style="2" customWidth="1"/>
    <col min="15348" max="15348" width="96.85546875" style="2" customWidth="1"/>
    <col min="15349" max="15349" width="30.85546875" style="2" customWidth="1"/>
    <col min="15350" max="15350" width="12.5703125" style="2" customWidth="1"/>
    <col min="15351" max="15351" width="5.140625" style="2" customWidth="1"/>
    <col min="15352" max="15352" width="9.140625" style="2"/>
    <col min="15353" max="15353" width="4.85546875" style="2" customWidth="1"/>
    <col min="15354" max="15354" width="30.5703125" style="2" customWidth="1"/>
    <col min="15355" max="15355" width="33.85546875" style="2" customWidth="1"/>
    <col min="15356" max="15356" width="5.140625" style="2" customWidth="1"/>
    <col min="15357" max="15358" width="17.5703125" style="2" customWidth="1"/>
    <col min="15359" max="15602" width="9.140625" style="2"/>
    <col min="15603" max="15603" width="3.5703125" style="2" customWidth="1"/>
    <col min="15604" max="15604" width="96.85546875" style="2" customWidth="1"/>
    <col min="15605" max="15605" width="30.85546875" style="2" customWidth="1"/>
    <col min="15606" max="15606" width="12.5703125" style="2" customWidth="1"/>
    <col min="15607" max="15607" width="5.140625" style="2" customWidth="1"/>
    <col min="15608" max="15608" width="9.140625" style="2"/>
    <col min="15609" max="15609" width="4.85546875" style="2" customWidth="1"/>
    <col min="15610" max="15610" width="30.5703125" style="2" customWidth="1"/>
    <col min="15611" max="15611" width="33.85546875" style="2" customWidth="1"/>
    <col min="15612" max="15612" width="5.140625" style="2" customWidth="1"/>
    <col min="15613" max="15614" width="17.5703125" style="2" customWidth="1"/>
    <col min="15615" max="15858" width="9.140625" style="2"/>
    <col min="15859" max="15859" width="3.5703125" style="2" customWidth="1"/>
    <col min="15860" max="15860" width="96.85546875" style="2" customWidth="1"/>
    <col min="15861" max="15861" width="30.85546875" style="2" customWidth="1"/>
    <col min="15862" max="15862" width="12.5703125" style="2" customWidth="1"/>
    <col min="15863" max="15863" width="5.140625" style="2" customWidth="1"/>
    <col min="15864" max="15864" width="9.140625" style="2"/>
    <col min="15865" max="15865" width="4.85546875" style="2" customWidth="1"/>
    <col min="15866" max="15866" width="30.5703125" style="2" customWidth="1"/>
    <col min="15867" max="15867" width="33.85546875" style="2" customWidth="1"/>
    <col min="15868" max="15868" width="5.140625" style="2" customWidth="1"/>
    <col min="15869" max="15870" width="17.5703125" style="2" customWidth="1"/>
    <col min="15871" max="16114" width="9.140625" style="2"/>
    <col min="16115" max="16115" width="3.5703125" style="2" customWidth="1"/>
    <col min="16116" max="16116" width="96.85546875" style="2" customWidth="1"/>
    <col min="16117" max="16117" width="30.85546875" style="2" customWidth="1"/>
    <col min="16118" max="16118" width="12.5703125" style="2" customWidth="1"/>
    <col min="16119" max="16119" width="5.140625" style="2" customWidth="1"/>
    <col min="16120" max="16120" width="9.140625" style="2"/>
    <col min="16121" max="16121" width="4.85546875" style="2" customWidth="1"/>
    <col min="16122" max="16122" width="30.5703125" style="2" customWidth="1"/>
    <col min="16123" max="16123" width="33.85546875" style="2" customWidth="1"/>
    <col min="16124" max="16124" width="5.140625" style="2" customWidth="1"/>
    <col min="16125" max="16126" width="17.5703125" style="2" customWidth="1"/>
    <col min="16127" max="16384" width="9.140625" style="2"/>
  </cols>
  <sheetData>
    <row r="1" spans="1:3" ht="48" customHeight="1" x14ac:dyDescent="0.2">
      <c r="A1" s="1"/>
      <c r="B1" s="143" t="s">
        <v>0</v>
      </c>
      <c r="C1" s="143"/>
    </row>
    <row r="2" spans="1:3" x14ac:dyDescent="0.2">
      <c r="A2" s="3"/>
      <c r="B2" s="4" t="s">
        <v>1</v>
      </c>
      <c r="C2" s="5">
        <v>46052</v>
      </c>
    </row>
    <row r="3" spans="1:3" x14ac:dyDescent="0.2">
      <c r="A3" s="3"/>
      <c r="B3" s="6" t="s">
        <v>2</v>
      </c>
    </row>
    <row r="4" spans="1:3" ht="25.5" x14ac:dyDescent="0.2">
      <c r="A4" s="8"/>
      <c r="B4" s="9" t="str">
        <f>[26]И1!D13</f>
        <v>Субъект Российской Федерации</v>
      </c>
      <c r="C4" s="10" t="str">
        <f>[26]И1!E13</f>
        <v>Новосибирская область</v>
      </c>
    </row>
    <row r="5" spans="1:3" ht="51.75" customHeight="1" x14ac:dyDescent="0.2">
      <c r="A5" s="8"/>
      <c r="B5" s="9" t="str">
        <f>[26]И1!D14</f>
        <v>Тип муниципального образования (выберите из списка)</v>
      </c>
      <c r="C5" s="10" t="str">
        <f>[27]И1!E14</f>
        <v>село Лебедевка, Искитимский муниципальный район</v>
      </c>
    </row>
    <row r="6" spans="1:3" x14ac:dyDescent="0.2">
      <c r="A6" s="8"/>
      <c r="B6" s="9" t="str">
        <f>IF([26]И1!E15="","",[26]И1!D15)</f>
        <v/>
      </c>
      <c r="C6" s="10">
        <f>IF([26]И1!E15="","",[26]И1!E15)</f>
        <v>0</v>
      </c>
    </row>
    <row r="7" spans="1:3" x14ac:dyDescent="0.2">
      <c r="A7" s="8"/>
      <c r="B7" s="9" t="str">
        <f>[26]И1!D16</f>
        <v>Код ОКТМО</v>
      </c>
      <c r="C7" s="11" t="str">
        <f>[27]И1!E16</f>
        <v xml:space="preserve"> (50615422101)</v>
      </c>
    </row>
    <row r="8" spans="1:3" x14ac:dyDescent="0.2">
      <c r="A8" s="8"/>
      <c r="B8" s="12" t="str">
        <f>[26]И1!D17</f>
        <v>Система теплоснабжения</v>
      </c>
      <c r="C8" s="13">
        <f>[26]И1!E17</f>
        <v>0</v>
      </c>
    </row>
    <row r="9" spans="1:3" x14ac:dyDescent="0.2">
      <c r="A9" s="8"/>
      <c r="B9" s="9" t="str">
        <f>[26]И1!D8</f>
        <v>Период регулирования (i)-й</v>
      </c>
      <c r="C9" s="14">
        <f>[26]И1!E8</f>
        <v>2026</v>
      </c>
    </row>
    <row r="10" spans="1:3" x14ac:dyDescent="0.2">
      <c r="A10" s="8"/>
      <c r="B10" s="9" t="str">
        <f>[26]И1!D9</f>
        <v>Период регулирования (i-1)-й</v>
      </c>
      <c r="C10" s="14">
        <f>[26]И1!E9</f>
        <v>2025</v>
      </c>
    </row>
    <row r="11" spans="1:3" x14ac:dyDescent="0.2">
      <c r="A11" s="8"/>
      <c r="B11" s="9" t="str">
        <f>[26]И1!D10</f>
        <v>Период регулирования (i-2)-й</v>
      </c>
      <c r="C11" s="14">
        <f>[26]И1!E10</f>
        <v>2024</v>
      </c>
    </row>
    <row r="12" spans="1:3" x14ac:dyDescent="0.2">
      <c r="A12" s="8"/>
      <c r="B12" s="9" t="str">
        <f>[26]И1!D11</f>
        <v>Базовый год (б)</v>
      </c>
      <c r="C12" s="14">
        <f>[26]И1!E11</f>
        <v>2019</v>
      </c>
    </row>
    <row r="13" spans="1:3" x14ac:dyDescent="0.2">
      <c r="A13" s="8"/>
      <c r="B13" s="9" t="str">
        <f>[26]И1!D18</f>
        <v>Вид топлива, использование которого преобладает в системе теплоснабжения</v>
      </c>
      <c r="C13" s="15" t="str">
        <f>[26]С1.1!E13</f>
        <v>каменный уголь</v>
      </c>
    </row>
    <row r="14" spans="1:3" ht="31.7" customHeight="1" thickBot="1" x14ac:dyDescent="0.25">
      <c r="A14" s="142" t="s">
        <v>3</v>
      </c>
      <c r="B14" s="142"/>
      <c r="C14" s="142"/>
    </row>
    <row r="15" spans="1:3" x14ac:dyDescent="0.2">
      <c r="A15" s="16" t="s">
        <v>4</v>
      </c>
      <c r="B15" s="17" t="s">
        <v>5</v>
      </c>
      <c r="C15" s="18" t="s">
        <v>6</v>
      </c>
    </row>
    <row r="16" spans="1:3" x14ac:dyDescent="0.2">
      <c r="A16" s="19">
        <v>1</v>
      </c>
      <c r="B16" s="20">
        <v>2</v>
      </c>
      <c r="C16" s="21">
        <v>3</v>
      </c>
    </row>
    <row r="17" spans="1:3" x14ac:dyDescent="0.2">
      <c r="A17" s="22">
        <v>1</v>
      </c>
      <c r="B17" s="23" t="s">
        <v>7</v>
      </c>
      <c r="C17" s="24">
        <f>SUM(C18:C22)</f>
        <v>5947.9912230505824</v>
      </c>
    </row>
    <row r="18" spans="1:3" ht="42.75" x14ac:dyDescent="0.2">
      <c r="A18" s="22" t="s">
        <v>8</v>
      </c>
      <c r="B18" s="25" t="s">
        <v>9</v>
      </c>
      <c r="C18" s="26">
        <f>[26]С1!F12</f>
        <v>1237.4469274870999</v>
      </c>
    </row>
    <row r="19" spans="1:3" ht="42.75" x14ac:dyDescent="0.2">
      <c r="A19" s="22" t="s">
        <v>10</v>
      </c>
      <c r="B19" s="25" t="s">
        <v>11</v>
      </c>
      <c r="C19" s="26">
        <f>[26]С2!F12</f>
        <v>3097.7824122172187</v>
      </c>
    </row>
    <row r="20" spans="1:3" ht="30" x14ac:dyDescent="0.2">
      <c r="A20" s="22" t="s">
        <v>12</v>
      </c>
      <c r="B20" s="25" t="s">
        <v>13</v>
      </c>
      <c r="C20" s="26">
        <f>[26]С3!F12</f>
        <v>940.47266370947932</v>
      </c>
    </row>
    <row r="21" spans="1:3" ht="42.75" x14ac:dyDescent="0.2">
      <c r="A21" s="22" t="s">
        <v>14</v>
      </c>
      <c r="B21" s="25" t="s">
        <v>15</v>
      </c>
      <c r="C21" s="26">
        <f>[26]С4!F12</f>
        <v>555.66194075344004</v>
      </c>
    </row>
    <row r="22" spans="1:3" ht="30" x14ac:dyDescent="0.2">
      <c r="A22" s="22" t="s">
        <v>16</v>
      </c>
      <c r="B22" s="25" t="s">
        <v>17</v>
      </c>
      <c r="C22" s="26">
        <f>[26]С5!F12</f>
        <v>116.62727888334476</v>
      </c>
    </row>
    <row r="23" spans="1:3" ht="43.5" thickBot="1" x14ac:dyDescent="0.25">
      <c r="A23" s="27" t="s">
        <v>18</v>
      </c>
      <c r="B23" s="140" t="s">
        <v>19</v>
      </c>
      <c r="C23" s="28" t="str">
        <f>[26]С6!F12</f>
        <v>-</v>
      </c>
    </row>
    <row r="24" spans="1:3" ht="13.5" thickBot="1" x14ac:dyDescent="0.25">
      <c r="A24" s="3"/>
    </row>
    <row r="25" spans="1:3" x14ac:dyDescent="0.2">
      <c r="A25" s="16" t="s">
        <v>4</v>
      </c>
      <c r="B25" s="29" t="s">
        <v>5</v>
      </c>
      <c r="C25" s="30" t="s">
        <v>6</v>
      </c>
    </row>
    <row r="26" spans="1:3" x14ac:dyDescent="0.2">
      <c r="A26" s="19">
        <v>1</v>
      </c>
      <c r="B26" s="31">
        <v>2</v>
      </c>
      <c r="C26" s="32">
        <v>3</v>
      </c>
    </row>
    <row r="27" spans="1:3" ht="39.75" customHeight="1" x14ac:dyDescent="0.2">
      <c r="A27" s="22">
        <v>1</v>
      </c>
      <c r="B27" s="144" t="s">
        <v>20</v>
      </c>
      <c r="C27" s="144"/>
    </row>
    <row r="28" spans="1:3" ht="128.25" customHeight="1" x14ac:dyDescent="0.2">
      <c r="A28" s="22" t="s">
        <v>8</v>
      </c>
      <c r="B28" s="33" t="s">
        <v>21</v>
      </c>
      <c r="C28" s="34">
        <f>[26]С1.1!E16</f>
        <v>5100</v>
      </c>
    </row>
    <row r="29" spans="1:3" ht="57.75" customHeight="1" x14ac:dyDescent="0.2">
      <c r="A29" s="22" t="s">
        <v>10</v>
      </c>
      <c r="B29" s="33" t="s">
        <v>22</v>
      </c>
      <c r="C29" s="34">
        <f>[26]С1.1!E27</f>
        <v>5321.88</v>
      </c>
    </row>
    <row r="30" spans="1:3" ht="261.75" customHeight="1" x14ac:dyDescent="0.2">
      <c r="A30" s="22" t="s">
        <v>12</v>
      </c>
      <c r="B30" s="33" t="s">
        <v>23</v>
      </c>
      <c r="C30" s="35">
        <f>[26]С1.1!E19</f>
        <v>-0.11899999999999999</v>
      </c>
    </row>
    <row r="31" spans="1:3" ht="17.25" x14ac:dyDescent="0.2">
      <c r="A31" s="22" t="s">
        <v>14</v>
      </c>
      <c r="B31" s="33" t="s">
        <v>24</v>
      </c>
      <c r="C31" s="35">
        <f>[26]С1.1!E20</f>
        <v>4.0000000000000001E-3</v>
      </c>
    </row>
    <row r="32" spans="1:3" ht="30" x14ac:dyDescent="0.2">
      <c r="A32" s="22" t="s">
        <v>16</v>
      </c>
      <c r="B32" s="36" t="s">
        <v>25</v>
      </c>
      <c r="C32" s="37">
        <f>[26]С1!F13</f>
        <v>176.4</v>
      </c>
    </row>
    <row r="33" spans="1:3" x14ac:dyDescent="0.2">
      <c r="A33" s="22" t="s">
        <v>18</v>
      </c>
      <c r="B33" s="36" t="s">
        <v>26</v>
      </c>
      <c r="C33" s="38">
        <f>[26]С1!F16</f>
        <v>7000</v>
      </c>
    </row>
    <row r="34" spans="1:3" ht="14.25" x14ac:dyDescent="0.2">
      <c r="A34" s="22" t="s">
        <v>27</v>
      </c>
      <c r="B34" s="39" t="s">
        <v>28</v>
      </c>
      <c r="C34" s="40">
        <f>[26]С1!F17</f>
        <v>0.72857142857142854</v>
      </c>
    </row>
    <row r="35" spans="1:3" ht="15.75" x14ac:dyDescent="0.2">
      <c r="A35" s="41" t="s">
        <v>29</v>
      </c>
      <c r="B35" s="42" t="s">
        <v>30</v>
      </c>
      <c r="C35" s="40">
        <f>[26]С1!F20</f>
        <v>21.588411179999994</v>
      </c>
    </row>
    <row r="36" spans="1:3" ht="15.75" x14ac:dyDescent="0.2">
      <c r="A36" s="41" t="s">
        <v>31</v>
      </c>
      <c r="B36" s="43" t="s">
        <v>32</v>
      </c>
      <c r="C36" s="40">
        <f>[26]С1!F21</f>
        <v>20.818139999999996</v>
      </c>
    </row>
    <row r="37" spans="1:3" ht="14.25" x14ac:dyDescent="0.2">
      <c r="A37" s="41" t="s">
        <v>33</v>
      </c>
      <c r="B37" s="44" t="s">
        <v>34</v>
      </c>
      <c r="C37" s="40">
        <f>[26]С1!F22</f>
        <v>1.0369999999999999</v>
      </c>
    </row>
    <row r="38" spans="1:3" ht="53.25" thickBot="1" x14ac:dyDescent="0.25">
      <c r="A38" s="27" t="s">
        <v>35</v>
      </c>
      <c r="B38" s="45" t="s">
        <v>36</v>
      </c>
      <c r="C38" s="46">
        <f>[26]С1!F23</f>
        <v>1.0469999999999999</v>
      </c>
    </row>
    <row r="39" spans="1:3" ht="13.5" thickBot="1" x14ac:dyDescent="0.25">
      <c r="A39" s="47"/>
      <c r="B39" s="48"/>
      <c r="C39" s="49"/>
    </row>
    <row r="40" spans="1:3" ht="30" customHeight="1" x14ac:dyDescent="0.2">
      <c r="A40" s="50" t="s">
        <v>37</v>
      </c>
      <c r="B40" s="145" t="s">
        <v>38</v>
      </c>
      <c r="C40" s="145"/>
    </row>
    <row r="41" spans="1:3" ht="25.5" x14ac:dyDescent="0.2">
      <c r="A41" s="22" t="s">
        <v>39</v>
      </c>
      <c r="B41" s="36" t="s">
        <v>40</v>
      </c>
      <c r="C41" s="51" t="str">
        <f>[26]С2.1!E12</f>
        <v>V</v>
      </c>
    </row>
    <row r="42" spans="1:3" ht="233.25" customHeight="1" x14ac:dyDescent="0.2">
      <c r="A42" s="22" t="s">
        <v>41</v>
      </c>
      <c r="B42" s="33" t="s">
        <v>42</v>
      </c>
      <c r="C42" s="51" t="str">
        <f>[26]С2.1!E13</f>
        <v>6 и менее баллов</v>
      </c>
    </row>
    <row r="43" spans="1:3" ht="144.75" customHeight="1" x14ac:dyDescent="0.2">
      <c r="A43" s="22" t="s">
        <v>43</v>
      </c>
      <c r="B43" s="33" t="s">
        <v>44</v>
      </c>
      <c r="C43" s="51" t="str">
        <f>[26]С2.1!E14</f>
        <v>от 200 до 500</v>
      </c>
    </row>
    <row r="44" spans="1:3" ht="25.5" x14ac:dyDescent="0.2">
      <c r="A44" s="22" t="s">
        <v>45</v>
      </c>
      <c r="B44" s="33" t="s">
        <v>46</v>
      </c>
      <c r="C44" s="52" t="str">
        <f>[26]С2.1!E15</f>
        <v>нет</v>
      </c>
    </row>
    <row r="45" spans="1:3" ht="30" x14ac:dyDescent="0.2">
      <c r="A45" s="22" t="s">
        <v>47</v>
      </c>
      <c r="B45" s="33" t="s">
        <v>48</v>
      </c>
      <c r="C45" s="34">
        <f>[26]С2!F18</f>
        <v>40220.845230503684</v>
      </c>
    </row>
    <row r="46" spans="1:3" ht="30" x14ac:dyDescent="0.2">
      <c r="A46" s="22" t="s">
        <v>49</v>
      </c>
      <c r="B46" s="53" t="s">
        <v>50</v>
      </c>
      <c r="C46" s="34">
        <f>IF([26]С2!F19&gt;0,[26]С2!F19,[26]С2!F20)</f>
        <v>23441.524932855718</v>
      </c>
    </row>
    <row r="47" spans="1:3" ht="46.5" customHeight="1" x14ac:dyDescent="0.2">
      <c r="A47" s="22" t="s">
        <v>51</v>
      </c>
      <c r="B47" s="54" t="s">
        <v>52</v>
      </c>
      <c r="C47" s="34">
        <f>[26]С2.1!E19</f>
        <v>-38</v>
      </c>
    </row>
    <row r="48" spans="1:3" ht="25.5" x14ac:dyDescent="0.2">
      <c r="A48" s="22" t="s">
        <v>53</v>
      </c>
      <c r="B48" s="54" t="s">
        <v>54</v>
      </c>
      <c r="C48" s="34" t="str">
        <f>[26]С2.1!E22</f>
        <v>нет</v>
      </c>
    </row>
    <row r="49" spans="1:3" ht="38.25" x14ac:dyDescent="0.2">
      <c r="A49" s="22" t="s">
        <v>55</v>
      </c>
      <c r="B49" s="55" t="s">
        <v>56</v>
      </c>
      <c r="C49" s="34">
        <f>[26]С2.2!E10</f>
        <v>1287</v>
      </c>
    </row>
    <row r="50" spans="1:3" ht="25.5" x14ac:dyDescent="0.2">
      <c r="A50" s="22" t="s">
        <v>57</v>
      </c>
      <c r="B50" s="56" t="s">
        <v>58</v>
      </c>
      <c r="C50" s="34">
        <f>[26]С2.2!E12</f>
        <v>5.97</v>
      </c>
    </row>
    <row r="51" spans="1:3" ht="52.5" x14ac:dyDescent="0.2">
      <c r="A51" s="22" t="s">
        <v>59</v>
      </c>
      <c r="B51" s="57" t="s">
        <v>60</v>
      </c>
      <c r="C51" s="34">
        <f>[26]С2.2!E13</f>
        <v>1</v>
      </c>
    </row>
    <row r="52" spans="1:3" ht="27.75" x14ac:dyDescent="0.2">
      <c r="A52" s="22" t="s">
        <v>61</v>
      </c>
      <c r="B52" s="56" t="s">
        <v>62</v>
      </c>
      <c r="C52" s="34">
        <f>[26]С2.2!E14</f>
        <v>12104</v>
      </c>
    </row>
    <row r="53" spans="1:3" ht="79.5" customHeight="1" x14ac:dyDescent="0.2">
      <c r="A53" s="22" t="s">
        <v>63</v>
      </c>
      <c r="B53" s="57" t="s">
        <v>64</v>
      </c>
      <c r="C53" s="35">
        <f>[26]С2.2!E15</f>
        <v>4.8000000000000001E-2</v>
      </c>
    </row>
    <row r="54" spans="1:3" x14ac:dyDescent="0.2">
      <c r="A54" s="22" t="s">
        <v>65</v>
      </c>
      <c r="B54" s="57" t="s">
        <v>66</v>
      </c>
      <c r="C54" s="34">
        <f>[26]С2.2!E16</f>
        <v>1</v>
      </c>
    </row>
    <row r="55" spans="1:3" ht="15.75" x14ac:dyDescent="0.2">
      <c r="A55" s="22" t="s">
        <v>67</v>
      </c>
      <c r="B55" s="58" t="s">
        <v>68</v>
      </c>
      <c r="C55" s="34">
        <f>[26]С2!F21</f>
        <v>1</v>
      </c>
    </row>
    <row r="56" spans="1:3" ht="30" x14ac:dyDescent="0.2">
      <c r="A56" s="59" t="s">
        <v>69</v>
      </c>
      <c r="B56" s="33" t="s">
        <v>70</v>
      </c>
      <c r="C56" s="34">
        <f>[26]С2!F13</f>
        <v>210571.60987470482</v>
      </c>
    </row>
    <row r="57" spans="1:3" ht="30" x14ac:dyDescent="0.2">
      <c r="A57" s="59" t="s">
        <v>71</v>
      </c>
      <c r="B57" s="58" t="s">
        <v>72</v>
      </c>
      <c r="C57" s="34">
        <f>[26]С2!F14</f>
        <v>113455</v>
      </c>
    </row>
    <row r="58" spans="1:3" ht="15.75" x14ac:dyDescent="0.2">
      <c r="A58" s="59" t="s">
        <v>73</v>
      </c>
      <c r="B58" s="60" t="s">
        <v>74</v>
      </c>
      <c r="C58" s="40">
        <f>[26]С2!F15</f>
        <v>1.071</v>
      </c>
    </row>
    <row r="59" spans="1:3" ht="15.75" x14ac:dyDescent="0.2">
      <c r="A59" s="59" t="s">
        <v>75</v>
      </c>
      <c r="B59" s="60" t="s">
        <v>76</v>
      </c>
      <c r="C59" s="40">
        <f>[26]С2!F16</f>
        <v>1</v>
      </c>
    </row>
    <row r="60" spans="1:3" ht="17.25" x14ac:dyDescent="0.2">
      <c r="A60" s="59" t="s">
        <v>77</v>
      </c>
      <c r="B60" s="58" t="s">
        <v>78</v>
      </c>
      <c r="C60" s="34">
        <f>[26]С2!F17</f>
        <v>1.01</v>
      </c>
    </row>
    <row r="61" spans="1:3" s="63" customFormat="1" ht="14.25" x14ac:dyDescent="0.2">
      <c r="A61" s="59" t="s">
        <v>79</v>
      </c>
      <c r="B61" s="61" t="s">
        <v>80</v>
      </c>
      <c r="C61" s="62">
        <f>[26]С2!F33</f>
        <v>10</v>
      </c>
    </row>
    <row r="62" spans="1:3" ht="30" x14ac:dyDescent="0.2">
      <c r="A62" s="59" t="s">
        <v>81</v>
      </c>
      <c r="B62" s="64" t="s">
        <v>82</v>
      </c>
      <c r="C62" s="34">
        <f>[26]С2!F26</f>
        <v>3185.880383940208</v>
      </c>
    </row>
    <row r="63" spans="1:3" ht="168" customHeight="1" x14ac:dyDescent="0.2">
      <c r="A63" s="59" t="s">
        <v>83</v>
      </c>
      <c r="B63" s="53" t="s">
        <v>84</v>
      </c>
      <c r="C63" s="34">
        <f>[26]С2!F27</f>
        <v>0.44209422600000003</v>
      </c>
    </row>
    <row r="64" spans="1:3" ht="17.25" x14ac:dyDescent="0.2">
      <c r="A64" s="59" t="s">
        <v>85</v>
      </c>
      <c r="B64" s="58" t="s">
        <v>86</v>
      </c>
      <c r="C64" s="62">
        <f>[26]С2!F28</f>
        <v>4200</v>
      </c>
    </row>
    <row r="65" spans="1:3" ht="42.75" x14ac:dyDescent="0.2">
      <c r="A65" s="59" t="s">
        <v>87</v>
      </c>
      <c r="B65" s="33" t="s">
        <v>88</v>
      </c>
      <c r="C65" s="34">
        <f>[26]С2!F22</f>
        <v>4298.6978080550834</v>
      </c>
    </row>
    <row r="66" spans="1:3" ht="30" x14ac:dyDescent="0.2">
      <c r="A66" s="59" t="s">
        <v>89</v>
      </c>
      <c r="B66" s="60" t="s">
        <v>90</v>
      </c>
      <c r="C66" s="34">
        <f>[26]С2!F23</f>
        <v>1990</v>
      </c>
    </row>
    <row r="67" spans="1:3" ht="30" x14ac:dyDescent="0.2">
      <c r="A67" s="59" t="s">
        <v>91</v>
      </c>
      <c r="B67" s="53" t="s">
        <v>92</v>
      </c>
      <c r="C67" s="34">
        <f>[26]С2.1!E27</f>
        <v>246.24401</v>
      </c>
    </row>
    <row r="68" spans="1:3" ht="73.5" customHeight="1" x14ac:dyDescent="0.2">
      <c r="A68" s="59" t="s">
        <v>93</v>
      </c>
      <c r="B68" s="65" t="s">
        <v>94</v>
      </c>
      <c r="C68" s="52" t="str">
        <f>[26]С2.3!E21</f>
        <v>Муниципальное унитарное предприятие города Куйбышева Куйбышевского района Новосибирской области "Горводоканал"</v>
      </c>
    </row>
    <row r="69" spans="1:3" ht="25.5" x14ac:dyDescent="0.2">
      <c r="A69" s="59" t="s">
        <v>95</v>
      </c>
      <c r="B69" s="66" t="s">
        <v>96</v>
      </c>
      <c r="C69" s="67">
        <f>[26]С2.3!E11</f>
        <v>9.89</v>
      </c>
    </row>
    <row r="70" spans="1:3" ht="25.5" x14ac:dyDescent="0.2">
      <c r="A70" s="59" t="s">
        <v>97</v>
      </c>
      <c r="B70" s="66" t="s">
        <v>98</v>
      </c>
      <c r="C70" s="62">
        <f>[26]С2.3!E13</f>
        <v>300</v>
      </c>
    </row>
    <row r="71" spans="1:3" ht="192.75" customHeight="1" x14ac:dyDescent="0.2">
      <c r="A71" s="59" t="s">
        <v>99</v>
      </c>
      <c r="B71" s="65" t="s">
        <v>100</v>
      </c>
      <c r="C71" s="68">
        <f>IF([26]С2.3!E22&gt;0,[26]С2.3!E22,[26]С2.3!E14)</f>
        <v>8809</v>
      </c>
    </row>
    <row r="72" spans="1:3" ht="192.75" customHeight="1" x14ac:dyDescent="0.2">
      <c r="A72" s="59" t="s">
        <v>101</v>
      </c>
      <c r="B72" s="65" t="s">
        <v>102</v>
      </c>
      <c r="C72" s="68">
        <f>IF([26]С2.3!E23&gt;0,[26]С2.3!E23,[26]С2.3!E15)</f>
        <v>530.41</v>
      </c>
    </row>
    <row r="73" spans="1:3" ht="30" x14ac:dyDescent="0.2">
      <c r="A73" s="59" t="s">
        <v>103</v>
      </c>
      <c r="B73" s="53" t="s">
        <v>104</v>
      </c>
      <c r="C73" s="34">
        <f>[26]С2.1!E28</f>
        <v>269.12432000000001</v>
      </c>
    </row>
    <row r="74" spans="1:3" ht="87" customHeight="1" x14ac:dyDescent="0.2">
      <c r="A74" s="59" t="s">
        <v>105</v>
      </c>
      <c r="B74" s="65" t="s">
        <v>106</v>
      </c>
      <c r="C74" s="52" t="str">
        <f>[26]С2.3!E25</f>
        <v>Муниципальное унитарное предприятие города Куйбышева Куйбышевского района Новосибирской области "Геострой"</v>
      </c>
    </row>
    <row r="75" spans="1:3" ht="25.5" x14ac:dyDescent="0.2">
      <c r="A75" s="59" t="s">
        <v>107</v>
      </c>
      <c r="B75" s="66" t="s">
        <v>108</v>
      </c>
      <c r="C75" s="67">
        <f>[26]С2.3!E12</f>
        <v>0.56000000000000005</v>
      </c>
    </row>
    <row r="76" spans="1:3" ht="25.5" x14ac:dyDescent="0.2">
      <c r="A76" s="59" t="s">
        <v>109</v>
      </c>
      <c r="B76" s="66" t="s">
        <v>98</v>
      </c>
      <c r="C76" s="62">
        <f>[26]С2.3!E13</f>
        <v>300</v>
      </c>
    </row>
    <row r="77" spans="1:3" ht="183" customHeight="1" x14ac:dyDescent="0.2">
      <c r="A77" s="59" t="s">
        <v>110</v>
      </c>
      <c r="B77" s="69" t="s">
        <v>111</v>
      </c>
      <c r="C77" s="68">
        <f>IF([26]С2.3!E26&gt;0,[26]С2.3!E26,[26]С2.3!E16)</f>
        <v>21397</v>
      </c>
    </row>
    <row r="78" spans="1:3" ht="186.75" customHeight="1" x14ac:dyDescent="0.2">
      <c r="A78" s="59" t="s">
        <v>112</v>
      </c>
      <c r="B78" s="69" t="s">
        <v>113</v>
      </c>
      <c r="C78" s="68">
        <f>IF([26]С2.3!E27&gt;0,[26]С2.3!E27,[26]С2.3!E17)</f>
        <v>857.14</v>
      </c>
    </row>
    <row r="79" spans="1:3" ht="17.25" x14ac:dyDescent="0.2">
      <c r="A79" s="59" t="s">
        <v>114</v>
      </c>
      <c r="B79" s="33" t="s">
        <v>115</v>
      </c>
      <c r="C79" s="35">
        <f>[26]С2!F29</f>
        <v>0.21369165990259753</v>
      </c>
    </row>
    <row r="80" spans="1:3" ht="30" x14ac:dyDescent="0.2">
      <c r="A80" s="59" t="s">
        <v>116</v>
      </c>
      <c r="B80" s="53" t="s">
        <v>117</v>
      </c>
      <c r="C80" s="70">
        <f>[26]С2!F30</f>
        <v>0.20047619047619047</v>
      </c>
    </row>
    <row r="81" spans="1:3" ht="17.25" x14ac:dyDescent="0.2">
      <c r="A81" s="59" t="s">
        <v>118</v>
      </c>
      <c r="B81" s="71" t="s">
        <v>119</v>
      </c>
      <c r="C81" s="35">
        <f>[26]С2!F31</f>
        <v>0.13880000000000001</v>
      </c>
    </row>
    <row r="82" spans="1:3" s="63" customFormat="1" ht="18" thickBot="1" x14ac:dyDescent="0.25">
      <c r="A82" s="72" t="s">
        <v>120</v>
      </c>
      <c r="B82" s="73" t="s">
        <v>121</v>
      </c>
      <c r="C82" s="74">
        <f>[26]С2!F32</f>
        <v>0.12640000000000001</v>
      </c>
    </row>
    <row r="83" spans="1:3" ht="13.5" thickBot="1" x14ac:dyDescent="0.25">
      <c r="A83" s="47"/>
      <c r="B83" s="75"/>
      <c r="C83" s="15"/>
    </row>
    <row r="84" spans="1:3" s="63" customFormat="1" ht="30" customHeight="1" x14ac:dyDescent="0.2">
      <c r="A84" s="76" t="s">
        <v>122</v>
      </c>
      <c r="B84" s="145" t="s">
        <v>123</v>
      </c>
      <c r="C84" s="145"/>
    </row>
    <row r="85" spans="1:3" s="63" customFormat="1" ht="30" x14ac:dyDescent="0.2">
      <c r="A85" s="77" t="s">
        <v>124</v>
      </c>
      <c r="B85" s="33" t="s">
        <v>125</v>
      </c>
      <c r="C85" s="34">
        <f>[26]С3!F14</f>
        <v>15827.997028730506</v>
      </c>
    </row>
    <row r="86" spans="1:3" s="63" customFormat="1" ht="42.75" x14ac:dyDescent="0.2">
      <c r="A86" s="77" t="s">
        <v>126</v>
      </c>
      <c r="B86" s="53" t="s">
        <v>127</v>
      </c>
      <c r="C86" s="78">
        <f>[26]С3!F15</f>
        <v>0.25</v>
      </c>
    </row>
    <row r="87" spans="1:3" s="63" customFormat="1" ht="14.25" x14ac:dyDescent="0.2">
      <c r="A87" s="77" t="s">
        <v>128</v>
      </c>
      <c r="B87" s="79" t="s">
        <v>129</v>
      </c>
      <c r="C87" s="62">
        <f>[26]С3!F18</f>
        <v>15</v>
      </c>
    </row>
    <row r="88" spans="1:3" s="63" customFormat="1" ht="17.25" x14ac:dyDescent="0.2">
      <c r="A88" s="77" t="s">
        <v>130</v>
      </c>
      <c r="B88" s="33" t="s">
        <v>131</v>
      </c>
      <c r="C88" s="34">
        <f>[26]С3!F19</f>
        <v>3741.3369093945325</v>
      </c>
    </row>
    <row r="89" spans="1:3" s="63" customFormat="1" ht="55.5" x14ac:dyDescent="0.2">
      <c r="A89" s="77" t="s">
        <v>132</v>
      </c>
      <c r="B89" s="53" t="s">
        <v>133</v>
      </c>
      <c r="C89" s="80">
        <f>[26]С3!F20</f>
        <v>2.1999999999999999E-2</v>
      </c>
    </row>
    <row r="90" spans="1:3" s="63" customFormat="1" ht="14.25" x14ac:dyDescent="0.2">
      <c r="A90" s="77" t="s">
        <v>134</v>
      </c>
      <c r="B90" s="58" t="s">
        <v>80</v>
      </c>
      <c r="C90" s="62">
        <f>[26]С3!F21</f>
        <v>10</v>
      </c>
    </row>
    <row r="91" spans="1:3" s="63" customFormat="1" ht="17.25" x14ac:dyDescent="0.2">
      <c r="A91" s="77" t="s">
        <v>135</v>
      </c>
      <c r="B91" s="33" t="s">
        <v>136</v>
      </c>
      <c r="C91" s="34">
        <f>[26]С3!F22</f>
        <v>9.5576411518206239</v>
      </c>
    </row>
    <row r="92" spans="1:3" s="63" customFormat="1" ht="57" customHeight="1" x14ac:dyDescent="0.2">
      <c r="A92" s="77" t="s">
        <v>137</v>
      </c>
      <c r="B92" s="53" t="s">
        <v>138</v>
      </c>
      <c r="C92" s="80">
        <f>[26]С3!F23</f>
        <v>3.0000000000000001E-3</v>
      </c>
    </row>
    <row r="93" spans="1:3" s="63" customFormat="1" ht="27.75" thickBot="1" x14ac:dyDescent="0.25">
      <c r="A93" s="81" t="s">
        <v>139</v>
      </c>
      <c r="B93" s="82" t="s">
        <v>140</v>
      </c>
      <c r="C93" s="83">
        <f>[26]С3!F24</f>
        <v>3185.880383940208</v>
      </c>
    </row>
    <row r="94" spans="1:3" ht="13.5" thickBot="1" x14ac:dyDescent="0.25">
      <c r="A94" s="47"/>
      <c r="B94" s="75"/>
      <c r="C94" s="15"/>
    </row>
    <row r="95" spans="1:3" ht="30" customHeight="1" x14ac:dyDescent="0.2">
      <c r="A95" s="84" t="s">
        <v>141</v>
      </c>
      <c r="B95" s="145" t="s">
        <v>142</v>
      </c>
      <c r="C95" s="145"/>
    </row>
    <row r="96" spans="1:3" ht="30" x14ac:dyDescent="0.2">
      <c r="A96" s="59" t="s">
        <v>143</v>
      </c>
      <c r="B96" s="33" t="s">
        <v>144</v>
      </c>
      <c r="C96" s="34">
        <f>[26]С4!F16</f>
        <v>1652.5</v>
      </c>
    </row>
    <row r="97" spans="1:3" ht="30" x14ac:dyDescent="0.2">
      <c r="A97" s="59" t="s">
        <v>145</v>
      </c>
      <c r="B97" s="58" t="s">
        <v>146</v>
      </c>
      <c r="C97" s="34">
        <f>[26]С4!F17</f>
        <v>73547</v>
      </c>
    </row>
    <row r="98" spans="1:3" ht="17.25" x14ac:dyDescent="0.2">
      <c r="A98" s="59" t="s">
        <v>147</v>
      </c>
      <c r="B98" s="58" t="s">
        <v>148</v>
      </c>
      <c r="C98" s="40">
        <f>[26]С4!F18</f>
        <v>0.02</v>
      </c>
    </row>
    <row r="99" spans="1:3" ht="30" x14ac:dyDescent="0.2">
      <c r="A99" s="59" t="s">
        <v>149</v>
      </c>
      <c r="B99" s="58" t="s">
        <v>150</v>
      </c>
      <c r="C99" s="34">
        <f>[26]С4!F19</f>
        <v>12104</v>
      </c>
    </row>
    <row r="100" spans="1:3" ht="31.5" x14ac:dyDescent="0.2">
      <c r="A100" s="59" t="s">
        <v>151</v>
      </c>
      <c r="B100" s="58" t="s">
        <v>152</v>
      </c>
      <c r="C100" s="40">
        <f>[26]С4!F20</f>
        <v>1.4999999999999999E-2</v>
      </c>
    </row>
    <row r="101" spans="1:3" ht="30" x14ac:dyDescent="0.2">
      <c r="A101" s="59" t="s">
        <v>153</v>
      </c>
      <c r="B101" s="33" t="s">
        <v>154</v>
      </c>
      <c r="C101" s="34">
        <f>[26]С4!F21</f>
        <v>1933.1949342509995</v>
      </c>
    </row>
    <row r="102" spans="1:3" ht="35.25" customHeight="1" x14ac:dyDescent="0.2">
      <c r="A102" s="59" t="s">
        <v>155</v>
      </c>
      <c r="B102" s="53" t="s">
        <v>156</v>
      </c>
      <c r="C102" s="85" t="str">
        <f>IF([26]С4.2!F8="да",[26]С4.2!D21,[26]С4.2!D15)</f>
        <v>АО "Новосибирскэнергосбыт"</v>
      </c>
    </row>
    <row r="103" spans="1:3" ht="68.25" x14ac:dyDescent="0.2">
      <c r="A103" s="59" t="s">
        <v>157</v>
      </c>
      <c r="B103" s="53" t="s">
        <v>158</v>
      </c>
      <c r="C103" s="34">
        <f>[26]С4!F22</f>
        <v>3.6112641666666665</v>
      </c>
    </row>
    <row r="104" spans="1:3" ht="30" x14ac:dyDescent="0.2">
      <c r="A104" s="59" t="s">
        <v>159</v>
      </c>
      <c r="B104" s="58" t="s">
        <v>160</v>
      </c>
      <c r="C104" s="34">
        <f>[26]С4!F23</f>
        <v>180</v>
      </c>
    </row>
    <row r="105" spans="1:3" ht="14.25" x14ac:dyDescent="0.2">
      <c r="A105" s="59" t="s">
        <v>161</v>
      </c>
      <c r="B105" s="53" t="s">
        <v>162</v>
      </c>
      <c r="C105" s="34">
        <f>[26]С4!F24</f>
        <v>8497.1999999999989</v>
      </c>
    </row>
    <row r="106" spans="1:3" ht="14.25" x14ac:dyDescent="0.2">
      <c r="A106" s="59" t="s">
        <v>163</v>
      </c>
      <c r="B106" s="58" t="s">
        <v>164</v>
      </c>
      <c r="C106" s="40">
        <f>[26]С4!F25</f>
        <v>0.35</v>
      </c>
    </row>
    <row r="107" spans="1:3" ht="17.25" x14ac:dyDescent="0.2">
      <c r="A107" s="59" t="s">
        <v>165</v>
      </c>
      <c r="B107" s="33" t="s">
        <v>166</v>
      </c>
      <c r="C107" s="34">
        <f>[26]С4!F26</f>
        <v>81.184979999999996</v>
      </c>
    </row>
    <row r="108" spans="1:3" ht="75.75" customHeight="1" x14ac:dyDescent="0.2">
      <c r="A108" s="59" t="s">
        <v>167</v>
      </c>
      <c r="B108" s="53" t="s">
        <v>94</v>
      </c>
      <c r="C108" s="85">
        <f>[26]С4.3!E16</f>
        <v>0</v>
      </c>
    </row>
    <row r="109" spans="1:3" ht="25.5" x14ac:dyDescent="0.2">
      <c r="A109" s="59" t="s">
        <v>168</v>
      </c>
      <c r="B109" s="53" t="s">
        <v>169</v>
      </c>
      <c r="C109" s="34">
        <f>[26]С4.3!E17</f>
        <v>21.58</v>
      </c>
    </row>
    <row r="110" spans="1:3" ht="79.5" customHeight="1" x14ac:dyDescent="0.2">
      <c r="A110" s="59" t="s">
        <v>170</v>
      </c>
      <c r="B110" s="53" t="s">
        <v>106</v>
      </c>
      <c r="C110" s="85">
        <f>[26]С4.3!E18</f>
        <v>0</v>
      </c>
    </row>
    <row r="111" spans="1:3" x14ac:dyDescent="0.2">
      <c r="A111" s="59" t="s">
        <v>171</v>
      </c>
      <c r="B111" s="53" t="s">
        <v>172</v>
      </c>
      <c r="C111" s="34">
        <f>[26]С4.3!E19</f>
        <v>26.98</v>
      </c>
    </row>
    <row r="112" spans="1:3" x14ac:dyDescent="0.2">
      <c r="A112" s="59" t="s">
        <v>173</v>
      </c>
      <c r="B112" s="58" t="s">
        <v>174</v>
      </c>
      <c r="C112" s="34">
        <f>[26]С4.3!E11</f>
        <v>1871</v>
      </c>
    </row>
    <row r="113" spans="1:3" x14ac:dyDescent="0.2">
      <c r="A113" s="59" t="s">
        <v>175</v>
      </c>
      <c r="B113" s="58" t="s">
        <v>176</v>
      </c>
      <c r="C113" s="52">
        <f>[26]С4.3!E12</f>
        <v>1636</v>
      </c>
    </row>
    <row r="114" spans="1:3" x14ac:dyDescent="0.2">
      <c r="A114" s="59" t="s">
        <v>177</v>
      </c>
      <c r="B114" s="58" t="s">
        <v>178</v>
      </c>
      <c r="C114" s="52">
        <f>[26]С4.3!E13</f>
        <v>204</v>
      </c>
    </row>
    <row r="115" spans="1:3" ht="30" x14ac:dyDescent="0.2">
      <c r="A115" s="59" t="s">
        <v>179</v>
      </c>
      <c r="B115" s="33" t="s">
        <v>180</v>
      </c>
      <c r="C115" s="34">
        <f>[26]С4!F27</f>
        <v>1291.2863994686898</v>
      </c>
    </row>
    <row r="116" spans="1:3" ht="25.5" x14ac:dyDescent="0.2">
      <c r="A116" s="59" t="s">
        <v>181</v>
      </c>
      <c r="B116" s="53" t="s">
        <v>182</v>
      </c>
      <c r="C116" s="34">
        <f>[26]С4!F28</f>
        <v>991.77142816335618</v>
      </c>
    </row>
    <row r="117" spans="1:3" ht="42.75" x14ac:dyDescent="0.2">
      <c r="A117" s="59" t="s">
        <v>183</v>
      </c>
      <c r="B117" s="53" t="s">
        <v>184</v>
      </c>
      <c r="C117" s="34">
        <f>[26]С4!F29</f>
        <v>299.51497130533357</v>
      </c>
    </row>
    <row r="118" spans="1:3" ht="30" x14ac:dyDescent="0.2">
      <c r="A118" s="59" t="s">
        <v>185</v>
      </c>
      <c r="B118" s="39" t="s">
        <v>186</v>
      </c>
      <c r="C118" s="34">
        <f>[26]С4!F30</f>
        <v>3060.6523829135394</v>
      </c>
    </row>
    <row r="119" spans="1:3" ht="42.75" x14ac:dyDescent="0.2">
      <c r="A119" s="59" t="s">
        <v>187</v>
      </c>
      <c r="B119" s="86" t="s">
        <v>188</v>
      </c>
      <c r="C119" s="34">
        <f>[26]С4!F33</f>
        <v>1822.1963045297405</v>
      </c>
    </row>
    <row r="120" spans="1:3" ht="30" x14ac:dyDescent="0.2">
      <c r="A120" s="59" t="s">
        <v>189</v>
      </c>
      <c r="B120" s="87" t="s">
        <v>190</v>
      </c>
      <c r="C120" s="34">
        <f>[26]С4!F35</f>
        <v>18.902267999999999</v>
      </c>
    </row>
    <row r="121" spans="1:3" ht="14.25" x14ac:dyDescent="0.2">
      <c r="A121" s="59" t="s">
        <v>191</v>
      </c>
      <c r="B121" s="56" t="s">
        <v>192</v>
      </c>
      <c r="C121" s="34">
        <f>[26]С4!F36</f>
        <v>14319.9</v>
      </c>
    </row>
    <row r="122" spans="1:3" ht="43.5" customHeight="1" thickBot="1" x14ac:dyDescent="0.25">
      <c r="A122" s="72" t="s">
        <v>193</v>
      </c>
      <c r="B122" s="88" t="s">
        <v>194</v>
      </c>
      <c r="C122" s="83">
        <f>[26]С4!F37</f>
        <v>1.32</v>
      </c>
    </row>
    <row r="123" spans="1:3" s="89" customFormat="1" ht="13.5" thickBot="1" x14ac:dyDescent="0.25">
      <c r="A123" s="47"/>
      <c r="B123" s="75"/>
      <c r="C123" s="15"/>
    </row>
    <row r="124" spans="1:3" s="63" customFormat="1" ht="30" customHeight="1" x14ac:dyDescent="0.2">
      <c r="A124" s="76" t="s">
        <v>195</v>
      </c>
      <c r="B124" s="145" t="s">
        <v>196</v>
      </c>
      <c r="C124" s="145"/>
    </row>
    <row r="125" spans="1:3" ht="16.5" thickBot="1" x14ac:dyDescent="0.25">
      <c r="A125" s="27" t="s">
        <v>197</v>
      </c>
      <c r="B125" s="90" t="s">
        <v>198</v>
      </c>
      <c r="C125" s="83">
        <f>[26]С5!F17</f>
        <v>0.02</v>
      </c>
    </row>
    <row r="126" spans="1:3" s="89" customFormat="1" ht="13.5" thickBot="1" x14ac:dyDescent="0.25">
      <c r="A126" s="47"/>
      <c r="B126" s="75"/>
      <c r="C126" s="15"/>
    </row>
    <row r="127" spans="1:3" ht="42.75" customHeight="1" x14ac:dyDescent="0.2">
      <c r="A127" s="84" t="s">
        <v>199</v>
      </c>
      <c r="B127" s="146" t="s">
        <v>200</v>
      </c>
      <c r="C127" s="146"/>
    </row>
    <row r="128" spans="1:3" ht="68.25" x14ac:dyDescent="0.2">
      <c r="A128" s="59" t="s">
        <v>201</v>
      </c>
      <c r="B128" s="91" t="s">
        <v>202</v>
      </c>
      <c r="C128" s="34" t="s">
        <v>203</v>
      </c>
    </row>
    <row r="129" spans="1:3" ht="42.75" hidden="1" x14ac:dyDescent="0.2">
      <c r="A129" s="59" t="s">
        <v>204</v>
      </c>
      <c r="B129" s="86" t="s">
        <v>205</v>
      </c>
      <c r="C129" s="92"/>
    </row>
    <row r="130" spans="1:3" ht="69" thickBot="1" x14ac:dyDescent="0.25">
      <c r="A130" s="72" t="s">
        <v>206</v>
      </c>
      <c r="B130" s="93" t="s">
        <v>207</v>
      </c>
      <c r="C130" s="94" t="s">
        <v>203</v>
      </c>
    </row>
    <row r="131" spans="1:3" ht="62.25" hidden="1" customHeight="1" x14ac:dyDescent="0.2">
      <c r="A131" s="95" t="s">
        <v>208</v>
      </c>
      <c r="B131" s="96" t="s">
        <v>209</v>
      </c>
      <c r="C131" s="97"/>
    </row>
    <row r="132" spans="1:3" ht="68.25" hidden="1" x14ac:dyDescent="0.2">
      <c r="A132" s="59" t="s">
        <v>210</v>
      </c>
      <c r="B132" s="86" t="s">
        <v>211</v>
      </c>
      <c r="C132" s="35"/>
    </row>
    <row r="133" spans="1:3" ht="69" hidden="1" thickBot="1" x14ac:dyDescent="0.25">
      <c r="A133" s="72" t="s">
        <v>212</v>
      </c>
      <c r="B133" s="98" t="s">
        <v>213</v>
      </c>
      <c r="C133" s="74"/>
    </row>
    <row r="134" spans="1:3" s="89" customFormat="1" ht="13.5" thickBot="1" x14ac:dyDescent="0.25">
      <c r="A134" s="47"/>
      <c r="B134" s="75"/>
      <c r="C134" s="15"/>
    </row>
    <row r="135" spans="1:3" ht="26.25" customHeight="1" x14ac:dyDescent="0.2">
      <c r="A135" s="84" t="s">
        <v>214</v>
      </c>
      <c r="B135" s="99" t="s">
        <v>215</v>
      </c>
      <c r="C135" s="100">
        <f>[26]С2!F37</f>
        <v>20.818139999999996</v>
      </c>
    </row>
    <row r="136" spans="1:3" ht="14.25" x14ac:dyDescent="0.2">
      <c r="A136" s="59" t="s">
        <v>216</v>
      </c>
      <c r="B136" s="101" t="s">
        <v>217</v>
      </c>
      <c r="C136" s="34">
        <f>[26]С2!F38</f>
        <v>7</v>
      </c>
    </row>
    <row r="137" spans="1:3" ht="17.25" x14ac:dyDescent="0.2">
      <c r="A137" s="59" t="s">
        <v>218</v>
      </c>
      <c r="B137" s="101" t="s">
        <v>219</v>
      </c>
      <c r="C137" s="34">
        <f>[26]С2!F40</f>
        <v>0.97</v>
      </c>
    </row>
    <row r="138" spans="1:3" ht="15" thickBot="1" x14ac:dyDescent="0.25">
      <c r="A138" s="72" t="s">
        <v>220</v>
      </c>
      <c r="B138" s="102" t="s">
        <v>221</v>
      </c>
      <c r="C138" s="46">
        <f>[26]С2!F42</f>
        <v>0.35</v>
      </c>
    </row>
    <row r="139" spans="1:3" s="89" customFormat="1" ht="13.5" thickBot="1" x14ac:dyDescent="0.25">
      <c r="A139" s="47"/>
      <c r="B139" s="75"/>
      <c r="C139" s="15"/>
    </row>
    <row r="140" spans="1:3" ht="30" x14ac:dyDescent="0.2">
      <c r="A140" s="84" t="s">
        <v>222</v>
      </c>
      <c r="B140" s="103" t="s">
        <v>223</v>
      </c>
      <c r="C140" s="104">
        <f>[26]С2!F35</f>
        <v>1.7157947422665329</v>
      </c>
    </row>
    <row r="141" spans="1:3" ht="22.7" customHeight="1" thickBot="1" x14ac:dyDescent="0.25">
      <c r="A141" s="72" t="s">
        <v>224</v>
      </c>
      <c r="B141" s="141" t="s">
        <v>225</v>
      </c>
      <c r="C141" s="141"/>
    </row>
    <row r="142" spans="1:3" ht="13.5" thickBot="1" x14ac:dyDescent="0.25">
      <c r="A142" s="105"/>
      <c r="B142" s="106" t="s">
        <v>226</v>
      </c>
      <c r="C142" s="107"/>
    </row>
    <row r="143" spans="1:3" x14ac:dyDescent="0.2">
      <c r="A143" s="105"/>
      <c r="B143" s="108">
        <v>2020</v>
      </c>
      <c r="C143" s="109">
        <f>[26]С2.5!$E$11</f>
        <v>-2.9000000000000026E-2</v>
      </c>
    </row>
    <row r="144" spans="1:3" x14ac:dyDescent="0.2">
      <c r="A144" s="105"/>
      <c r="B144" s="110">
        <f>B143+1</f>
        <v>2021</v>
      </c>
      <c r="C144" s="111">
        <f>[26]С2.5!$F$11</f>
        <v>0.245</v>
      </c>
    </row>
    <row r="145" spans="1:3" x14ac:dyDescent="0.2">
      <c r="A145" s="105"/>
      <c r="B145" s="110">
        <f t="shared" ref="B145:B208" si="0">B144+1</f>
        <v>2022</v>
      </c>
      <c r="C145" s="111">
        <f>[26]С2.5!$G$11</f>
        <v>0.114</v>
      </c>
    </row>
    <row r="146" spans="1:3" ht="13.5" thickBot="1" x14ac:dyDescent="0.25">
      <c r="A146" s="105"/>
      <c r="B146" s="112">
        <f t="shared" si="0"/>
        <v>2023</v>
      </c>
      <c r="C146" s="113">
        <f>[26]С2.5!$H$11</f>
        <v>0.04</v>
      </c>
    </row>
    <row r="147" spans="1:3" x14ac:dyDescent="0.2">
      <c r="A147" s="105"/>
      <c r="B147" s="114">
        <f t="shared" si="0"/>
        <v>2024</v>
      </c>
      <c r="C147" s="115">
        <f>[26]С2.5!$I$11</f>
        <v>0.121</v>
      </c>
    </row>
    <row r="148" spans="1:3" x14ac:dyDescent="0.2">
      <c r="A148" s="105"/>
      <c r="B148" s="110">
        <f t="shared" si="0"/>
        <v>2025</v>
      </c>
      <c r="C148" s="111">
        <f>[26]С2.5!$J$11</f>
        <v>0.03</v>
      </c>
    </row>
    <row r="149" spans="1:3" x14ac:dyDescent="0.2">
      <c r="A149" s="105"/>
      <c r="B149" s="110">
        <f t="shared" si="0"/>
        <v>2026</v>
      </c>
      <c r="C149" s="111">
        <f>[26]С2.5!$K$11</f>
        <v>6.0999999999999999E-2</v>
      </c>
    </row>
    <row r="150" spans="1:3" hidden="1" x14ac:dyDescent="0.2">
      <c r="A150" s="105"/>
      <c r="B150" s="110">
        <f t="shared" si="0"/>
        <v>2027</v>
      </c>
      <c r="C150" s="111">
        <f>[26]С2.5!$L$11</f>
        <v>3.2682303599220003E-2</v>
      </c>
    </row>
    <row r="151" spans="1:3" hidden="1" x14ac:dyDescent="0.2">
      <c r="A151" s="105"/>
      <c r="B151" s="110">
        <f t="shared" si="0"/>
        <v>2028</v>
      </c>
      <c r="C151" s="111">
        <f>[26]С2.5!$M$11</f>
        <v>0</v>
      </c>
    </row>
    <row r="152" spans="1:3" hidden="1" x14ac:dyDescent="0.2">
      <c r="A152" s="105"/>
      <c r="B152" s="110">
        <f t="shared" si="0"/>
        <v>2029</v>
      </c>
      <c r="C152" s="111">
        <f>[26]С2.5!$N$11</f>
        <v>0</v>
      </c>
    </row>
    <row r="153" spans="1:3" hidden="1" x14ac:dyDescent="0.2">
      <c r="A153" s="105"/>
      <c r="B153" s="110">
        <f t="shared" si="0"/>
        <v>2030</v>
      </c>
      <c r="C153" s="111">
        <f>[26]С2.5!$O$11</f>
        <v>0</v>
      </c>
    </row>
    <row r="154" spans="1:3" hidden="1" x14ac:dyDescent="0.2">
      <c r="A154" s="105"/>
      <c r="B154" s="110">
        <f t="shared" si="0"/>
        <v>2031</v>
      </c>
      <c r="C154" s="111">
        <f>[26]С2.5!$P$11</f>
        <v>0</v>
      </c>
    </row>
    <row r="155" spans="1:3" hidden="1" x14ac:dyDescent="0.2">
      <c r="A155" s="89"/>
      <c r="B155" s="110">
        <f t="shared" si="0"/>
        <v>2032</v>
      </c>
      <c r="C155" s="111">
        <f>[26]С2.5!$Q$11</f>
        <v>0</v>
      </c>
    </row>
    <row r="156" spans="1:3" hidden="1" x14ac:dyDescent="0.2">
      <c r="A156" s="89"/>
      <c r="B156" s="110">
        <f t="shared" si="0"/>
        <v>2033</v>
      </c>
      <c r="C156" s="111">
        <f>[26]С2.5!$R$11</f>
        <v>0</v>
      </c>
    </row>
    <row r="157" spans="1:3" hidden="1" x14ac:dyDescent="0.2">
      <c r="B157" s="110">
        <f t="shared" si="0"/>
        <v>2034</v>
      </c>
      <c r="C157" s="111">
        <f>[26]С2.5!$S$11</f>
        <v>0</v>
      </c>
    </row>
    <row r="158" spans="1:3" hidden="1" x14ac:dyDescent="0.2">
      <c r="B158" s="110">
        <f t="shared" si="0"/>
        <v>2035</v>
      </c>
      <c r="C158" s="111">
        <f>[26]С2.5!$T$11</f>
        <v>0</v>
      </c>
    </row>
    <row r="159" spans="1:3" hidden="1" x14ac:dyDescent="0.2">
      <c r="B159" s="110">
        <f t="shared" si="0"/>
        <v>2036</v>
      </c>
      <c r="C159" s="111">
        <f>[26]С2.5!$U$11</f>
        <v>0</v>
      </c>
    </row>
    <row r="160" spans="1:3" hidden="1" x14ac:dyDescent="0.2">
      <c r="B160" s="110">
        <f t="shared" si="0"/>
        <v>2037</v>
      </c>
      <c r="C160" s="111">
        <f>[26]С2.5!$V$11</f>
        <v>0</v>
      </c>
    </row>
    <row r="161" spans="2:3" hidden="1" x14ac:dyDescent="0.2">
      <c r="B161" s="110">
        <f t="shared" si="0"/>
        <v>2038</v>
      </c>
      <c r="C161" s="111">
        <f>[26]С2.5!$W$11</f>
        <v>0</v>
      </c>
    </row>
    <row r="162" spans="2:3" hidden="1" x14ac:dyDescent="0.2">
      <c r="B162" s="110">
        <f t="shared" si="0"/>
        <v>2039</v>
      </c>
      <c r="C162" s="111">
        <f>[26]С2.5!$X$11</f>
        <v>0</v>
      </c>
    </row>
    <row r="163" spans="2:3" hidden="1" x14ac:dyDescent="0.2">
      <c r="B163" s="110">
        <f t="shared" si="0"/>
        <v>2040</v>
      </c>
      <c r="C163" s="111">
        <f>[26]С2.5!$Y$11</f>
        <v>0</v>
      </c>
    </row>
    <row r="164" spans="2:3" hidden="1" x14ac:dyDescent="0.2">
      <c r="B164" s="110">
        <f t="shared" si="0"/>
        <v>2041</v>
      </c>
      <c r="C164" s="111">
        <f>[26]С2.5!$Z$11</f>
        <v>0</v>
      </c>
    </row>
    <row r="165" spans="2:3" hidden="1" x14ac:dyDescent="0.2">
      <c r="B165" s="110">
        <f t="shared" si="0"/>
        <v>2042</v>
      </c>
      <c r="C165" s="111">
        <f>[26]С2.5!$AA$11</f>
        <v>0</v>
      </c>
    </row>
    <row r="166" spans="2:3" hidden="1" x14ac:dyDescent="0.2">
      <c r="B166" s="110">
        <f t="shared" si="0"/>
        <v>2043</v>
      </c>
      <c r="C166" s="111">
        <f>[26]С2.5!$AB$11</f>
        <v>0</v>
      </c>
    </row>
    <row r="167" spans="2:3" hidden="1" x14ac:dyDescent="0.2">
      <c r="B167" s="110">
        <f t="shared" si="0"/>
        <v>2044</v>
      </c>
      <c r="C167" s="111">
        <f>[26]С2.5!$AC$11</f>
        <v>0</v>
      </c>
    </row>
    <row r="168" spans="2:3" hidden="1" x14ac:dyDescent="0.2">
      <c r="B168" s="110">
        <f t="shared" si="0"/>
        <v>2045</v>
      </c>
      <c r="C168" s="111">
        <f>[26]С2.5!$AD$11</f>
        <v>0</v>
      </c>
    </row>
    <row r="169" spans="2:3" hidden="1" x14ac:dyDescent="0.2">
      <c r="B169" s="110">
        <f t="shared" si="0"/>
        <v>2046</v>
      </c>
      <c r="C169" s="111">
        <f>[26]С2.5!$AE$11</f>
        <v>0</v>
      </c>
    </row>
    <row r="170" spans="2:3" hidden="1" x14ac:dyDescent="0.2">
      <c r="B170" s="110">
        <f t="shared" si="0"/>
        <v>2047</v>
      </c>
      <c r="C170" s="111">
        <f>[26]С2.5!$AF$11</f>
        <v>0</v>
      </c>
    </row>
    <row r="171" spans="2:3" hidden="1" x14ac:dyDescent="0.2">
      <c r="B171" s="110">
        <f t="shared" si="0"/>
        <v>2048</v>
      </c>
      <c r="C171" s="111">
        <f>[26]С2.5!$AG$11</f>
        <v>0</v>
      </c>
    </row>
    <row r="172" spans="2:3" hidden="1" x14ac:dyDescent="0.2">
      <c r="B172" s="110">
        <f t="shared" si="0"/>
        <v>2049</v>
      </c>
      <c r="C172" s="111">
        <f>[26]С2.5!$AH$11</f>
        <v>0</v>
      </c>
    </row>
    <row r="173" spans="2:3" hidden="1" x14ac:dyDescent="0.2">
      <c r="B173" s="110">
        <f t="shared" si="0"/>
        <v>2050</v>
      </c>
      <c r="C173" s="111">
        <f>[26]С2.5!$AI$11</f>
        <v>0</v>
      </c>
    </row>
    <row r="174" spans="2:3" hidden="1" x14ac:dyDescent="0.2">
      <c r="B174" s="110">
        <f t="shared" si="0"/>
        <v>2051</v>
      </c>
      <c r="C174" s="111">
        <f>[26]С2.5!$AJ$11</f>
        <v>0</v>
      </c>
    </row>
    <row r="175" spans="2:3" hidden="1" x14ac:dyDescent="0.2">
      <c r="B175" s="110">
        <f t="shared" si="0"/>
        <v>2052</v>
      </c>
      <c r="C175" s="111">
        <f>[26]С2.5!$AK$11</f>
        <v>0</v>
      </c>
    </row>
    <row r="176" spans="2:3" hidden="1" x14ac:dyDescent="0.2">
      <c r="B176" s="110">
        <f t="shared" si="0"/>
        <v>2053</v>
      </c>
      <c r="C176" s="111">
        <f>[26]С2.5!$AL$11</f>
        <v>0</v>
      </c>
    </row>
    <row r="177" spans="2:3" hidden="1" x14ac:dyDescent="0.2">
      <c r="B177" s="110">
        <f t="shared" si="0"/>
        <v>2054</v>
      </c>
      <c r="C177" s="111">
        <f>[26]С2.5!$AM$11</f>
        <v>0</v>
      </c>
    </row>
    <row r="178" spans="2:3" hidden="1" x14ac:dyDescent="0.2">
      <c r="B178" s="110">
        <f t="shared" si="0"/>
        <v>2055</v>
      </c>
      <c r="C178" s="111">
        <f>[26]С2.5!$AN$11</f>
        <v>0</v>
      </c>
    </row>
    <row r="179" spans="2:3" hidden="1" x14ac:dyDescent="0.2">
      <c r="B179" s="110">
        <f t="shared" si="0"/>
        <v>2056</v>
      </c>
      <c r="C179" s="111">
        <f>[26]С2.5!$AO$11</f>
        <v>0</v>
      </c>
    </row>
    <row r="180" spans="2:3" hidden="1" x14ac:dyDescent="0.2">
      <c r="B180" s="110">
        <f t="shared" si="0"/>
        <v>2057</v>
      </c>
      <c r="C180" s="111">
        <f>[26]С2.5!$AP$11</f>
        <v>0</v>
      </c>
    </row>
    <row r="181" spans="2:3" hidden="1" x14ac:dyDescent="0.2">
      <c r="B181" s="110">
        <f t="shared" si="0"/>
        <v>2058</v>
      </c>
      <c r="C181" s="111">
        <f>[26]С2.5!$AQ$11</f>
        <v>0</v>
      </c>
    </row>
    <row r="182" spans="2:3" hidden="1" x14ac:dyDescent="0.2">
      <c r="B182" s="110">
        <f t="shared" si="0"/>
        <v>2059</v>
      </c>
      <c r="C182" s="111">
        <f>[26]С2.5!$AR$11</f>
        <v>0</v>
      </c>
    </row>
    <row r="183" spans="2:3" hidden="1" x14ac:dyDescent="0.2">
      <c r="B183" s="110">
        <f t="shared" si="0"/>
        <v>2060</v>
      </c>
      <c r="C183" s="111">
        <f>[26]С2.5!$AS$11</f>
        <v>0</v>
      </c>
    </row>
    <row r="184" spans="2:3" hidden="1" x14ac:dyDescent="0.2">
      <c r="B184" s="110">
        <f t="shared" si="0"/>
        <v>2061</v>
      </c>
      <c r="C184" s="111">
        <f>[26]С2.5!$AT$11</f>
        <v>0</v>
      </c>
    </row>
    <row r="185" spans="2:3" hidden="1" x14ac:dyDescent="0.2">
      <c r="B185" s="110">
        <f t="shared" si="0"/>
        <v>2062</v>
      </c>
      <c r="C185" s="111">
        <f>[26]С2.5!$AU$11</f>
        <v>0</v>
      </c>
    </row>
    <row r="186" spans="2:3" hidden="1" x14ac:dyDescent="0.2">
      <c r="B186" s="110">
        <f t="shared" si="0"/>
        <v>2063</v>
      </c>
      <c r="C186" s="111">
        <f>[26]С2.5!$AV$11</f>
        <v>0</v>
      </c>
    </row>
    <row r="187" spans="2:3" hidden="1" x14ac:dyDescent="0.2">
      <c r="B187" s="110">
        <f t="shared" si="0"/>
        <v>2064</v>
      </c>
      <c r="C187" s="111">
        <f>[26]С2.5!$AW$11</f>
        <v>0</v>
      </c>
    </row>
    <row r="188" spans="2:3" hidden="1" x14ac:dyDescent="0.2">
      <c r="B188" s="110">
        <f t="shared" si="0"/>
        <v>2065</v>
      </c>
      <c r="C188" s="111">
        <f>[26]С2.5!$AX$11</f>
        <v>0</v>
      </c>
    </row>
    <row r="189" spans="2:3" hidden="1" x14ac:dyDescent="0.2">
      <c r="B189" s="110">
        <f t="shared" si="0"/>
        <v>2066</v>
      </c>
      <c r="C189" s="111">
        <f>[26]С2.5!$AY$11</f>
        <v>0</v>
      </c>
    </row>
    <row r="190" spans="2:3" hidden="1" x14ac:dyDescent="0.2">
      <c r="B190" s="110">
        <f t="shared" si="0"/>
        <v>2067</v>
      </c>
      <c r="C190" s="111">
        <f>[26]С2.5!$AZ$11</f>
        <v>0</v>
      </c>
    </row>
    <row r="191" spans="2:3" hidden="1" x14ac:dyDescent="0.2">
      <c r="B191" s="110">
        <f t="shared" si="0"/>
        <v>2068</v>
      </c>
      <c r="C191" s="111">
        <f>[26]С2.5!$BA$11</f>
        <v>0</v>
      </c>
    </row>
    <row r="192" spans="2:3" hidden="1" x14ac:dyDescent="0.2">
      <c r="B192" s="110">
        <f t="shared" si="0"/>
        <v>2069</v>
      </c>
      <c r="C192" s="111">
        <f>[26]С2.5!$BB$11</f>
        <v>0</v>
      </c>
    </row>
    <row r="193" spans="2:3" hidden="1" x14ac:dyDescent="0.2">
      <c r="B193" s="110">
        <f t="shared" si="0"/>
        <v>2070</v>
      </c>
      <c r="C193" s="111">
        <f>[26]С2.5!$BC$11</f>
        <v>0</v>
      </c>
    </row>
    <row r="194" spans="2:3" hidden="1" x14ac:dyDescent="0.2">
      <c r="B194" s="110">
        <f t="shared" si="0"/>
        <v>2071</v>
      </c>
      <c r="C194" s="111">
        <f>[26]С2.5!$BD$11</f>
        <v>0</v>
      </c>
    </row>
    <row r="195" spans="2:3" hidden="1" x14ac:dyDescent="0.2">
      <c r="B195" s="110">
        <f t="shared" si="0"/>
        <v>2072</v>
      </c>
      <c r="C195" s="111">
        <f>[26]С2.5!$BE$11</f>
        <v>0</v>
      </c>
    </row>
    <row r="196" spans="2:3" hidden="1" x14ac:dyDescent="0.2">
      <c r="B196" s="110">
        <f t="shared" si="0"/>
        <v>2073</v>
      </c>
      <c r="C196" s="111">
        <f>[26]С2.5!$BF$11</f>
        <v>0</v>
      </c>
    </row>
    <row r="197" spans="2:3" hidden="1" x14ac:dyDescent="0.2">
      <c r="B197" s="110">
        <f t="shared" si="0"/>
        <v>2074</v>
      </c>
      <c r="C197" s="111">
        <f>[26]С2.5!$BG$11</f>
        <v>0</v>
      </c>
    </row>
    <row r="198" spans="2:3" hidden="1" x14ac:dyDescent="0.2">
      <c r="B198" s="110">
        <f t="shared" si="0"/>
        <v>2075</v>
      </c>
      <c r="C198" s="111">
        <f>[26]С2.5!$BH$11</f>
        <v>0</v>
      </c>
    </row>
    <row r="199" spans="2:3" hidden="1" x14ac:dyDescent="0.2">
      <c r="B199" s="110">
        <f t="shared" si="0"/>
        <v>2076</v>
      </c>
      <c r="C199" s="111">
        <f>[26]С2.5!$BI$11</f>
        <v>0</v>
      </c>
    </row>
    <row r="200" spans="2:3" hidden="1" x14ac:dyDescent="0.2">
      <c r="B200" s="110">
        <f t="shared" si="0"/>
        <v>2077</v>
      </c>
      <c r="C200" s="111">
        <f>[26]С2.5!$BJ$11</f>
        <v>0</v>
      </c>
    </row>
    <row r="201" spans="2:3" hidden="1" x14ac:dyDescent="0.2">
      <c r="B201" s="110">
        <f t="shared" si="0"/>
        <v>2078</v>
      </c>
      <c r="C201" s="111">
        <f>[26]С2.5!$BK$11</f>
        <v>0</v>
      </c>
    </row>
    <row r="202" spans="2:3" hidden="1" x14ac:dyDescent="0.2">
      <c r="B202" s="110">
        <f t="shared" si="0"/>
        <v>2079</v>
      </c>
      <c r="C202" s="111">
        <f>[26]С2.5!$BL$11</f>
        <v>0</v>
      </c>
    </row>
    <row r="203" spans="2:3" hidden="1" x14ac:dyDescent="0.2">
      <c r="B203" s="110">
        <f t="shared" si="0"/>
        <v>2080</v>
      </c>
      <c r="C203" s="111">
        <f>[26]С2.5!$BM$11</f>
        <v>0</v>
      </c>
    </row>
    <row r="204" spans="2:3" hidden="1" x14ac:dyDescent="0.2">
      <c r="B204" s="110">
        <f t="shared" si="0"/>
        <v>2081</v>
      </c>
      <c r="C204" s="111">
        <f>[26]С2.5!$BN$11</f>
        <v>0</v>
      </c>
    </row>
    <row r="205" spans="2:3" hidden="1" x14ac:dyDescent="0.2">
      <c r="B205" s="110">
        <f t="shared" si="0"/>
        <v>2082</v>
      </c>
      <c r="C205" s="111">
        <f>[26]С2.5!$BO$11</f>
        <v>0</v>
      </c>
    </row>
    <row r="206" spans="2:3" hidden="1" x14ac:dyDescent="0.2">
      <c r="B206" s="110">
        <f t="shared" si="0"/>
        <v>2083</v>
      </c>
      <c r="C206" s="111">
        <f>[26]С2.5!$BP$11</f>
        <v>0</v>
      </c>
    </row>
    <row r="207" spans="2:3" hidden="1" x14ac:dyDescent="0.2">
      <c r="B207" s="110">
        <f t="shared" si="0"/>
        <v>2084</v>
      </c>
      <c r="C207" s="111">
        <f>[26]С2.5!$BQ$11</f>
        <v>0</v>
      </c>
    </row>
    <row r="208" spans="2:3" hidden="1" x14ac:dyDescent="0.2">
      <c r="B208" s="110">
        <f t="shared" si="0"/>
        <v>2085</v>
      </c>
      <c r="C208" s="111">
        <f>[26]С2.5!$BR$11</f>
        <v>0</v>
      </c>
    </row>
    <row r="209" spans="2:3" hidden="1" x14ac:dyDescent="0.2">
      <c r="B209" s="110">
        <f t="shared" ref="B209:B223" si="1">B208+1</f>
        <v>2086</v>
      </c>
      <c r="C209" s="111">
        <f>[26]С2.5!$BS$11</f>
        <v>0</v>
      </c>
    </row>
    <row r="210" spans="2:3" hidden="1" x14ac:dyDescent="0.2">
      <c r="B210" s="110">
        <f t="shared" si="1"/>
        <v>2087</v>
      </c>
      <c r="C210" s="111">
        <f>[26]С2.5!$BT$11</f>
        <v>0</v>
      </c>
    </row>
    <row r="211" spans="2:3" hidden="1" x14ac:dyDescent="0.2">
      <c r="B211" s="110">
        <f t="shared" si="1"/>
        <v>2088</v>
      </c>
      <c r="C211" s="111">
        <f>[26]С2.5!$BU$11</f>
        <v>0</v>
      </c>
    </row>
    <row r="212" spans="2:3" hidden="1" x14ac:dyDescent="0.2">
      <c r="B212" s="110">
        <f t="shared" si="1"/>
        <v>2089</v>
      </c>
      <c r="C212" s="111">
        <f>[26]С2.5!$BV$11</f>
        <v>0</v>
      </c>
    </row>
    <row r="213" spans="2:3" hidden="1" x14ac:dyDescent="0.2">
      <c r="B213" s="110">
        <f t="shared" si="1"/>
        <v>2090</v>
      </c>
      <c r="C213" s="111">
        <f>[26]С2.5!$BW$11</f>
        <v>0</v>
      </c>
    </row>
    <row r="214" spans="2:3" hidden="1" x14ac:dyDescent="0.2">
      <c r="B214" s="110">
        <f t="shared" si="1"/>
        <v>2091</v>
      </c>
      <c r="C214" s="111">
        <f>[26]С2.5!$BX$11</f>
        <v>0</v>
      </c>
    </row>
    <row r="215" spans="2:3" hidden="1" x14ac:dyDescent="0.2">
      <c r="B215" s="110">
        <f t="shared" si="1"/>
        <v>2092</v>
      </c>
      <c r="C215" s="111">
        <f>[26]С2.5!$BY$11</f>
        <v>0</v>
      </c>
    </row>
    <row r="216" spans="2:3" hidden="1" x14ac:dyDescent="0.2">
      <c r="B216" s="110">
        <f t="shared" si="1"/>
        <v>2093</v>
      </c>
      <c r="C216" s="111">
        <f>[26]С2.5!$BZ$11</f>
        <v>0</v>
      </c>
    </row>
    <row r="217" spans="2:3" hidden="1" x14ac:dyDescent="0.2">
      <c r="B217" s="110">
        <f t="shared" si="1"/>
        <v>2094</v>
      </c>
      <c r="C217" s="111">
        <f>[26]С2.5!$CA$11</f>
        <v>0</v>
      </c>
    </row>
    <row r="218" spans="2:3" hidden="1" x14ac:dyDescent="0.2">
      <c r="B218" s="110">
        <f t="shared" si="1"/>
        <v>2095</v>
      </c>
      <c r="C218" s="111">
        <f>[26]С2.5!$CB$11</f>
        <v>0</v>
      </c>
    </row>
    <row r="219" spans="2:3" hidden="1" x14ac:dyDescent="0.2">
      <c r="B219" s="110">
        <f t="shared" si="1"/>
        <v>2096</v>
      </c>
      <c r="C219" s="111">
        <f>[26]С2.5!$CC$11</f>
        <v>0</v>
      </c>
    </row>
    <row r="220" spans="2:3" hidden="1" x14ac:dyDescent="0.2">
      <c r="B220" s="110">
        <f t="shared" si="1"/>
        <v>2097</v>
      </c>
      <c r="C220" s="111">
        <f>[26]С2.5!$CD$11</f>
        <v>0</v>
      </c>
    </row>
    <row r="221" spans="2:3" hidden="1" x14ac:dyDescent="0.2">
      <c r="B221" s="110">
        <f t="shared" si="1"/>
        <v>2098</v>
      </c>
      <c r="C221" s="111">
        <f>[26]С2.5!$CE$11</f>
        <v>0</v>
      </c>
    </row>
    <row r="222" spans="2:3" hidden="1" x14ac:dyDescent="0.2">
      <c r="B222" s="110">
        <f t="shared" si="1"/>
        <v>2099</v>
      </c>
      <c r="C222" s="111">
        <f>[26]С2.5!$CF$11</f>
        <v>0</v>
      </c>
    </row>
    <row r="223" spans="2:3" ht="13.5" hidden="1" thickBot="1" x14ac:dyDescent="0.25">
      <c r="B223" s="112">
        <f t="shared" si="1"/>
        <v>2100</v>
      </c>
      <c r="C223" s="113">
        <f>[26]С2.5!$CG$11</f>
        <v>0</v>
      </c>
    </row>
    <row r="224" spans="2:3" hidden="1" x14ac:dyDescent="0.2">
      <c r="C224" s="116"/>
    </row>
    <row r="225" spans="3:3" hidden="1" x14ac:dyDescent="0.2">
      <c r="C225" s="116"/>
    </row>
    <row r="226" spans="3:3" x14ac:dyDescent="0.2">
      <c r="C226" s="116"/>
    </row>
  </sheetData>
  <mergeCells count="9">
    <mergeCell ref="B141:C141"/>
    <mergeCell ref="A14:C14"/>
    <mergeCell ref="B1:C1"/>
    <mergeCell ref="B27:C27"/>
    <mergeCell ref="B40:C40"/>
    <mergeCell ref="B84:C84"/>
    <mergeCell ref="B95:C95"/>
    <mergeCell ref="B124:C124"/>
    <mergeCell ref="B127:C127"/>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26"/>
  <sheetViews>
    <sheetView workbookViewId="0">
      <selection activeCell="C7" sqref="C7"/>
    </sheetView>
  </sheetViews>
  <sheetFormatPr defaultRowHeight="12.75" x14ac:dyDescent="0.2"/>
  <cols>
    <col min="1" max="1" width="9.140625" style="2" customWidth="1"/>
    <col min="2" max="2" width="100.5703125" style="2" customWidth="1"/>
    <col min="3" max="3" width="20.85546875" style="7" customWidth="1"/>
    <col min="4" max="244" width="9.140625" style="2"/>
    <col min="245" max="245" width="3.5703125" style="2" customWidth="1"/>
    <col min="246" max="246" width="96.85546875" style="2" customWidth="1"/>
    <col min="247" max="247" width="30.85546875" style="2" customWidth="1"/>
    <col min="248" max="248" width="12.5703125" style="2" customWidth="1"/>
    <col min="249" max="249" width="5.140625" style="2" customWidth="1"/>
    <col min="250" max="250" width="9.140625" style="2"/>
    <col min="251" max="251" width="4.85546875" style="2" customWidth="1"/>
    <col min="252" max="252" width="30.5703125" style="2" customWidth="1"/>
    <col min="253" max="253" width="33.85546875" style="2" customWidth="1"/>
    <col min="254" max="254" width="5.140625" style="2" customWidth="1"/>
    <col min="255" max="256" width="17.5703125" style="2" customWidth="1"/>
    <col min="257" max="500" width="9.140625" style="2"/>
    <col min="501" max="501" width="3.5703125" style="2" customWidth="1"/>
    <col min="502" max="502" width="96.85546875" style="2" customWidth="1"/>
    <col min="503" max="503" width="30.85546875" style="2" customWidth="1"/>
    <col min="504" max="504" width="12.5703125" style="2" customWidth="1"/>
    <col min="505" max="505" width="5.140625" style="2" customWidth="1"/>
    <col min="506" max="506" width="9.140625" style="2"/>
    <col min="507" max="507" width="4.85546875" style="2" customWidth="1"/>
    <col min="508" max="508" width="30.5703125" style="2" customWidth="1"/>
    <col min="509" max="509" width="33.85546875" style="2" customWidth="1"/>
    <col min="510" max="510" width="5.140625" style="2" customWidth="1"/>
    <col min="511" max="512" width="17.5703125" style="2" customWidth="1"/>
    <col min="513" max="756" width="9.140625" style="2"/>
    <col min="757" max="757" width="3.5703125" style="2" customWidth="1"/>
    <col min="758" max="758" width="96.85546875" style="2" customWidth="1"/>
    <col min="759" max="759" width="30.85546875" style="2" customWidth="1"/>
    <col min="760" max="760" width="12.5703125" style="2" customWidth="1"/>
    <col min="761" max="761" width="5.140625" style="2" customWidth="1"/>
    <col min="762" max="762" width="9.140625" style="2"/>
    <col min="763" max="763" width="4.85546875" style="2" customWidth="1"/>
    <col min="764" max="764" width="30.5703125" style="2" customWidth="1"/>
    <col min="765" max="765" width="33.85546875" style="2" customWidth="1"/>
    <col min="766" max="766" width="5.140625" style="2" customWidth="1"/>
    <col min="767" max="768" width="17.5703125" style="2" customWidth="1"/>
    <col min="769" max="1012" width="9.140625" style="2"/>
    <col min="1013" max="1013" width="3.5703125" style="2" customWidth="1"/>
    <col min="1014" max="1014" width="96.85546875" style="2" customWidth="1"/>
    <col min="1015" max="1015" width="30.85546875" style="2" customWidth="1"/>
    <col min="1016" max="1016" width="12.5703125" style="2" customWidth="1"/>
    <col min="1017" max="1017" width="5.140625" style="2" customWidth="1"/>
    <col min="1018" max="1018" width="9.140625" style="2"/>
    <col min="1019" max="1019" width="4.85546875" style="2" customWidth="1"/>
    <col min="1020" max="1020" width="30.5703125" style="2" customWidth="1"/>
    <col min="1021" max="1021" width="33.85546875" style="2" customWidth="1"/>
    <col min="1022" max="1022" width="5.140625" style="2" customWidth="1"/>
    <col min="1023" max="1024" width="17.5703125" style="2" customWidth="1"/>
    <col min="1025" max="1268" width="9.140625" style="2"/>
    <col min="1269" max="1269" width="3.5703125" style="2" customWidth="1"/>
    <col min="1270" max="1270" width="96.85546875" style="2" customWidth="1"/>
    <col min="1271" max="1271" width="30.85546875" style="2" customWidth="1"/>
    <col min="1272" max="1272" width="12.5703125" style="2" customWidth="1"/>
    <col min="1273" max="1273" width="5.140625" style="2" customWidth="1"/>
    <col min="1274" max="1274" width="9.140625" style="2"/>
    <col min="1275" max="1275" width="4.85546875" style="2" customWidth="1"/>
    <col min="1276" max="1276" width="30.5703125" style="2" customWidth="1"/>
    <col min="1277" max="1277" width="33.85546875" style="2" customWidth="1"/>
    <col min="1278" max="1278" width="5.140625" style="2" customWidth="1"/>
    <col min="1279" max="1280" width="17.5703125" style="2" customWidth="1"/>
    <col min="1281" max="1524" width="9.140625" style="2"/>
    <col min="1525" max="1525" width="3.5703125" style="2" customWidth="1"/>
    <col min="1526" max="1526" width="96.85546875" style="2" customWidth="1"/>
    <col min="1527" max="1527" width="30.85546875" style="2" customWidth="1"/>
    <col min="1528" max="1528" width="12.5703125" style="2" customWidth="1"/>
    <col min="1529" max="1529" width="5.140625" style="2" customWidth="1"/>
    <col min="1530" max="1530" width="9.140625" style="2"/>
    <col min="1531" max="1531" width="4.85546875" style="2" customWidth="1"/>
    <col min="1532" max="1532" width="30.5703125" style="2" customWidth="1"/>
    <col min="1533" max="1533" width="33.85546875" style="2" customWidth="1"/>
    <col min="1534" max="1534" width="5.140625" style="2" customWidth="1"/>
    <col min="1535" max="1536" width="17.5703125" style="2" customWidth="1"/>
    <col min="1537" max="1780" width="9.140625" style="2"/>
    <col min="1781" max="1781" width="3.5703125" style="2" customWidth="1"/>
    <col min="1782" max="1782" width="96.85546875" style="2" customWidth="1"/>
    <col min="1783" max="1783" width="30.85546875" style="2" customWidth="1"/>
    <col min="1784" max="1784" width="12.5703125" style="2" customWidth="1"/>
    <col min="1785" max="1785" width="5.140625" style="2" customWidth="1"/>
    <col min="1786" max="1786" width="9.140625" style="2"/>
    <col min="1787" max="1787" width="4.85546875" style="2" customWidth="1"/>
    <col min="1788" max="1788" width="30.5703125" style="2" customWidth="1"/>
    <col min="1789" max="1789" width="33.85546875" style="2" customWidth="1"/>
    <col min="1790" max="1790" width="5.140625" style="2" customWidth="1"/>
    <col min="1791" max="1792" width="17.5703125" style="2" customWidth="1"/>
    <col min="1793" max="2036" width="9.140625" style="2"/>
    <col min="2037" max="2037" width="3.5703125" style="2" customWidth="1"/>
    <col min="2038" max="2038" width="96.85546875" style="2" customWidth="1"/>
    <col min="2039" max="2039" width="30.85546875" style="2" customWidth="1"/>
    <col min="2040" max="2040" width="12.5703125" style="2" customWidth="1"/>
    <col min="2041" max="2041" width="5.140625" style="2" customWidth="1"/>
    <col min="2042" max="2042" width="9.140625" style="2"/>
    <col min="2043" max="2043" width="4.85546875" style="2" customWidth="1"/>
    <col min="2044" max="2044" width="30.5703125" style="2" customWidth="1"/>
    <col min="2045" max="2045" width="33.85546875" style="2" customWidth="1"/>
    <col min="2046" max="2046" width="5.140625" style="2" customWidth="1"/>
    <col min="2047" max="2048" width="17.5703125" style="2" customWidth="1"/>
    <col min="2049" max="2292" width="9.140625" style="2"/>
    <col min="2293" max="2293" width="3.5703125" style="2" customWidth="1"/>
    <col min="2294" max="2294" width="96.85546875" style="2" customWidth="1"/>
    <col min="2295" max="2295" width="30.85546875" style="2" customWidth="1"/>
    <col min="2296" max="2296" width="12.5703125" style="2" customWidth="1"/>
    <col min="2297" max="2297" width="5.140625" style="2" customWidth="1"/>
    <col min="2298" max="2298" width="9.140625" style="2"/>
    <col min="2299" max="2299" width="4.85546875" style="2" customWidth="1"/>
    <col min="2300" max="2300" width="30.5703125" style="2" customWidth="1"/>
    <col min="2301" max="2301" width="33.85546875" style="2" customWidth="1"/>
    <col min="2302" max="2302" width="5.140625" style="2" customWidth="1"/>
    <col min="2303" max="2304" width="17.5703125" style="2" customWidth="1"/>
    <col min="2305" max="2548" width="9.140625" style="2"/>
    <col min="2549" max="2549" width="3.5703125" style="2" customWidth="1"/>
    <col min="2550" max="2550" width="96.85546875" style="2" customWidth="1"/>
    <col min="2551" max="2551" width="30.85546875" style="2" customWidth="1"/>
    <col min="2552" max="2552" width="12.5703125" style="2" customWidth="1"/>
    <col min="2553" max="2553" width="5.140625" style="2" customWidth="1"/>
    <col min="2554" max="2554" width="9.140625" style="2"/>
    <col min="2555" max="2555" width="4.85546875" style="2" customWidth="1"/>
    <col min="2556" max="2556" width="30.5703125" style="2" customWidth="1"/>
    <col min="2557" max="2557" width="33.85546875" style="2" customWidth="1"/>
    <col min="2558" max="2558" width="5.140625" style="2" customWidth="1"/>
    <col min="2559" max="2560" width="17.5703125" style="2" customWidth="1"/>
    <col min="2561" max="2804" width="9.140625" style="2"/>
    <col min="2805" max="2805" width="3.5703125" style="2" customWidth="1"/>
    <col min="2806" max="2806" width="96.85546875" style="2" customWidth="1"/>
    <col min="2807" max="2807" width="30.85546875" style="2" customWidth="1"/>
    <col min="2808" max="2808" width="12.5703125" style="2" customWidth="1"/>
    <col min="2809" max="2809" width="5.140625" style="2" customWidth="1"/>
    <col min="2810" max="2810" width="9.140625" style="2"/>
    <col min="2811" max="2811" width="4.85546875" style="2" customWidth="1"/>
    <col min="2812" max="2812" width="30.5703125" style="2" customWidth="1"/>
    <col min="2813" max="2813" width="33.85546875" style="2" customWidth="1"/>
    <col min="2814" max="2814" width="5.140625" style="2" customWidth="1"/>
    <col min="2815" max="2816" width="17.5703125" style="2" customWidth="1"/>
    <col min="2817" max="3060" width="9.140625" style="2"/>
    <col min="3061" max="3061" width="3.5703125" style="2" customWidth="1"/>
    <col min="3062" max="3062" width="96.85546875" style="2" customWidth="1"/>
    <col min="3063" max="3063" width="30.85546875" style="2" customWidth="1"/>
    <col min="3064" max="3064" width="12.5703125" style="2" customWidth="1"/>
    <col min="3065" max="3065" width="5.140625" style="2" customWidth="1"/>
    <col min="3066" max="3066" width="9.140625" style="2"/>
    <col min="3067" max="3067" width="4.85546875" style="2" customWidth="1"/>
    <col min="3068" max="3068" width="30.5703125" style="2" customWidth="1"/>
    <col min="3069" max="3069" width="33.85546875" style="2" customWidth="1"/>
    <col min="3070" max="3070" width="5.140625" style="2" customWidth="1"/>
    <col min="3071" max="3072" width="17.5703125" style="2" customWidth="1"/>
    <col min="3073" max="3316" width="9.140625" style="2"/>
    <col min="3317" max="3317" width="3.5703125" style="2" customWidth="1"/>
    <col min="3318" max="3318" width="96.85546875" style="2" customWidth="1"/>
    <col min="3319" max="3319" width="30.85546875" style="2" customWidth="1"/>
    <col min="3320" max="3320" width="12.5703125" style="2" customWidth="1"/>
    <col min="3321" max="3321" width="5.140625" style="2" customWidth="1"/>
    <col min="3322" max="3322" width="9.140625" style="2"/>
    <col min="3323" max="3323" width="4.85546875" style="2" customWidth="1"/>
    <col min="3324" max="3324" width="30.5703125" style="2" customWidth="1"/>
    <col min="3325" max="3325" width="33.85546875" style="2" customWidth="1"/>
    <col min="3326" max="3326" width="5.140625" style="2" customWidth="1"/>
    <col min="3327" max="3328" width="17.5703125" style="2" customWidth="1"/>
    <col min="3329" max="3572" width="9.140625" style="2"/>
    <col min="3573" max="3573" width="3.5703125" style="2" customWidth="1"/>
    <col min="3574" max="3574" width="96.85546875" style="2" customWidth="1"/>
    <col min="3575" max="3575" width="30.85546875" style="2" customWidth="1"/>
    <col min="3576" max="3576" width="12.5703125" style="2" customWidth="1"/>
    <col min="3577" max="3577" width="5.140625" style="2" customWidth="1"/>
    <col min="3578" max="3578" width="9.140625" style="2"/>
    <col min="3579" max="3579" width="4.85546875" style="2" customWidth="1"/>
    <col min="3580" max="3580" width="30.5703125" style="2" customWidth="1"/>
    <col min="3581" max="3581" width="33.85546875" style="2" customWidth="1"/>
    <col min="3582" max="3582" width="5.140625" style="2" customWidth="1"/>
    <col min="3583" max="3584" width="17.5703125" style="2" customWidth="1"/>
    <col min="3585" max="3828" width="9.140625" style="2"/>
    <col min="3829" max="3829" width="3.5703125" style="2" customWidth="1"/>
    <col min="3830" max="3830" width="96.85546875" style="2" customWidth="1"/>
    <col min="3831" max="3831" width="30.85546875" style="2" customWidth="1"/>
    <col min="3832" max="3832" width="12.5703125" style="2" customWidth="1"/>
    <col min="3833" max="3833" width="5.140625" style="2" customWidth="1"/>
    <col min="3834" max="3834" width="9.140625" style="2"/>
    <col min="3835" max="3835" width="4.85546875" style="2" customWidth="1"/>
    <col min="3836" max="3836" width="30.5703125" style="2" customWidth="1"/>
    <col min="3837" max="3837" width="33.85546875" style="2" customWidth="1"/>
    <col min="3838" max="3838" width="5.140625" style="2" customWidth="1"/>
    <col min="3839" max="3840" width="17.5703125" style="2" customWidth="1"/>
    <col min="3841" max="4084" width="9.140625" style="2"/>
    <col min="4085" max="4085" width="3.5703125" style="2" customWidth="1"/>
    <col min="4086" max="4086" width="96.85546875" style="2" customWidth="1"/>
    <col min="4087" max="4087" width="30.85546875" style="2" customWidth="1"/>
    <col min="4088" max="4088" width="12.5703125" style="2" customWidth="1"/>
    <col min="4089" max="4089" width="5.140625" style="2" customWidth="1"/>
    <col min="4090" max="4090" width="9.140625" style="2"/>
    <col min="4091" max="4091" width="4.85546875" style="2" customWidth="1"/>
    <col min="4092" max="4092" width="30.5703125" style="2" customWidth="1"/>
    <col min="4093" max="4093" width="33.85546875" style="2" customWidth="1"/>
    <col min="4094" max="4094" width="5.140625" style="2" customWidth="1"/>
    <col min="4095" max="4096" width="17.5703125" style="2" customWidth="1"/>
    <col min="4097" max="4340" width="9.140625" style="2"/>
    <col min="4341" max="4341" width="3.5703125" style="2" customWidth="1"/>
    <col min="4342" max="4342" width="96.85546875" style="2" customWidth="1"/>
    <col min="4343" max="4343" width="30.85546875" style="2" customWidth="1"/>
    <col min="4344" max="4344" width="12.5703125" style="2" customWidth="1"/>
    <col min="4345" max="4345" width="5.140625" style="2" customWidth="1"/>
    <col min="4346" max="4346" width="9.140625" style="2"/>
    <col min="4347" max="4347" width="4.85546875" style="2" customWidth="1"/>
    <col min="4348" max="4348" width="30.5703125" style="2" customWidth="1"/>
    <col min="4349" max="4349" width="33.85546875" style="2" customWidth="1"/>
    <col min="4350" max="4350" width="5.140625" style="2" customWidth="1"/>
    <col min="4351" max="4352" width="17.5703125" style="2" customWidth="1"/>
    <col min="4353" max="4596" width="9.140625" style="2"/>
    <col min="4597" max="4597" width="3.5703125" style="2" customWidth="1"/>
    <col min="4598" max="4598" width="96.85546875" style="2" customWidth="1"/>
    <col min="4599" max="4599" width="30.85546875" style="2" customWidth="1"/>
    <col min="4600" max="4600" width="12.5703125" style="2" customWidth="1"/>
    <col min="4601" max="4601" width="5.140625" style="2" customWidth="1"/>
    <col min="4602" max="4602" width="9.140625" style="2"/>
    <col min="4603" max="4603" width="4.85546875" style="2" customWidth="1"/>
    <col min="4604" max="4604" width="30.5703125" style="2" customWidth="1"/>
    <col min="4605" max="4605" width="33.85546875" style="2" customWidth="1"/>
    <col min="4606" max="4606" width="5.140625" style="2" customWidth="1"/>
    <col min="4607" max="4608" width="17.5703125" style="2" customWidth="1"/>
    <col min="4609" max="4852" width="9.140625" style="2"/>
    <col min="4853" max="4853" width="3.5703125" style="2" customWidth="1"/>
    <col min="4854" max="4854" width="96.85546875" style="2" customWidth="1"/>
    <col min="4855" max="4855" width="30.85546875" style="2" customWidth="1"/>
    <col min="4856" max="4856" width="12.5703125" style="2" customWidth="1"/>
    <col min="4857" max="4857" width="5.140625" style="2" customWidth="1"/>
    <col min="4858" max="4858" width="9.140625" style="2"/>
    <col min="4859" max="4859" width="4.85546875" style="2" customWidth="1"/>
    <col min="4860" max="4860" width="30.5703125" style="2" customWidth="1"/>
    <col min="4861" max="4861" width="33.85546875" style="2" customWidth="1"/>
    <col min="4862" max="4862" width="5.140625" style="2" customWidth="1"/>
    <col min="4863" max="4864" width="17.5703125" style="2" customWidth="1"/>
    <col min="4865" max="5108" width="9.140625" style="2"/>
    <col min="5109" max="5109" width="3.5703125" style="2" customWidth="1"/>
    <col min="5110" max="5110" width="96.85546875" style="2" customWidth="1"/>
    <col min="5111" max="5111" width="30.85546875" style="2" customWidth="1"/>
    <col min="5112" max="5112" width="12.5703125" style="2" customWidth="1"/>
    <col min="5113" max="5113" width="5.140625" style="2" customWidth="1"/>
    <col min="5114" max="5114" width="9.140625" style="2"/>
    <col min="5115" max="5115" width="4.85546875" style="2" customWidth="1"/>
    <col min="5116" max="5116" width="30.5703125" style="2" customWidth="1"/>
    <col min="5117" max="5117" width="33.85546875" style="2" customWidth="1"/>
    <col min="5118" max="5118" width="5.140625" style="2" customWidth="1"/>
    <col min="5119" max="5120" width="17.5703125" style="2" customWidth="1"/>
    <col min="5121" max="5364" width="9.140625" style="2"/>
    <col min="5365" max="5365" width="3.5703125" style="2" customWidth="1"/>
    <col min="5366" max="5366" width="96.85546875" style="2" customWidth="1"/>
    <col min="5367" max="5367" width="30.85546875" style="2" customWidth="1"/>
    <col min="5368" max="5368" width="12.5703125" style="2" customWidth="1"/>
    <col min="5369" max="5369" width="5.140625" style="2" customWidth="1"/>
    <col min="5370" max="5370" width="9.140625" style="2"/>
    <col min="5371" max="5371" width="4.85546875" style="2" customWidth="1"/>
    <col min="5372" max="5372" width="30.5703125" style="2" customWidth="1"/>
    <col min="5373" max="5373" width="33.85546875" style="2" customWidth="1"/>
    <col min="5374" max="5374" width="5.140625" style="2" customWidth="1"/>
    <col min="5375" max="5376" width="17.5703125" style="2" customWidth="1"/>
    <col min="5377" max="5620" width="9.140625" style="2"/>
    <col min="5621" max="5621" width="3.5703125" style="2" customWidth="1"/>
    <col min="5622" max="5622" width="96.85546875" style="2" customWidth="1"/>
    <col min="5623" max="5623" width="30.85546875" style="2" customWidth="1"/>
    <col min="5624" max="5624" width="12.5703125" style="2" customWidth="1"/>
    <col min="5625" max="5625" width="5.140625" style="2" customWidth="1"/>
    <col min="5626" max="5626" width="9.140625" style="2"/>
    <col min="5627" max="5627" width="4.85546875" style="2" customWidth="1"/>
    <col min="5628" max="5628" width="30.5703125" style="2" customWidth="1"/>
    <col min="5629" max="5629" width="33.85546875" style="2" customWidth="1"/>
    <col min="5630" max="5630" width="5.140625" style="2" customWidth="1"/>
    <col min="5631" max="5632" width="17.5703125" style="2" customWidth="1"/>
    <col min="5633" max="5876" width="9.140625" style="2"/>
    <col min="5877" max="5877" width="3.5703125" style="2" customWidth="1"/>
    <col min="5878" max="5878" width="96.85546875" style="2" customWidth="1"/>
    <col min="5879" max="5879" width="30.85546875" style="2" customWidth="1"/>
    <col min="5880" max="5880" width="12.5703125" style="2" customWidth="1"/>
    <col min="5881" max="5881" width="5.140625" style="2" customWidth="1"/>
    <col min="5882" max="5882" width="9.140625" style="2"/>
    <col min="5883" max="5883" width="4.85546875" style="2" customWidth="1"/>
    <col min="5884" max="5884" width="30.5703125" style="2" customWidth="1"/>
    <col min="5885" max="5885" width="33.85546875" style="2" customWidth="1"/>
    <col min="5886" max="5886" width="5.140625" style="2" customWidth="1"/>
    <col min="5887" max="5888" width="17.5703125" style="2" customWidth="1"/>
    <col min="5889" max="6132" width="9.140625" style="2"/>
    <col min="6133" max="6133" width="3.5703125" style="2" customWidth="1"/>
    <col min="6134" max="6134" width="96.85546875" style="2" customWidth="1"/>
    <col min="6135" max="6135" width="30.85546875" style="2" customWidth="1"/>
    <col min="6136" max="6136" width="12.5703125" style="2" customWidth="1"/>
    <col min="6137" max="6137" width="5.140625" style="2" customWidth="1"/>
    <col min="6138" max="6138" width="9.140625" style="2"/>
    <col min="6139" max="6139" width="4.85546875" style="2" customWidth="1"/>
    <col min="6140" max="6140" width="30.5703125" style="2" customWidth="1"/>
    <col min="6141" max="6141" width="33.85546875" style="2" customWidth="1"/>
    <col min="6142" max="6142" width="5.140625" style="2" customWidth="1"/>
    <col min="6143" max="6144" width="17.5703125" style="2" customWidth="1"/>
    <col min="6145" max="6388" width="9.140625" style="2"/>
    <col min="6389" max="6389" width="3.5703125" style="2" customWidth="1"/>
    <col min="6390" max="6390" width="96.85546875" style="2" customWidth="1"/>
    <col min="6391" max="6391" width="30.85546875" style="2" customWidth="1"/>
    <col min="6392" max="6392" width="12.5703125" style="2" customWidth="1"/>
    <col min="6393" max="6393" width="5.140625" style="2" customWidth="1"/>
    <col min="6394" max="6394" width="9.140625" style="2"/>
    <col min="6395" max="6395" width="4.85546875" style="2" customWidth="1"/>
    <col min="6396" max="6396" width="30.5703125" style="2" customWidth="1"/>
    <col min="6397" max="6397" width="33.85546875" style="2" customWidth="1"/>
    <col min="6398" max="6398" width="5.140625" style="2" customWidth="1"/>
    <col min="6399" max="6400" width="17.5703125" style="2" customWidth="1"/>
    <col min="6401" max="6644" width="9.140625" style="2"/>
    <col min="6645" max="6645" width="3.5703125" style="2" customWidth="1"/>
    <col min="6646" max="6646" width="96.85546875" style="2" customWidth="1"/>
    <col min="6647" max="6647" width="30.85546875" style="2" customWidth="1"/>
    <col min="6648" max="6648" width="12.5703125" style="2" customWidth="1"/>
    <col min="6649" max="6649" width="5.140625" style="2" customWidth="1"/>
    <col min="6650" max="6650" width="9.140625" style="2"/>
    <col min="6651" max="6651" width="4.85546875" style="2" customWidth="1"/>
    <col min="6652" max="6652" width="30.5703125" style="2" customWidth="1"/>
    <col min="6653" max="6653" width="33.85546875" style="2" customWidth="1"/>
    <col min="6654" max="6654" width="5.140625" style="2" customWidth="1"/>
    <col min="6655" max="6656" width="17.5703125" style="2" customWidth="1"/>
    <col min="6657" max="6900" width="9.140625" style="2"/>
    <col min="6901" max="6901" width="3.5703125" style="2" customWidth="1"/>
    <col min="6902" max="6902" width="96.85546875" style="2" customWidth="1"/>
    <col min="6903" max="6903" width="30.85546875" style="2" customWidth="1"/>
    <col min="6904" max="6904" width="12.5703125" style="2" customWidth="1"/>
    <col min="6905" max="6905" width="5.140625" style="2" customWidth="1"/>
    <col min="6906" max="6906" width="9.140625" style="2"/>
    <col min="6907" max="6907" width="4.85546875" style="2" customWidth="1"/>
    <col min="6908" max="6908" width="30.5703125" style="2" customWidth="1"/>
    <col min="6909" max="6909" width="33.85546875" style="2" customWidth="1"/>
    <col min="6910" max="6910" width="5.140625" style="2" customWidth="1"/>
    <col min="6911" max="6912" width="17.5703125" style="2" customWidth="1"/>
    <col min="6913" max="7156" width="9.140625" style="2"/>
    <col min="7157" max="7157" width="3.5703125" style="2" customWidth="1"/>
    <col min="7158" max="7158" width="96.85546875" style="2" customWidth="1"/>
    <col min="7159" max="7159" width="30.85546875" style="2" customWidth="1"/>
    <col min="7160" max="7160" width="12.5703125" style="2" customWidth="1"/>
    <col min="7161" max="7161" width="5.140625" style="2" customWidth="1"/>
    <col min="7162" max="7162" width="9.140625" style="2"/>
    <col min="7163" max="7163" width="4.85546875" style="2" customWidth="1"/>
    <col min="7164" max="7164" width="30.5703125" style="2" customWidth="1"/>
    <col min="7165" max="7165" width="33.85546875" style="2" customWidth="1"/>
    <col min="7166" max="7166" width="5.140625" style="2" customWidth="1"/>
    <col min="7167" max="7168" width="17.5703125" style="2" customWidth="1"/>
    <col min="7169" max="7412" width="9.140625" style="2"/>
    <col min="7413" max="7413" width="3.5703125" style="2" customWidth="1"/>
    <col min="7414" max="7414" width="96.85546875" style="2" customWidth="1"/>
    <col min="7415" max="7415" width="30.85546875" style="2" customWidth="1"/>
    <col min="7416" max="7416" width="12.5703125" style="2" customWidth="1"/>
    <col min="7417" max="7417" width="5.140625" style="2" customWidth="1"/>
    <col min="7418" max="7418" width="9.140625" style="2"/>
    <col min="7419" max="7419" width="4.85546875" style="2" customWidth="1"/>
    <col min="7420" max="7420" width="30.5703125" style="2" customWidth="1"/>
    <col min="7421" max="7421" width="33.85546875" style="2" customWidth="1"/>
    <col min="7422" max="7422" width="5.140625" style="2" customWidth="1"/>
    <col min="7423" max="7424" width="17.5703125" style="2" customWidth="1"/>
    <col min="7425" max="7668" width="9.140625" style="2"/>
    <col min="7669" max="7669" width="3.5703125" style="2" customWidth="1"/>
    <col min="7670" max="7670" width="96.85546875" style="2" customWidth="1"/>
    <col min="7671" max="7671" width="30.85546875" style="2" customWidth="1"/>
    <col min="7672" max="7672" width="12.5703125" style="2" customWidth="1"/>
    <col min="7673" max="7673" width="5.140625" style="2" customWidth="1"/>
    <col min="7674" max="7674" width="9.140625" style="2"/>
    <col min="7675" max="7675" width="4.85546875" style="2" customWidth="1"/>
    <col min="7676" max="7676" width="30.5703125" style="2" customWidth="1"/>
    <col min="7677" max="7677" width="33.85546875" style="2" customWidth="1"/>
    <col min="7678" max="7678" width="5.140625" style="2" customWidth="1"/>
    <col min="7679" max="7680" width="17.5703125" style="2" customWidth="1"/>
    <col min="7681" max="7924" width="9.140625" style="2"/>
    <col min="7925" max="7925" width="3.5703125" style="2" customWidth="1"/>
    <col min="7926" max="7926" width="96.85546875" style="2" customWidth="1"/>
    <col min="7927" max="7927" width="30.85546875" style="2" customWidth="1"/>
    <col min="7928" max="7928" width="12.5703125" style="2" customWidth="1"/>
    <col min="7929" max="7929" width="5.140625" style="2" customWidth="1"/>
    <col min="7930" max="7930" width="9.140625" style="2"/>
    <col min="7931" max="7931" width="4.85546875" style="2" customWidth="1"/>
    <col min="7932" max="7932" width="30.5703125" style="2" customWidth="1"/>
    <col min="7933" max="7933" width="33.85546875" style="2" customWidth="1"/>
    <col min="7934" max="7934" width="5.140625" style="2" customWidth="1"/>
    <col min="7935" max="7936" width="17.5703125" style="2" customWidth="1"/>
    <col min="7937" max="8180" width="9.140625" style="2"/>
    <col min="8181" max="8181" width="3.5703125" style="2" customWidth="1"/>
    <col min="8182" max="8182" width="96.85546875" style="2" customWidth="1"/>
    <col min="8183" max="8183" width="30.85546875" style="2" customWidth="1"/>
    <col min="8184" max="8184" width="12.5703125" style="2" customWidth="1"/>
    <col min="8185" max="8185" width="5.140625" style="2" customWidth="1"/>
    <col min="8186" max="8186" width="9.140625" style="2"/>
    <col min="8187" max="8187" width="4.85546875" style="2" customWidth="1"/>
    <col min="8188" max="8188" width="30.5703125" style="2" customWidth="1"/>
    <col min="8189" max="8189" width="33.85546875" style="2" customWidth="1"/>
    <col min="8190" max="8190" width="5.140625" style="2" customWidth="1"/>
    <col min="8191" max="8192" width="17.5703125" style="2" customWidth="1"/>
    <col min="8193" max="8436" width="9.140625" style="2"/>
    <col min="8437" max="8437" width="3.5703125" style="2" customWidth="1"/>
    <col min="8438" max="8438" width="96.85546875" style="2" customWidth="1"/>
    <col min="8439" max="8439" width="30.85546875" style="2" customWidth="1"/>
    <col min="8440" max="8440" width="12.5703125" style="2" customWidth="1"/>
    <col min="8441" max="8441" width="5.140625" style="2" customWidth="1"/>
    <col min="8442" max="8442" width="9.140625" style="2"/>
    <col min="8443" max="8443" width="4.85546875" style="2" customWidth="1"/>
    <col min="8444" max="8444" width="30.5703125" style="2" customWidth="1"/>
    <col min="8445" max="8445" width="33.85546875" style="2" customWidth="1"/>
    <col min="8446" max="8446" width="5.140625" style="2" customWidth="1"/>
    <col min="8447" max="8448" width="17.5703125" style="2" customWidth="1"/>
    <col min="8449" max="8692" width="9.140625" style="2"/>
    <col min="8693" max="8693" width="3.5703125" style="2" customWidth="1"/>
    <col min="8694" max="8694" width="96.85546875" style="2" customWidth="1"/>
    <col min="8695" max="8695" width="30.85546875" style="2" customWidth="1"/>
    <col min="8696" max="8696" width="12.5703125" style="2" customWidth="1"/>
    <col min="8697" max="8697" width="5.140625" style="2" customWidth="1"/>
    <col min="8698" max="8698" width="9.140625" style="2"/>
    <col min="8699" max="8699" width="4.85546875" style="2" customWidth="1"/>
    <col min="8700" max="8700" width="30.5703125" style="2" customWidth="1"/>
    <col min="8701" max="8701" width="33.85546875" style="2" customWidth="1"/>
    <col min="8702" max="8702" width="5.140625" style="2" customWidth="1"/>
    <col min="8703" max="8704" width="17.5703125" style="2" customWidth="1"/>
    <col min="8705" max="8948" width="9.140625" style="2"/>
    <col min="8949" max="8949" width="3.5703125" style="2" customWidth="1"/>
    <col min="8950" max="8950" width="96.85546875" style="2" customWidth="1"/>
    <col min="8951" max="8951" width="30.85546875" style="2" customWidth="1"/>
    <col min="8952" max="8952" width="12.5703125" style="2" customWidth="1"/>
    <col min="8953" max="8953" width="5.140625" style="2" customWidth="1"/>
    <col min="8954" max="8954" width="9.140625" style="2"/>
    <col min="8955" max="8955" width="4.85546875" style="2" customWidth="1"/>
    <col min="8956" max="8956" width="30.5703125" style="2" customWidth="1"/>
    <col min="8957" max="8957" width="33.85546875" style="2" customWidth="1"/>
    <col min="8958" max="8958" width="5.140625" style="2" customWidth="1"/>
    <col min="8959" max="8960" width="17.5703125" style="2" customWidth="1"/>
    <col min="8961" max="9204" width="9.140625" style="2"/>
    <col min="9205" max="9205" width="3.5703125" style="2" customWidth="1"/>
    <col min="9206" max="9206" width="96.85546875" style="2" customWidth="1"/>
    <col min="9207" max="9207" width="30.85546875" style="2" customWidth="1"/>
    <col min="9208" max="9208" width="12.5703125" style="2" customWidth="1"/>
    <col min="9209" max="9209" width="5.140625" style="2" customWidth="1"/>
    <col min="9210" max="9210" width="9.140625" style="2"/>
    <col min="9211" max="9211" width="4.85546875" style="2" customWidth="1"/>
    <col min="9212" max="9212" width="30.5703125" style="2" customWidth="1"/>
    <col min="9213" max="9213" width="33.85546875" style="2" customWidth="1"/>
    <col min="9214" max="9214" width="5.140625" style="2" customWidth="1"/>
    <col min="9215" max="9216" width="17.5703125" style="2" customWidth="1"/>
    <col min="9217" max="9460" width="9.140625" style="2"/>
    <col min="9461" max="9461" width="3.5703125" style="2" customWidth="1"/>
    <col min="9462" max="9462" width="96.85546875" style="2" customWidth="1"/>
    <col min="9463" max="9463" width="30.85546875" style="2" customWidth="1"/>
    <col min="9464" max="9464" width="12.5703125" style="2" customWidth="1"/>
    <col min="9465" max="9465" width="5.140625" style="2" customWidth="1"/>
    <col min="9466" max="9466" width="9.140625" style="2"/>
    <col min="9467" max="9467" width="4.85546875" style="2" customWidth="1"/>
    <col min="9468" max="9468" width="30.5703125" style="2" customWidth="1"/>
    <col min="9469" max="9469" width="33.85546875" style="2" customWidth="1"/>
    <col min="9470" max="9470" width="5.140625" style="2" customWidth="1"/>
    <col min="9471" max="9472" width="17.5703125" style="2" customWidth="1"/>
    <col min="9473" max="9716" width="9.140625" style="2"/>
    <col min="9717" max="9717" width="3.5703125" style="2" customWidth="1"/>
    <col min="9718" max="9718" width="96.85546875" style="2" customWidth="1"/>
    <col min="9719" max="9719" width="30.85546875" style="2" customWidth="1"/>
    <col min="9720" max="9720" width="12.5703125" style="2" customWidth="1"/>
    <col min="9721" max="9721" width="5.140625" style="2" customWidth="1"/>
    <col min="9722" max="9722" width="9.140625" style="2"/>
    <col min="9723" max="9723" width="4.85546875" style="2" customWidth="1"/>
    <col min="9724" max="9724" width="30.5703125" style="2" customWidth="1"/>
    <col min="9725" max="9725" width="33.85546875" style="2" customWidth="1"/>
    <col min="9726" max="9726" width="5.140625" style="2" customWidth="1"/>
    <col min="9727" max="9728" width="17.5703125" style="2" customWidth="1"/>
    <col min="9729" max="9972" width="9.140625" style="2"/>
    <col min="9973" max="9973" width="3.5703125" style="2" customWidth="1"/>
    <col min="9974" max="9974" width="96.85546875" style="2" customWidth="1"/>
    <col min="9975" max="9975" width="30.85546875" style="2" customWidth="1"/>
    <col min="9976" max="9976" width="12.5703125" style="2" customWidth="1"/>
    <col min="9977" max="9977" width="5.140625" style="2" customWidth="1"/>
    <col min="9978" max="9978" width="9.140625" style="2"/>
    <col min="9979" max="9979" width="4.85546875" style="2" customWidth="1"/>
    <col min="9980" max="9980" width="30.5703125" style="2" customWidth="1"/>
    <col min="9981" max="9981" width="33.85546875" style="2" customWidth="1"/>
    <col min="9982" max="9982" width="5.140625" style="2" customWidth="1"/>
    <col min="9983" max="9984" width="17.5703125" style="2" customWidth="1"/>
    <col min="9985" max="10228" width="9.140625" style="2"/>
    <col min="10229" max="10229" width="3.5703125" style="2" customWidth="1"/>
    <col min="10230" max="10230" width="96.85546875" style="2" customWidth="1"/>
    <col min="10231" max="10231" width="30.85546875" style="2" customWidth="1"/>
    <col min="10232" max="10232" width="12.5703125" style="2" customWidth="1"/>
    <col min="10233" max="10233" width="5.140625" style="2" customWidth="1"/>
    <col min="10234" max="10234" width="9.140625" style="2"/>
    <col min="10235" max="10235" width="4.85546875" style="2" customWidth="1"/>
    <col min="10236" max="10236" width="30.5703125" style="2" customWidth="1"/>
    <col min="10237" max="10237" width="33.85546875" style="2" customWidth="1"/>
    <col min="10238" max="10238" width="5.140625" style="2" customWidth="1"/>
    <col min="10239" max="10240" width="17.5703125" style="2" customWidth="1"/>
    <col min="10241" max="10484" width="9.140625" style="2"/>
    <col min="10485" max="10485" width="3.5703125" style="2" customWidth="1"/>
    <col min="10486" max="10486" width="96.85546875" style="2" customWidth="1"/>
    <col min="10487" max="10487" width="30.85546875" style="2" customWidth="1"/>
    <col min="10488" max="10488" width="12.5703125" style="2" customWidth="1"/>
    <col min="10489" max="10489" width="5.140625" style="2" customWidth="1"/>
    <col min="10490" max="10490" width="9.140625" style="2"/>
    <col min="10491" max="10491" width="4.85546875" style="2" customWidth="1"/>
    <col min="10492" max="10492" width="30.5703125" style="2" customWidth="1"/>
    <col min="10493" max="10493" width="33.85546875" style="2" customWidth="1"/>
    <col min="10494" max="10494" width="5.140625" style="2" customWidth="1"/>
    <col min="10495" max="10496" width="17.5703125" style="2" customWidth="1"/>
    <col min="10497" max="10740" width="9.140625" style="2"/>
    <col min="10741" max="10741" width="3.5703125" style="2" customWidth="1"/>
    <col min="10742" max="10742" width="96.85546875" style="2" customWidth="1"/>
    <col min="10743" max="10743" width="30.85546875" style="2" customWidth="1"/>
    <col min="10744" max="10744" width="12.5703125" style="2" customWidth="1"/>
    <col min="10745" max="10745" width="5.140625" style="2" customWidth="1"/>
    <col min="10746" max="10746" width="9.140625" style="2"/>
    <col min="10747" max="10747" width="4.85546875" style="2" customWidth="1"/>
    <col min="10748" max="10748" width="30.5703125" style="2" customWidth="1"/>
    <col min="10749" max="10749" width="33.85546875" style="2" customWidth="1"/>
    <col min="10750" max="10750" width="5.140625" style="2" customWidth="1"/>
    <col min="10751" max="10752" width="17.5703125" style="2" customWidth="1"/>
    <col min="10753" max="10996" width="9.140625" style="2"/>
    <col min="10997" max="10997" width="3.5703125" style="2" customWidth="1"/>
    <col min="10998" max="10998" width="96.85546875" style="2" customWidth="1"/>
    <col min="10999" max="10999" width="30.85546875" style="2" customWidth="1"/>
    <col min="11000" max="11000" width="12.5703125" style="2" customWidth="1"/>
    <col min="11001" max="11001" width="5.140625" style="2" customWidth="1"/>
    <col min="11002" max="11002" width="9.140625" style="2"/>
    <col min="11003" max="11003" width="4.85546875" style="2" customWidth="1"/>
    <col min="11004" max="11004" width="30.5703125" style="2" customWidth="1"/>
    <col min="11005" max="11005" width="33.85546875" style="2" customWidth="1"/>
    <col min="11006" max="11006" width="5.140625" style="2" customWidth="1"/>
    <col min="11007" max="11008" width="17.5703125" style="2" customWidth="1"/>
    <col min="11009" max="11252" width="9.140625" style="2"/>
    <col min="11253" max="11253" width="3.5703125" style="2" customWidth="1"/>
    <col min="11254" max="11254" width="96.85546875" style="2" customWidth="1"/>
    <col min="11255" max="11255" width="30.85546875" style="2" customWidth="1"/>
    <col min="11256" max="11256" width="12.5703125" style="2" customWidth="1"/>
    <col min="11257" max="11257" width="5.140625" style="2" customWidth="1"/>
    <col min="11258" max="11258" width="9.140625" style="2"/>
    <col min="11259" max="11259" width="4.85546875" style="2" customWidth="1"/>
    <col min="11260" max="11260" width="30.5703125" style="2" customWidth="1"/>
    <col min="11261" max="11261" width="33.85546875" style="2" customWidth="1"/>
    <col min="11262" max="11262" width="5.140625" style="2" customWidth="1"/>
    <col min="11263" max="11264" width="17.5703125" style="2" customWidth="1"/>
    <col min="11265" max="11508" width="9.140625" style="2"/>
    <col min="11509" max="11509" width="3.5703125" style="2" customWidth="1"/>
    <col min="11510" max="11510" width="96.85546875" style="2" customWidth="1"/>
    <col min="11511" max="11511" width="30.85546875" style="2" customWidth="1"/>
    <col min="11512" max="11512" width="12.5703125" style="2" customWidth="1"/>
    <col min="11513" max="11513" width="5.140625" style="2" customWidth="1"/>
    <col min="11514" max="11514" width="9.140625" style="2"/>
    <col min="11515" max="11515" width="4.85546875" style="2" customWidth="1"/>
    <col min="11516" max="11516" width="30.5703125" style="2" customWidth="1"/>
    <col min="11517" max="11517" width="33.85546875" style="2" customWidth="1"/>
    <col min="11518" max="11518" width="5.140625" style="2" customWidth="1"/>
    <col min="11519" max="11520" width="17.5703125" style="2" customWidth="1"/>
    <col min="11521" max="11764" width="9.140625" style="2"/>
    <col min="11765" max="11765" width="3.5703125" style="2" customWidth="1"/>
    <col min="11766" max="11766" width="96.85546875" style="2" customWidth="1"/>
    <col min="11767" max="11767" width="30.85546875" style="2" customWidth="1"/>
    <col min="11768" max="11768" width="12.5703125" style="2" customWidth="1"/>
    <col min="11769" max="11769" width="5.140625" style="2" customWidth="1"/>
    <col min="11770" max="11770" width="9.140625" style="2"/>
    <col min="11771" max="11771" width="4.85546875" style="2" customWidth="1"/>
    <col min="11772" max="11772" width="30.5703125" style="2" customWidth="1"/>
    <col min="11773" max="11773" width="33.85546875" style="2" customWidth="1"/>
    <col min="11774" max="11774" width="5.140625" style="2" customWidth="1"/>
    <col min="11775" max="11776" width="17.5703125" style="2" customWidth="1"/>
    <col min="11777" max="12020" width="9.140625" style="2"/>
    <col min="12021" max="12021" width="3.5703125" style="2" customWidth="1"/>
    <col min="12022" max="12022" width="96.85546875" style="2" customWidth="1"/>
    <col min="12023" max="12023" width="30.85546875" style="2" customWidth="1"/>
    <col min="12024" max="12024" width="12.5703125" style="2" customWidth="1"/>
    <col min="12025" max="12025" width="5.140625" style="2" customWidth="1"/>
    <col min="12026" max="12026" width="9.140625" style="2"/>
    <col min="12027" max="12027" width="4.85546875" style="2" customWidth="1"/>
    <col min="12028" max="12028" width="30.5703125" style="2" customWidth="1"/>
    <col min="12029" max="12029" width="33.85546875" style="2" customWidth="1"/>
    <col min="12030" max="12030" width="5.140625" style="2" customWidth="1"/>
    <col min="12031" max="12032" width="17.5703125" style="2" customWidth="1"/>
    <col min="12033" max="12276" width="9.140625" style="2"/>
    <col min="12277" max="12277" width="3.5703125" style="2" customWidth="1"/>
    <col min="12278" max="12278" width="96.85546875" style="2" customWidth="1"/>
    <col min="12279" max="12279" width="30.85546875" style="2" customWidth="1"/>
    <col min="12280" max="12280" width="12.5703125" style="2" customWidth="1"/>
    <col min="12281" max="12281" width="5.140625" style="2" customWidth="1"/>
    <col min="12282" max="12282" width="9.140625" style="2"/>
    <col min="12283" max="12283" width="4.85546875" style="2" customWidth="1"/>
    <col min="12284" max="12284" width="30.5703125" style="2" customWidth="1"/>
    <col min="12285" max="12285" width="33.85546875" style="2" customWidth="1"/>
    <col min="12286" max="12286" width="5.140625" style="2" customWidth="1"/>
    <col min="12287" max="12288" width="17.5703125" style="2" customWidth="1"/>
    <col min="12289" max="12532" width="9.140625" style="2"/>
    <col min="12533" max="12533" width="3.5703125" style="2" customWidth="1"/>
    <col min="12534" max="12534" width="96.85546875" style="2" customWidth="1"/>
    <col min="12535" max="12535" width="30.85546875" style="2" customWidth="1"/>
    <col min="12536" max="12536" width="12.5703125" style="2" customWidth="1"/>
    <col min="12537" max="12537" width="5.140625" style="2" customWidth="1"/>
    <col min="12538" max="12538" width="9.140625" style="2"/>
    <col min="12539" max="12539" width="4.85546875" style="2" customWidth="1"/>
    <col min="12540" max="12540" width="30.5703125" style="2" customWidth="1"/>
    <col min="12541" max="12541" width="33.85546875" style="2" customWidth="1"/>
    <col min="12542" max="12542" width="5.140625" style="2" customWidth="1"/>
    <col min="12543" max="12544" width="17.5703125" style="2" customWidth="1"/>
    <col min="12545" max="12788" width="9.140625" style="2"/>
    <col min="12789" max="12789" width="3.5703125" style="2" customWidth="1"/>
    <col min="12790" max="12790" width="96.85546875" style="2" customWidth="1"/>
    <col min="12791" max="12791" width="30.85546875" style="2" customWidth="1"/>
    <col min="12792" max="12792" width="12.5703125" style="2" customWidth="1"/>
    <col min="12793" max="12793" width="5.140625" style="2" customWidth="1"/>
    <col min="12794" max="12794" width="9.140625" style="2"/>
    <col min="12795" max="12795" width="4.85546875" style="2" customWidth="1"/>
    <col min="12796" max="12796" width="30.5703125" style="2" customWidth="1"/>
    <col min="12797" max="12797" width="33.85546875" style="2" customWidth="1"/>
    <col min="12798" max="12798" width="5.140625" style="2" customWidth="1"/>
    <col min="12799" max="12800" width="17.5703125" style="2" customWidth="1"/>
    <col min="12801" max="13044" width="9.140625" style="2"/>
    <col min="13045" max="13045" width="3.5703125" style="2" customWidth="1"/>
    <col min="13046" max="13046" width="96.85546875" style="2" customWidth="1"/>
    <col min="13047" max="13047" width="30.85546875" style="2" customWidth="1"/>
    <col min="13048" max="13048" width="12.5703125" style="2" customWidth="1"/>
    <col min="13049" max="13049" width="5.140625" style="2" customWidth="1"/>
    <col min="13050" max="13050" width="9.140625" style="2"/>
    <col min="13051" max="13051" width="4.85546875" style="2" customWidth="1"/>
    <col min="13052" max="13052" width="30.5703125" style="2" customWidth="1"/>
    <col min="13053" max="13053" width="33.85546875" style="2" customWidth="1"/>
    <col min="13054" max="13054" width="5.140625" style="2" customWidth="1"/>
    <col min="13055" max="13056" width="17.5703125" style="2" customWidth="1"/>
    <col min="13057" max="13300" width="9.140625" style="2"/>
    <col min="13301" max="13301" width="3.5703125" style="2" customWidth="1"/>
    <col min="13302" max="13302" width="96.85546875" style="2" customWidth="1"/>
    <col min="13303" max="13303" width="30.85546875" style="2" customWidth="1"/>
    <col min="13304" max="13304" width="12.5703125" style="2" customWidth="1"/>
    <col min="13305" max="13305" width="5.140625" style="2" customWidth="1"/>
    <col min="13306" max="13306" width="9.140625" style="2"/>
    <col min="13307" max="13307" width="4.85546875" style="2" customWidth="1"/>
    <col min="13308" max="13308" width="30.5703125" style="2" customWidth="1"/>
    <col min="13309" max="13309" width="33.85546875" style="2" customWidth="1"/>
    <col min="13310" max="13310" width="5.140625" style="2" customWidth="1"/>
    <col min="13311" max="13312" width="17.5703125" style="2" customWidth="1"/>
    <col min="13313" max="13556" width="9.140625" style="2"/>
    <col min="13557" max="13557" width="3.5703125" style="2" customWidth="1"/>
    <col min="13558" max="13558" width="96.85546875" style="2" customWidth="1"/>
    <col min="13559" max="13559" width="30.85546875" style="2" customWidth="1"/>
    <col min="13560" max="13560" width="12.5703125" style="2" customWidth="1"/>
    <col min="13561" max="13561" width="5.140625" style="2" customWidth="1"/>
    <col min="13562" max="13562" width="9.140625" style="2"/>
    <col min="13563" max="13563" width="4.85546875" style="2" customWidth="1"/>
    <col min="13564" max="13564" width="30.5703125" style="2" customWidth="1"/>
    <col min="13565" max="13565" width="33.85546875" style="2" customWidth="1"/>
    <col min="13566" max="13566" width="5.140625" style="2" customWidth="1"/>
    <col min="13567" max="13568" width="17.5703125" style="2" customWidth="1"/>
    <col min="13569" max="13812" width="9.140625" style="2"/>
    <col min="13813" max="13813" width="3.5703125" style="2" customWidth="1"/>
    <col min="13814" max="13814" width="96.85546875" style="2" customWidth="1"/>
    <col min="13815" max="13815" width="30.85546875" style="2" customWidth="1"/>
    <col min="13816" max="13816" width="12.5703125" style="2" customWidth="1"/>
    <col min="13817" max="13817" width="5.140625" style="2" customWidth="1"/>
    <col min="13818" max="13818" width="9.140625" style="2"/>
    <col min="13819" max="13819" width="4.85546875" style="2" customWidth="1"/>
    <col min="13820" max="13820" width="30.5703125" style="2" customWidth="1"/>
    <col min="13821" max="13821" width="33.85546875" style="2" customWidth="1"/>
    <col min="13822" max="13822" width="5.140625" style="2" customWidth="1"/>
    <col min="13823" max="13824" width="17.5703125" style="2" customWidth="1"/>
    <col min="13825" max="14068" width="9.140625" style="2"/>
    <col min="14069" max="14069" width="3.5703125" style="2" customWidth="1"/>
    <col min="14070" max="14070" width="96.85546875" style="2" customWidth="1"/>
    <col min="14071" max="14071" width="30.85546875" style="2" customWidth="1"/>
    <col min="14072" max="14072" width="12.5703125" style="2" customWidth="1"/>
    <col min="14073" max="14073" width="5.140625" style="2" customWidth="1"/>
    <col min="14074" max="14074" width="9.140625" style="2"/>
    <col min="14075" max="14075" width="4.85546875" style="2" customWidth="1"/>
    <col min="14076" max="14076" width="30.5703125" style="2" customWidth="1"/>
    <col min="14077" max="14077" width="33.85546875" style="2" customWidth="1"/>
    <col min="14078" max="14078" width="5.140625" style="2" customWidth="1"/>
    <col min="14079" max="14080" width="17.5703125" style="2" customWidth="1"/>
    <col min="14081" max="14324" width="9.140625" style="2"/>
    <col min="14325" max="14325" width="3.5703125" style="2" customWidth="1"/>
    <col min="14326" max="14326" width="96.85546875" style="2" customWidth="1"/>
    <col min="14327" max="14327" width="30.85546875" style="2" customWidth="1"/>
    <col min="14328" max="14328" width="12.5703125" style="2" customWidth="1"/>
    <col min="14329" max="14329" width="5.140625" style="2" customWidth="1"/>
    <col min="14330" max="14330" width="9.140625" style="2"/>
    <col min="14331" max="14331" width="4.85546875" style="2" customWidth="1"/>
    <col min="14332" max="14332" width="30.5703125" style="2" customWidth="1"/>
    <col min="14333" max="14333" width="33.85546875" style="2" customWidth="1"/>
    <col min="14334" max="14334" width="5.140625" style="2" customWidth="1"/>
    <col min="14335" max="14336" width="17.5703125" style="2" customWidth="1"/>
    <col min="14337" max="14580" width="9.140625" style="2"/>
    <col min="14581" max="14581" width="3.5703125" style="2" customWidth="1"/>
    <col min="14582" max="14582" width="96.85546875" style="2" customWidth="1"/>
    <col min="14583" max="14583" width="30.85546875" style="2" customWidth="1"/>
    <col min="14584" max="14584" width="12.5703125" style="2" customWidth="1"/>
    <col min="14585" max="14585" width="5.140625" style="2" customWidth="1"/>
    <col min="14586" max="14586" width="9.140625" style="2"/>
    <col min="14587" max="14587" width="4.85546875" style="2" customWidth="1"/>
    <col min="14588" max="14588" width="30.5703125" style="2" customWidth="1"/>
    <col min="14589" max="14589" width="33.85546875" style="2" customWidth="1"/>
    <col min="14590" max="14590" width="5.140625" style="2" customWidth="1"/>
    <col min="14591" max="14592" width="17.5703125" style="2" customWidth="1"/>
    <col min="14593" max="14836" width="9.140625" style="2"/>
    <col min="14837" max="14837" width="3.5703125" style="2" customWidth="1"/>
    <col min="14838" max="14838" width="96.85546875" style="2" customWidth="1"/>
    <col min="14839" max="14839" width="30.85546875" style="2" customWidth="1"/>
    <col min="14840" max="14840" width="12.5703125" style="2" customWidth="1"/>
    <col min="14841" max="14841" width="5.140625" style="2" customWidth="1"/>
    <col min="14842" max="14842" width="9.140625" style="2"/>
    <col min="14843" max="14843" width="4.85546875" style="2" customWidth="1"/>
    <col min="14844" max="14844" width="30.5703125" style="2" customWidth="1"/>
    <col min="14845" max="14845" width="33.85546875" style="2" customWidth="1"/>
    <col min="14846" max="14846" width="5.140625" style="2" customWidth="1"/>
    <col min="14847" max="14848" width="17.5703125" style="2" customWidth="1"/>
    <col min="14849" max="15092" width="9.140625" style="2"/>
    <col min="15093" max="15093" width="3.5703125" style="2" customWidth="1"/>
    <col min="15094" max="15094" width="96.85546875" style="2" customWidth="1"/>
    <col min="15095" max="15095" width="30.85546875" style="2" customWidth="1"/>
    <col min="15096" max="15096" width="12.5703125" style="2" customWidth="1"/>
    <col min="15097" max="15097" width="5.140625" style="2" customWidth="1"/>
    <col min="15098" max="15098" width="9.140625" style="2"/>
    <col min="15099" max="15099" width="4.85546875" style="2" customWidth="1"/>
    <col min="15100" max="15100" width="30.5703125" style="2" customWidth="1"/>
    <col min="15101" max="15101" width="33.85546875" style="2" customWidth="1"/>
    <col min="15102" max="15102" width="5.140625" style="2" customWidth="1"/>
    <col min="15103" max="15104" width="17.5703125" style="2" customWidth="1"/>
    <col min="15105" max="15348" width="9.140625" style="2"/>
    <col min="15349" max="15349" width="3.5703125" style="2" customWidth="1"/>
    <col min="15350" max="15350" width="96.85546875" style="2" customWidth="1"/>
    <col min="15351" max="15351" width="30.85546875" style="2" customWidth="1"/>
    <col min="15352" max="15352" width="12.5703125" style="2" customWidth="1"/>
    <col min="15353" max="15353" width="5.140625" style="2" customWidth="1"/>
    <col min="15354" max="15354" width="9.140625" style="2"/>
    <col min="15355" max="15355" width="4.85546875" style="2" customWidth="1"/>
    <col min="15356" max="15356" width="30.5703125" style="2" customWidth="1"/>
    <col min="15357" max="15357" width="33.85546875" style="2" customWidth="1"/>
    <col min="15358" max="15358" width="5.140625" style="2" customWidth="1"/>
    <col min="15359" max="15360" width="17.5703125" style="2" customWidth="1"/>
    <col min="15361" max="15604" width="9.140625" style="2"/>
    <col min="15605" max="15605" width="3.5703125" style="2" customWidth="1"/>
    <col min="15606" max="15606" width="96.85546875" style="2" customWidth="1"/>
    <col min="15607" max="15607" width="30.85546875" style="2" customWidth="1"/>
    <col min="15608" max="15608" width="12.5703125" style="2" customWidth="1"/>
    <col min="15609" max="15609" width="5.140625" style="2" customWidth="1"/>
    <col min="15610" max="15610" width="9.140625" style="2"/>
    <col min="15611" max="15611" width="4.85546875" style="2" customWidth="1"/>
    <col min="15612" max="15612" width="30.5703125" style="2" customWidth="1"/>
    <col min="15613" max="15613" width="33.85546875" style="2" customWidth="1"/>
    <col min="15614" max="15614" width="5.140625" style="2" customWidth="1"/>
    <col min="15615" max="15616" width="17.5703125" style="2" customWidth="1"/>
    <col min="15617" max="15860" width="9.140625" style="2"/>
    <col min="15861" max="15861" width="3.5703125" style="2" customWidth="1"/>
    <col min="15862" max="15862" width="96.85546875" style="2" customWidth="1"/>
    <col min="15863" max="15863" width="30.85546875" style="2" customWidth="1"/>
    <col min="15864" max="15864" width="12.5703125" style="2" customWidth="1"/>
    <col min="15865" max="15865" width="5.140625" style="2" customWidth="1"/>
    <col min="15866" max="15866" width="9.140625" style="2"/>
    <col min="15867" max="15867" width="4.85546875" style="2" customWidth="1"/>
    <col min="15868" max="15868" width="30.5703125" style="2" customWidth="1"/>
    <col min="15869" max="15869" width="33.85546875" style="2" customWidth="1"/>
    <col min="15870" max="15870" width="5.140625" style="2" customWidth="1"/>
    <col min="15871" max="15872" width="17.5703125" style="2" customWidth="1"/>
    <col min="15873" max="16116" width="9.140625" style="2"/>
    <col min="16117" max="16117" width="3.5703125" style="2" customWidth="1"/>
    <col min="16118" max="16118" width="96.85546875" style="2" customWidth="1"/>
    <col min="16119" max="16119" width="30.85546875" style="2" customWidth="1"/>
    <col min="16120" max="16120" width="12.5703125" style="2" customWidth="1"/>
    <col min="16121" max="16121" width="5.140625" style="2" customWidth="1"/>
    <col min="16122" max="16122" width="9.140625" style="2"/>
    <col min="16123" max="16123" width="4.85546875" style="2" customWidth="1"/>
    <col min="16124" max="16124" width="30.5703125" style="2" customWidth="1"/>
    <col min="16125" max="16125" width="33.85546875" style="2" customWidth="1"/>
    <col min="16126" max="16126" width="5.140625" style="2" customWidth="1"/>
    <col min="16127" max="16128" width="17.5703125" style="2" customWidth="1"/>
    <col min="16129" max="16384" width="9.140625" style="2"/>
  </cols>
  <sheetData>
    <row r="1" spans="1:3" ht="48" customHeight="1" x14ac:dyDescent="0.2">
      <c r="A1" s="1"/>
      <c r="B1" s="143" t="s">
        <v>0</v>
      </c>
      <c r="C1" s="143"/>
    </row>
    <row r="2" spans="1:3" x14ac:dyDescent="0.2">
      <c r="A2" s="3"/>
      <c r="B2" s="4" t="s">
        <v>1</v>
      </c>
      <c r="C2" s="5">
        <v>46052</v>
      </c>
    </row>
    <row r="3" spans="1:3" x14ac:dyDescent="0.2">
      <c r="A3" s="3"/>
      <c r="B3" s="6" t="s">
        <v>2</v>
      </c>
    </row>
    <row r="4" spans="1:3" ht="25.5" x14ac:dyDescent="0.2">
      <c r="A4" s="8"/>
      <c r="B4" s="9" t="str">
        <f>[28]И1!D13</f>
        <v>Субъект Российской Федерации</v>
      </c>
      <c r="C4" s="10" t="str">
        <f>[28]И1!E13</f>
        <v>Новосибирская область</v>
      </c>
    </row>
    <row r="5" spans="1:3" ht="51.75" customHeight="1" x14ac:dyDescent="0.2">
      <c r="A5" s="8"/>
      <c r="B5" s="9" t="str">
        <f>[28]И1!D14</f>
        <v>Тип муниципального образования (выберите из списка)</v>
      </c>
      <c r="C5" s="10" t="str">
        <f>[29]И1!E14</f>
        <v>поселок Степной, Искитимский муниципальный район</v>
      </c>
    </row>
    <row r="6" spans="1:3" x14ac:dyDescent="0.2">
      <c r="A6" s="8"/>
      <c r="B6" s="9" t="str">
        <f>IF([28]И1!E15="","",[28]И1!D15)</f>
        <v/>
      </c>
      <c r="C6" s="10">
        <f>IF([28]И1!E15="","",[28]И1!E15)</f>
        <v>0</v>
      </c>
    </row>
    <row r="7" spans="1:3" x14ac:dyDescent="0.2">
      <c r="A7" s="8"/>
      <c r="B7" s="9" t="str">
        <f>[28]И1!D16</f>
        <v>Код ОКТМО</v>
      </c>
      <c r="C7" s="11" t="str">
        <f>[29]И1!E16</f>
        <v xml:space="preserve"> (50615425101)</v>
      </c>
    </row>
    <row r="8" spans="1:3" x14ac:dyDescent="0.2">
      <c r="A8" s="8"/>
      <c r="B8" s="12" t="str">
        <f>[28]И1!D17</f>
        <v>Система теплоснабжения</v>
      </c>
      <c r="C8" s="13">
        <f>[28]И1!E17</f>
        <v>0</v>
      </c>
    </row>
    <row r="9" spans="1:3" x14ac:dyDescent="0.2">
      <c r="A9" s="8"/>
      <c r="B9" s="9" t="str">
        <f>[28]И1!D8</f>
        <v>Период регулирования (i)-й</v>
      </c>
      <c r="C9" s="14">
        <f>[28]И1!E8</f>
        <v>2026</v>
      </c>
    </row>
    <row r="10" spans="1:3" x14ac:dyDescent="0.2">
      <c r="A10" s="8"/>
      <c r="B10" s="9" t="str">
        <f>[28]И1!D9</f>
        <v>Период регулирования (i-1)-й</v>
      </c>
      <c r="C10" s="14">
        <f>[28]И1!E9</f>
        <v>2025</v>
      </c>
    </row>
    <row r="11" spans="1:3" x14ac:dyDescent="0.2">
      <c r="A11" s="8"/>
      <c r="B11" s="9" t="str">
        <f>[28]И1!D10</f>
        <v>Период регулирования (i-2)-й</v>
      </c>
      <c r="C11" s="14">
        <f>[28]И1!E10</f>
        <v>2024</v>
      </c>
    </row>
    <row r="12" spans="1:3" x14ac:dyDescent="0.2">
      <c r="A12" s="8"/>
      <c r="B12" s="9" t="str">
        <f>[28]И1!D11</f>
        <v>Базовый год (б)</v>
      </c>
      <c r="C12" s="14">
        <f>[28]И1!E11</f>
        <v>2019</v>
      </c>
    </row>
    <row r="13" spans="1:3" x14ac:dyDescent="0.2">
      <c r="A13" s="8"/>
      <c r="B13" s="9" t="str">
        <f>[28]И1!D18</f>
        <v>Вид топлива, использование которого преобладает в системе теплоснабжения</v>
      </c>
      <c r="C13" s="15" t="str">
        <f>[28]С1.1!E13</f>
        <v>каменный уголь</v>
      </c>
    </row>
    <row r="14" spans="1:3" ht="31.7" customHeight="1" thickBot="1" x14ac:dyDescent="0.25">
      <c r="A14" s="142" t="s">
        <v>3</v>
      </c>
      <c r="B14" s="142"/>
      <c r="C14" s="142"/>
    </row>
    <row r="15" spans="1:3" x14ac:dyDescent="0.2">
      <c r="A15" s="16" t="s">
        <v>4</v>
      </c>
      <c r="B15" s="17" t="s">
        <v>5</v>
      </c>
      <c r="C15" s="18" t="s">
        <v>6</v>
      </c>
    </row>
    <row r="16" spans="1:3" x14ac:dyDescent="0.2">
      <c r="A16" s="19">
        <v>1</v>
      </c>
      <c r="B16" s="20">
        <v>2</v>
      </c>
      <c r="C16" s="21">
        <v>3</v>
      </c>
    </row>
    <row r="17" spans="1:3" x14ac:dyDescent="0.2">
      <c r="A17" s="22">
        <v>1</v>
      </c>
      <c r="B17" s="23" t="s">
        <v>7</v>
      </c>
      <c r="C17" s="24">
        <f>SUM(C18:C22)</f>
        <v>5741.9767851144552</v>
      </c>
    </row>
    <row r="18" spans="1:3" ht="42.75" x14ac:dyDescent="0.2">
      <c r="A18" s="22" t="s">
        <v>8</v>
      </c>
      <c r="B18" s="25" t="s">
        <v>9</v>
      </c>
      <c r="C18" s="26">
        <f>[28]С1!F12</f>
        <v>1050.8002869835241</v>
      </c>
    </row>
    <row r="19" spans="1:3" ht="42.75" x14ac:dyDescent="0.2">
      <c r="A19" s="22" t="s">
        <v>10</v>
      </c>
      <c r="B19" s="25" t="s">
        <v>11</v>
      </c>
      <c r="C19" s="26">
        <f>[28]С2!F12</f>
        <v>3097.7824122172187</v>
      </c>
    </row>
    <row r="20" spans="1:3" ht="30" x14ac:dyDescent="0.2">
      <c r="A20" s="22" t="s">
        <v>12</v>
      </c>
      <c r="B20" s="25" t="s">
        <v>13</v>
      </c>
      <c r="C20" s="26">
        <f>[28]С3!F12</f>
        <v>940.47266370947932</v>
      </c>
    </row>
    <row r="21" spans="1:3" ht="42.75" x14ac:dyDescent="0.2">
      <c r="A21" s="22" t="s">
        <v>14</v>
      </c>
      <c r="B21" s="25" t="s">
        <v>15</v>
      </c>
      <c r="C21" s="26">
        <f>[28]С4!F12</f>
        <v>540.33364210395007</v>
      </c>
    </row>
    <row r="22" spans="1:3" ht="30" x14ac:dyDescent="0.2">
      <c r="A22" s="22" t="s">
        <v>16</v>
      </c>
      <c r="B22" s="25" t="s">
        <v>17</v>
      </c>
      <c r="C22" s="26">
        <f>[28]С5!F12</f>
        <v>112.58778010028344</v>
      </c>
    </row>
    <row r="23" spans="1:3" ht="43.5" thickBot="1" x14ac:dyDescent="0.25">
      <c r="A23" s="27" t="s">
        <v>18</v>
      </c>
      <c r="B23" s="140" t="s">
        <v>19</v>
      </c>
      <c r="C23" s="28" t="str">
        <f>[28]С6!F12</f>
        <v>-</v>
      </c>
    </row>
    <row r="24" spans="1:3" ht="13.5" thickBot="1" x14ac:dyDescent="0.25">
      <c r="A24" s="3"/>
    </row>
    <row r="25" spans="1:3" x14ac:dyDescent="0.2">
      <c r="A25" s="16" t="s">
        <v>4</v>
      </c>
      <c r="B25" s="29" t="s">
        <v>5</v>
      </c>
      <c r="C25" s="30" t="s">
        <v>6</v>
      </c>
    </row>
    <row r="26" spans="1:3" x14ac:dyDescent="0.2">
      <c r="A26" s="19">
        <v>1</v>
      </c>
      <c r="B26" s="31">
        <v>2</v>
      </c>
      <c r="C26" s="32">
        <v>3</v>
      </c>
    </row>
    <row r="27" spans="1:3" ht="39.75" customHeight="1" x14ac:dyDescent="0.2">
      <c r="A27" s="22">
        <v>1</v>
      </c>
      <c r="B27" s="144" t="s">
        <v>20</v>
      </c>
      <c r="C27" s="144"/>
    </row>
    <row r="28" spans="1:3" ht="128.25" customHeight="1" x14ac:dyDescent="0.2">
      <c r="A28" s="22" t="s">
        <v>8</v>
      </c>
      <c r="B28" s="33" t="s">
        <v>21</v>
      </c>
      <c r="C28" s="34">
        <f>[28]С1.1!E16</f>
        <v>5100</v>
      </c>
    </row>
    <row r="29" spans="1:3" ht="57.75" customHeight="1" x14ac:dyDescent="0.2">
      <c r="A29" s="22" t="s">
        <v>10</v>
      </c>
      <c r="B29" s="33" t="s">
        <v>22</v>
      </c>
      <c r="C29" s="34">
        <f>[28]С1.1!E27</f>
        <v>4519.17</v>
      </c>
    </row>
    <row r="30" spans="1:3" ht="261.75" customHeight="1" x14ac:dyDescent="0.2">
      <c r="A30" s="22" t="s">
        <v>12</v>
      </c>
      <c r="B30" s="33" t="s">
        <v>23</v>
      </c>
      <c r="C30" s="35">
        <f>[28]С1.1!E19</f>
        <v>-0.11899999999999999</v>
      </c>
    </row>
    <row r="31" spans="1:3" ht="17.25" x14ac:dyDescent="0.2">
      <c r="A31" s="22" t="s">
        <v>14</v>
      </c>
      <c r="B31" s="33" t="s">
        <v>24</v>
      </c>
      <c r="C31" s="35">
        <f>[28]С1.1!E20</f>
        <v>4.0000000000000001E-3</v>
      </c>
    </row>
    <row r="32" spans="1:3" ht="30" x14ac:dyDescent="0.2">
      <c r="A32" s="22" t="s">
        <v>16</v>
      </c>
      <c r="B32" s="36" t="s">
        <v>25</v>
      </c>
      <c r="C32" s="37">
        <f>[28]С1!F13</f>
        <v>176.4</v>
      </c>
    </row>
    <row r="33" spans="1:3" x14ac:dyDescent="0.2">
      <c r="A33" s="22" t="s">
        <v>18</v>
      </c>
      <c r="B33" s="36" t="s">
        <v>26</v>
      </c>
      <c r="C33" s="38">
        <f>[28]С1!F16</f>
        <v>7000</v>
      </c>
    </row>
    <row r="34" spans="1:3" ht="14.25" x14ac:dyDescent="0.2">
      <c r="A34" s="22" t="s">
        <v>27</v>
      </c>
      <c r="B34" s="39" t="s">
        <v>28</v>
      </c>
      <c r="C34" s="40">
        <f>[28]С1!F17</f>
        <v>0.72857142857142854</v>
      </c>
    </row>
    <row r="35" spans="1:3" ht="15.75" x14ac:dyDescent="0.2">
      <c r="A35" s="41" t="s">
        <v>29</v>
      </c>
      <c r="B35" s="42" t="s">
        <v>30</v>
      </c>
      <c r="C35" s="40">
        <f>[28]С1!F20</f>
        <v>21.588411179999994</v>
      </c>
    </row>
    <row r="36" spans="1:3" ht="15.75" x14ac:dyDescent="0.2">
      <c r="A36" s="41" t="s">
        <v>31</v>
      </c>
      <c r="B36" s="43" t="s">
        <v>32</v>
      </c>
      <c r="C36" s="40">
        <f>[28]С1!F21</f>
        <v>20.818139999999996</v>
      </c>
    </row>
    <row r="37" spans="1:3" ht="14.25" x14ac:dyDescent="0.2">
      <c r="A37" s="41" t="s">
        <v>33</v>
      </c>
      <c r="B37" s="44" t="s">
        <v>34</v>
      </c>
      <c r="C37" s="40">
        <f>[28]С1!F22</f>
        <v>1.0369999999999999</v>
      </c>
    </row>
    <row r="38" spans="1:3" ht="53.25" thickBot="1" x14ac:dyDescent="0.25">
      <c r="A38" s="27" t="s">
        <v>35</v>
      </c>
      <c r="B38" s="45" t="s">
        <v>36</v>
      </c>
      <c r="C38" s="46">
        <f>[28]С1!F23</f>
        <v>1.0469999999999999</v>
      </c>
    </row>
    <row r="39" spans="1:3" ht="13.5" thickBot="1" x14ac:dyDescent="0.25">
      <c r="A39" s="47"/>
      <c r="B39" s="48"/>
      <c r="C39" s="49"/>
    </row>
    <row r="40" spans="1:3" ht="30" customHeight="1" x14ac:dyDescent="0.2">
      <c r="A40" s="50" t="s">
        <v>37</v>
      </c>
      <c r="B40" s="145" t="s">
        <v>38</v>
      </c>
      <c r="C40" s="145"/>
    </row>
    <row r="41" spans="1:3" ht="25.5" x14ac:dyDescent="0.2">
      <c r="A41" s="22" t="s">
        <v>39</v>
      </c>
      <c r="B41" s="36" t="s">
        <v>40</v>
      </c>
      <c r="C41" s="51" t="str">
        <f>[28]С2.1!E12</f>
        <v>V</v>
      </c>
    </row>
    <row r="42" spans="1:3" ht="233.25" customHeight="1" x14ac:dyDescent="0.2">
      <c r="A42" s="22" t="s">
        <v>41</v>
      </c>
      <c r="B42" s="33" t="s">
        <v>42</v>
      </c>
      <c r="C42" s="51" t="str">
        <f>[28]С2.1!E13</f>
        <v>6 и менее баллов</v>
      </c>
    </row>
    <row r="43" spans="1:3" ht="144.75" customHeight="1" x14ac:dyDescent="0.2">
      <c r="A43" s="22" t="s">
        <v>43</v>
      </c>
      <c r="B43" s="33" t="s">
        <v>44</v>
      </c>
      <c r="C43" s="51" t="str">
        <f>[28]С2.1!E14</f>
        <v>от 200 до 500</v>
      </c>
    </row>
    <row r="44" spans="1:3" ht="25.5" x14ac:dyDescent="0.2">
      <c r="A44" s="22" t="s">
        <v>45</v>
      </c>
      <c r="B44" s="33" t="s">
        <v>46</v>
      </c>
      <c r="C44" s="52" t="str">
        <f>[28]С2.1!E15</f>
        <v>нет</v>
      </c>
    </row>
    <row r="45" spans="1:3" ht="30" x14ac:dyDescent="0.2">
      <c r="A45" s="22" t="s">
        <v>47</v>
      </c>
      <c r="B45" s="33" t="s">
        <v>48</v>
      </c>
      <c r="C45" s="34">
        <f>[28]С2!F18</f>
        <v>40220.845230503684</v>
      </c>
    </row>
    <row r="46" spans="1:3" ht="30" x14ac:dyDescent="0.2">
      <c r="A46" s="22" t="s">
        <v>49</v>
      </c>
      <c r="B46" s="53" t="s">
        <v>50</v>
      </c>
      <c r="C46" s="34">
        <f>IF([28]С2!F19&gt;0,[28]С2!F19,[28]С2!F20)</f>
        <v>23441.524932855718</v>
      </c>
    </row>
    <row r="47" spans="1:3" ht="46.5" customHeight="1" x14ac:dyDescent="0.2">
      <c r="A47" s="22" t="s">
        <v>51</v>
      </c>
      <c r="B47" s="54" t="s">
        <v>52</v>
      </c>
      <c r="C47" s="34">
        <f>[28]С2.1!E19</f>
        <v>-38</v>
      </c>
    </row>
    <row r="48" spans="1:3" ht="25.5" x14ac:dyDescent="0.2">
      <c r="A48" s="22" t="s">
        <v>53</v>
      </c>
      <c r="B48" s="54" t="s">
        <v>54</v>
      </c>
      <c r="C48" s="34" t="str">
        <f>[28]С2.1!E22</f>
        <v>нет</v>
      </c>
    </row>
    <row r="49" spans="1:3" ht="38.25" x14ac:dyDescent="0.2">
      <c r="A49" s="22" t="s">
        <v>55</v>
      </c>
      <c r="B49" s="55" t="s">
        <v>56</v>
      </c>
      <c r="C49" s="34">
        <f>[28]С2.2!E10</f>
        <v>1287</v>
      </c>
    </row>
    <row r="50" spans="1:3" ht="25.5" x14ac:dyDescent="0.2">
      <c r="A50" s="22" t="s">
        <v>57</v>
      </c>
      <c r="B50" s="56" t="s">
        <v>58</v>
      </c>
      <c r="C50" s="34">
        <f>[28]С2.2!E12</f>
        <v>5.97</v>
      </c>
    </row>
    <row r="51" spans="1:3" ht="52.5" x14ac:dyDescent="0.2">
      <c r="A51" s="22" t="s">
        <v>59</v>
      </c>
      <c r="B51" s="57" t="s">
        <v>60</v>
      </c>
      <c r="C51" s="34">
        <f>[28]С2.2!E13</f>
        <v>1</v>
      </c>
    </row>
    <row r="52" spans="1:3" ht="27.75" x14ac:dyDescent="0.2">
      <c r="A52" s="22" t="s">
        <v>61</v>
      </c>
      <c r="B52" s="56" t="s">
        <v>62</v>
      </c>
      <c r="C52" s="34">
        <f>[28]С2.2!E14</f>
        <v>12104</v>
      </c>
    </row>
    <row r="53" spans="1:3" ht="79.5" customHeight="1" x14ac:dyDescent="0.2">
      <c r="A53" s="22" t="s">
        <v>63</v>
      </c>
      <c r="B53" s="57" t="s">
        <v>64</v>
      </c>
      <c r="C53" s="35">
        <f>[28]С2.2!E15</f>
        <v>4.8000000000000001E-2</v>
      </c>
    </row>
    <row r="54" spans="1:3" x14ac:dyDescent="0.2">
      <c r="A54" s="22" t="s">
        <v>65</v>
      </c>
      <c r="B54" s="57" t="s">
        <v>66</v>
      </c>
      <c r="C54" s="34">
        <f>[28]С2.2!E16</f>
        <v>1</v>
      </c>
    </row>
    <row r="55" spans="1:3" ht="15.75" x14ac:dyDescent="0.2">
      <c r="A55" s="22" t="s">
        <v>67</v>
      </c>
      <c r="B55" s="58" t="s">
        <v>68</v>
      </c>
      <c r="C55" s="34">
        <f>[28]С2!F21</f>
        <v>1</v>
      </c>
    </row>
    <row r="56" spans="1:3" ht="30" x14ac:dyDescent="0.2">
      <c r="A56" s="59" t="s">
        <v>69</v>
      </c>
      <c r="B56" s="33" t="s">
        <v>70</v>
      </c>
      <c r="C56" s="34">
        <f>[28]С2!F13</f>
        <v>210571.60987470482</v>
      </c>
    </row>
    <row r="57" spans="1:3" ht="30" x14ac:dyDescent="0.2">
      <c r="A57" s="59" t="s">
        <v>71</v>
      </c>
      <c r="B57" s="58" t="s">
        <v>72</v>
      </c>
      <c r="C57" s="34">
        <f>[28]С2!F14</f>
        <v>113455</v>
      </c>
    </row>
    <row r="58" spans="1:3" ht="15.75" x14ac:dyDescent="0.2">
      <c r="A58" s="59" t="s">
        <v>73</v>
      </c>
      <c r="B58" s="60" t="s">
        <v>74</v>
      </c>
      <c r="C58" s="40">
        <f>[28]С2!F15</f>
        <v>1.071</v>
      </c>
    </row>
    <row r="59" spans="1:3" ht="15.75" x14ac:dyDescent="0.2">
      <c r="A59" s="59" t="s">
        <v>75</v>
      </c>
      <c r="B59" s="60" t="s">
        <v>76</v>
      </c>
      <c r="C59" s="40">
        <f>[28]С2!F16</f>
        <v>1</v>
      </c>
    </row>
    <row r="60" spans="1:3" ht="17.25" x14ac:dyDescent="0.2">
      <c r="A60" s="59" t="s">
        <v>77</v>
      </c>
      <c r="B60" s="58" t="s">
        <v>78</v>
      </c>
      <c r="C60" s="34">
        <f>[28]С2!F17</f>
        <v>1.01</v>
      </c>
    </row>
    <row r="61" spans="1:3" s="63" customFormat="1" ht="14.25" x14ac:dyDescent="0.2">
      <c r="A61" s="59" t="s">
        <v>79</v>
      </c>
      <c r="B61" s="61" t="s">
        <v>80</v>
      </c>
      <c r="C61" s="62">
        <f>[28]С2!F33</f>
        <v>10</v>
      </c>
    </row>
    <row r="62" spans="1:3" ht="30" x14ac:dyDescent="0.2">
      <c r="A62" s="59" t="s">
        <v>81</v>
      </c>
      <c r="B62" s="64" t="s">
        <v>82</v>
      </c>
      <c r="C62" s="34">
        <f>[28]С2!F26</f>
        <v>3185.880383940208</v>
      </c>
    </row>
    <row r="63" spans="1:3" ht="168" customHeight="1" x14ac:dyDescent="0.2">
      <c r="A63" s="59" t="s">
        <v>83</v>
      </c>
      <c r="B63" s="53" t="s">
        <v>84</v>
      </c>
      <c r="C63" s="34">
        <f>[28]С2!F27</f>
        <v>0.44209422600000003</v>
      </c>
    </row>
    <row r="64" spans="1:3" ht="17.25" x14ac:dyDescent="0.2">
      <c r="A64" s="59" t="s">
        <v>85</v>
      </c>
      <c r="B64" s="58" t="s">
        <v>86</v>
      </c>
      <c r="C64" s="62">
        <f>[28]С2!F28</f>
        <v>4200</v>
      </c>
    </row>
    <row r="65" spans="1:3" ht="42.75" x14ac:dyDescent="0.2">
      <c r="A65" s="59" t="s">
        <v>87</v>
      </c>
      <c r="B65" s="33" t="s">
        <v>88</v>
      </c>
      <c r="C65" s="34">
        <f>[28]С2!F22</f>
        <v>4298.6978080550834</v>
      </c>
    </row>
    <row r="66" spans="1:3" ht="30" x14ac:dyDescent="0.2">
      <c r="A66" s="59" t="s">
        <v>89</v>
      </c>
      <c r="B66" s="60" t="s">
        <v>90</v>
      </c>
      <c r="C66" s="34">
        <f>[28]С2!F23</f>
        <v>1990</v>
      </c>
    </row>
    <row r="67" spans="1:3" ht="30" x14ac:dyDescent="0.2">
      <c r="A67" s="59" t="s">
        <v>91</v>
      </c>
      <c r="B67" s="53" t="s">
        <v>92</v>
      </c>
      <c r="C67" s="34">
        <f>[28]С2.1!E27</f>
        <v>246.24401</v>
      </c>
    </row>
    <row r="68" spans="1:3" ht="73.5" customHeight="1" x14ac:dyDescent="0.2">
      <c r="A68" s="59" t="s">
        <v>93</v>
      </c>
      <c r="B68" s="65" t="s">
        <v>94</v>
      </c>
      <c r="C68" s="52" t="str">
        <f>[28]С2.3!E21</f>
        <v>Муниципальное унитарное предприятие города Куйбышева Куйбышевского района Новосибирской области "Горводоканал"</v>
      </c>
    </row>
    <row r="69" spans="1:3" ht="25.5" x14ac:dyDescent="0.2">
      <c r="A69" s="59" t="s">
        <v>95</v>
      </c>
      <c r="B69" s="66" t="s">
        <v>96</v>
      </c>
      <c r="C69" s="67">
        <f>[28]С2.3!E11</f>
        <v>9.89</v>
      </c>
    </row>
    <row r="70" spans="1:3" ht="25.5" x14ac:dyDescent="0.2">
      <c r="A70" s="59" t="s">
        <v>97</v>
      </c>
      <c r="B70" s="66" t="s">
        <v>98</v>
      </c>
      <c r="C70" s="62">
        <f>[28]С2.3!E13</f>
        <v>300</v>
      </c>
    </row>
    <row r="71" spans="1:3" ht="192.75" customHeight="1" x14ac:dyDescent="0.2">
      <c r="A71" s="59" t="s">
        <v>99</v>
      </c>
      <c r="B71" s="65" t="s">
        <v>100</v>
      </c>
      <c r="C71" s="68">
        <f>IF([28]С2.3!E22&gt;0,[28]С2.3!E22,[28]С2.3!E14)</f>
        <v>8809</v>
      </c>
    </row>
    <row r="72" spans="1:3" ht="192.75" customHeight="1" x14ac:dyDescent="0.2">
      <c r="A72" s="59" t="s">
        <v>101</v>
      </c>
      <c r="B72" s="65" t="s">
        <v>102</v>
      </c>
      <c r="C72" s="68">
        <f>IF([28]С2.3!E23&gt;0,[28]С2.3!E23,[28]С2.3!E15)</f>
        <v>530.41</v>
      </c>
    </row>
    <row r="73" spans="1:3" ht="30" x14ac:dyDescent="0.2">
      <c r="A73" s="59" t="s">
        <v>103</v>
      </c>
      <c r="B73" s="53" t="s">
        <v>104</v>
      </c>
      <c r="C73" s="34">
        <f>[28]С2.1!E28</f>
        <v>269.12432000000001</v>
      </c>
    </row>
    <row r="74" spans="1:3" ht="87" customHeight="1" x14ac:dyDescent="0.2">
      <c r="A74" s="59" t="s">
        <v>105</v>
      </c>
      <c r="B74" s="65" t="s">
        <v>106</v>
      </c>
      <c r="C74" s="52" t="str">
        <f>[28]С2.3!E25</f>
        <v>Муниципальное унитарное предприятие города Куйбышева Куйбышевского района Новосибирской области "Геострой"</v>
      </c>
    </row>
    <row r="75" spans="1:3" ht="25.5" x14ac:dyDescent="0.2">
      <c r="A75" s="59" t="s">
        <v>107</v>
      </c>
      <c r="B75" s="66" t="s">
        <v>108</v>
      </c>
      <c r="C75" s="67">
        <f>[28]С2.3!E12</f>
        <v>0.56000000000000005</v>
      </c>
    </row>
    <row r="76" spans="1:3" ht="25.5" x14ac:dyDescent="0.2">
      <c r="A76" s="59" t="s">
        <v>109</v>
      </c>
      <c r="B76" s="66" t="s">
        <v>98</v>
      </c>
      <c r="C76" s="62">
        <f>[28]С2.3!E13</f>
        <v>300</v>
      </c>
    </row>
    <row r="77" spans="1:3" ht="183" customHeight="1" x14ac:dyDescent="0.2">
      <c r="A77" s="59" t="s">
        <v>110</v>
      </c>
      <c r="B77" s="69" t="s">
        <v>111</v>
      </c>
      <c r="C77" s="68">
        <f>IF([28]С2.3!E26&gt;0,[28]С2.3!E26,[28]С2.3!E16)</f>
        <v>21397</v>
      </c>
    </row>
    <row r="78" spans="1:3" ht="186.75" customHeight="1" x14ac:dyDescent="0.2">
      <c r="A78" s="59" t="s">
        <v>112</v>
      </c>
      <c r="B78" s="69" t="s">
        <v>113</v>
      </c>
      <c r="C78" s="68">
        <f>IF([28]С2.3!E27&gt;0,[28]С2.3!E27,[28]С2.3!E17)</f>
        <v>857.14</v>
      </c>
    </row>
    <row r="79" spans="1:3" ht="17.25" x14ac:dyDescent="0.2">
      <c r="A79" s="59" t="s">
        <v>114</v>
      </c>
      <c r="B79" s="33" t="s">
        <v>115</v>
      </c>
      <c r="C79" s="35">
        <f>[28]С2!F29</f>
        <v>0.21369165990259753</v>
      </c>
    </row>
    <row r="80" spans="1:3" ht="30" x14ac:dyDescent="0.2">
      <c r="A80" s="59" t="s">
        <v>116</v>
      </c>
      <c r="B80" s="53" t="s">
        <v>117</v>
      </c>
      <c r="C80" s="70">
        <f>[28]С2!F30</f>
        <v>0.20047619047619047</v>
      </c>
    </row>
    <row r="81" spans="1:3" ht="17.25" x14ac:dyDescent="0.2">
      <c r="A81" s="59" t="s">
        <v>118</v>
      </c>
      <c r="B81" s="71" t="s">
        <v>119</v>
      </c>
      <c r="C81" s="35">
        <f>[28]С2!F31</f>
        <v>0.13880000000000001</v>
      </c>
    </row>
    <row r="82" spans="1:3" s="63" customFormat="1" ht="18" thickBot="1" x14ac:dyDescent="0.25">
      <c r="A82" s="72" t="s">
        <v>120</v>
      </c>
      <c r="B82" s="73" t="s">
        <v>121</v>
      </c>
      <c r="C82" s="74">
        <f>[28]С2!F32</f>
        <v>0.12640000000000001</v>
      </c>
    </row>
    <row r="83" spans="1:3" ht="13.5" thickBot="1" x14ac:dyDescent="0.25">
      <c r="A83" s="47"/>
      <c r="B83" s="75"/>
      <c r="C83" s="15"/>
    </row>
    <row r="84" spans="1:3" s="63" customFormat="1" ht="30" customHeight="1" x14ac:dyDescent="0.2">
      <c r="A84" s="76" t="s">
        <v>122</v>
      </c>
      <c r="B84" s="145" t="s">
        <v>123</v>
      </c>
      <c r="C84" s="145"/>
    </row>
    <row r="85" spans="1:3" s="63" customFormat="1" ht="30" x14ac:dyDescent="0.2">
      <c r="A85" s="77" t="s">
        <v>124</v>
      </c>
      <c r="B85" s="33" t="s">
        <v>125</v>
      </c>
      <c r="C85" s="34">
        <f>[28]С3!F14</f>
        <v>15827.997028730506</v>
      </c>
    </row>
    <row r="86" spans="1:3" s="63" customFormat="1" ht="42.75" x14ac:dyDescent="0.2">
      <c r="A86" s="77" t="s">
        <v>126</v>
      </c>
      <c r="B86" s="53" t="s">
        <v>127</v>
      </c>
      <c r="C86" s="78">
        <f>[28]С3!F15</f>
        <v>0.25</v>
      </c>
    </row>
    <row r="87" spans="1:3" s="63" customFormat="1" ht="14.25" x14ac:dyDescent="0.2">
      <c r="A87" s="77" t="s">
        <v>128</v>
      </c>
      <c r="B87" s="79" t="s">
        <v>129</v>
      </c>
      <c r="C87" s="62">
        <f>[28]С3!F18</f>
        <v>15</v>
      </c>
    </row>
    <row r="88" spans="1:3" s="63" customFormat="1" ht="17.25" x14ac:dyDescent="0.2">
      <c r="A88" s="77" t="s">
        <v>130</v>
      </c>
      <c r="B88" s="33" t="s">
        <v>131</v>
      </c>
      <c r="C88" s="34">
        <f>[28]С3!F19</f>
        <v>3741.3369093945325</v>
      </c>
    </row>
    <row r="89" spans="1:3" s="63" customFormat="1" ht="55.5" x14ac:dyDescent="0.2">
      <c r="A89" s="77" t="s">
        <v>132</v>
      </c>
      <c r="B89" s="53" t="s">
        <v>133</v>
      </c>
      <c r="C89" s="80">
        <f>[28]С3!F20</f>
        <v>2.1999999999999999E-2</v>
      </c>
    </row>
    <row r="90" spans="1:3" s="63" customFormat="1" ht="14.25" x14ac:dyDescent="0.2">
      <c r="A90" s="77" t="s">
        <v>134</v>
      </c>
      <c r="B90" s="58" t="s">
        <v>80</v>
      </c>
      <c r="C90" s="62">
        <f>[28]С3!F21</f>
        <v>10</v>
      </c>
    </row>
    <row r="91" spans="1:3" s="63" customFormat="1" ht="17.25" x14ac:dyDescent="0.2">
      <c r="A91" s="77" t="s">
        <v>135</v>
      </c>
      <c r="B91" s="33" t="s">
        <v>136</v>
      </c>
      <c r="C91" s="34">
        <f>[28]С3!F22</f>
        <v>9.5576411518206239</v>
      </c>
    </row>
    <row r="92" spans="1:3" s="63" customFormat="1" ht="57" customHeight="1" x14ac:dyDescent="0.2">
      <c r="A92" s="77" t="s">
        <v>137</v>
      </c>
      <c r="B92" s="53" t="s">
        <v>138</v>
      </c>
      <c r="C92" s="80">
        <f>[28]С3!F23</f>
        <v>3.0000000000000001E-3</v>
      </c>
    </row>
    <row r="93" spans="1:3" s="63" customFormat="1" ht="27.75" thickBot="1" x14ac:dyDescent="0.25">
      <c r="A93" s="81" t="s">
        <v>139</v>
      </c>
      <c r="B93" s="82" t="s">
        <v>140</v>
      </c>
      <c r="C93" s="83">
        <f>[28]С3!F24</f>
        <v>3185.880383940208</v>
      </c>
    </row>
    <row r="94" spans="1:3" ht="13.5" thickBot="1" x14ac:dyDescent="0.25">
      <c r="A94" s="47"/>
      <c r="B94" s="75"/>
      <c r="C94" s="15"/>
    </row>
    <row r="95" spans="1:3" ht="30" customHeight="1" x14ac:dyDescent="0.2">
      <c r="A95" s="84" t="s">
        <v>141</v>
      </c>
      <c r="B95" s="145" t="s">
        <v>142</v>
      </c>
      <c r="C95" s="145"/>
    </row>
    <row r="96" spans="1:3" ht="30" x14ac:dyDescent="0.2">
      <c r="A96" s="59" t="s">
        <v>143</v>
      </c>
      <c r="B96" s="33" t="s">
        <v>144</v>
      </c>
      <c r="C96" s="34">
        <f>[28]С4!F16</f>
        <v>1652.5</v>
      </c>
    </row>
    <row r="97" spans="1:3" ht="30" x14ac:dyDescent="0.2">
      <c r="A97" s="59" t="s">
        <v>145</v>
      </c>
      <c r="B97" s="58" t="s">
        <v>146</v>
      </c>
      <c r="C97" s="34">
        <f>[28]С4!F17</f>
        <v>73547</v>
      </c>
    </row>
    <row r="98" spans="1:3" ht="17.25" x14ac:dyDescent="0.2">
      <c r="A98" s="59" t="s">
        <v>147</v>
      </c>
      <c r="B98" s="58" t="s">
        <v>148</v>
      </c>
      <c r="C98" s="40">
        <f>[28]С4!F18</f>
        <v>0.02</v>
      </c>
    </row>
    <row r="99" spans="1:3" ht="30" x14ac:dyDescent="0.2">
      <c r="A99" s="59" t="s">
        <v>149</v>
      </c>
      <c r="B99" s="58" t="s">
        <v>150</v>
      </c>
      <c r="C99" s="34">
        <f>[28]С4!F19</f>
        <v>12104</v>
      </c>
    </row>
    <row r="100" spans="1:3" ht="31.5" x14ac:dyDescent="0.2">
      <c r="A100" s="59" t="s">
        <v>151</v>
      </c>
      <c r="B100" s="58" t="s">
        <v>152</v>
      </c>
      <c r="C100" s="40">
        <f>[28]С4!F20</f>
        <v>1.4999999999999999E-2</v>
      </c>
    </row>
    <row r="101" spans="1:3" ht="30" x14ac:dyDescent="0.2">
      <c r="A101" s="59" t="s">
        <v>153</v>
      </c>
      <c r="B101" s="33" t="s">
        <v>154</v>
      </c>
      <c r="C101" s="34">
        <f>[28]С4!F21</f>
        <v>1933.1949342509995</v>
      </c>
    </row>
    <row r="102" spans="1:3" ht="35.25" customHeight="1" x14ac:dyDescent="0.2">
      <c r="A102" s="59" t="s">
        <v>155</v>
      </c>
      <c r="B102" s="53" t="s">
        <v>156</v>
      </c>
      <c r="C102" s="85" t="str">
        <f>IF([28]С4.2!F8="да",[28]С4.2!D21,[28]С4.2!D15)</f>
        <v>АО "Новосибирскэнергосбыт"</v>
      </c>
    </row>
    <row r="103" spans="1:3" ht="68.25" x14ac:dyDescent="0.2">
      <c r="A103" s="59" t="s">
        <v>157</v>
      </c>
      <c r="B103" s="53" t="s">
        <v>158</v>
      </c>
      <c r="C103" s="34">
        <f>[28]С4!F22</f>
        <v>3.6112641666666665</v>
      </c>
    </row>
    <row r="104" spans="1:3" ht="30" x14ac:dyDescent="0.2">
      <c r="A104" s="59" t="s">
        <v>159</v>
      </c>
      <c r="B104" s="58" t="s">
        <v>160</v>
      </c>
      <c r="C104" s="34">
        <f>[28]С4!F23</f>
        <v>180</v>
      </c>
    </row>
    <row r="105" spans="1:3" ht="14.25" x14ac:dyDescent="0.2">
      <c r="A105" s="59" t="s">
        <v>161</v>
      </c>
      <c r="B105" s="53" t="s">
        <v>162</v>
      </c>
      <c r="C105" s="34">
        <f>[28]С4!F24</f>
        <v>8497.1999999999989</v>
      </c>
    </row>
    <row r="106" spans="1:3" ht="14.25" x14ac:dyDescent="0.2">
      <c r="A106" s="59" t="s">
        <v>163</v>
      </c>
      <c r="B106" s="58" t="s">
        <v>164</v>
      </c>
      <c r="C106" s="40">
        <f>[28]С4!F25</f>
        <v>0.35</v>
      </c>
    </row>
    <row r="107" spans="1:3" ht="17.25" x14ac:dyDescent="0.2">
      <c r="A107" s="59" t="s">
        <v>165</v>
      </c>
      <c r="B107" s="33" t="s">
        <v>166</v>
      </c>
      <c r="C107" s="34">
        <f>[28]С4!F26</f>
        <v>55.034579999999998</v>
      </c>
    </row>
    <row r="108" spans="1:3" ht="75.75" customHeight="1" x14ac:dyDescent="0.2">
      <c r="A108" s="59" t="s">
        <v>167</v>
      </c>
      <c r="B108" s="53" t="s">
        <v>94</v>
      </c>
      <c r="C108" s="85">
        <f>[28]С4.3!E16</f>
        <v>0</v>
      </c>
    </row>
    <row r="109" spans="1:3" ht="25.5" x14ac:dyDescent="0.2">
      <c r="A109" s="59" t="s">
        <v>168</v>
      </c>
      <c r="B109" s="53" t="s">
        <v>169</v>
      </c>
      <c r="C109" s="34">
        <f>[28]С4.3!E17</f>
        <v>13.9</v>
      </c>
    </row>
    <row r="110" spans="1:3" ht="79.5" customHeight="1" x14ac:dyDescent="0.2">
      <c r="A110" s="59" t="s">
        <v>170</v>
      </c>
      <c r="B110" s="53" t="s">
        <v>106</v>
      </c>
      <c r="C110" s="85">
        <f>[28]С4.3!E18</f>
        <v>0</v>
      </c>
    </row>
    <row r="111" spans="1:3" x14ac:dyDescent="0.2">
      <c r="A111" s="59" t="s">
        <v>171</v>
      </c>
      <c r="B111" s="53" t="s">
        <v>172</v>
      </c>
      <c r="C111" s="34">
        <f>[28]С4.3!E19</f>
        <v>30.82</v>
      </c>
    </row>
    <row r="112" spans="1:3" x14ac:dyDescent="0.2">
      <c r="A112" s="59" t="s">
        <v>173</v>
      </c>
      <c r="B112" s="58" t="s">
        <v>174</v>
      </c>
      <c r="C112" s="34">
        <f>[28]С4.3!E11</f>
        <v>1871</v>
      </c>
    </row>
    <row r="113" spans="1:3" x14ac:dyDescent="0.2">
      <c r="A113" s="59" t="s">
        <v>175</v>
      </c>
      <c r="B113" s="58" t="s">
        <v>176</v>
      </c>
      <c r="C113" s="52">
        <f>[28]С4.3!E12</f>
        <v>1636</v>
      </c>
    </row>
    <row r="114" spans="1:3" x14ac:dyDescent="0.2">
      <c r="A114" s="59" t="s">
        <v>177</v>
      </c>
      <c r="B114" s="58" t="s">
        <v>178</v>
      </c>
      <c r="C114" s="52">
        <f>[28]С4.3!E13</f>
        <v>204</v>
      </c>
    </row>
    <row r="115" spans="1:3" ht="30" x14ac:dyDescent="0.2">
      <c r="A115" s="59" t="s">
        <v>179</v>
      </c>
      <c r="B115" s="33" t="s">
        <v>180</v>
      </c>
      <c r="C115" s="34">
        <f>[28]С4!F27</f>
        <v>1291.2863994686898</v>
      </c>
    </row>
    <row r="116" spans="1:3" ht="25.5" x14ac:dyDescent="0.2">
      <c r="A116" s="59" t="s">
        <v>181</v>
      </c>
      <c r="B116" s="53" t="s">
        <v>182</v>
      </c>
      <c r="C116" s="34">
        <f>[28]С4!F28</f>
        <v>991.77142816335618</v>
      </c>
    </row>
    <row r="117" spans="1:3" ht="42.75" x14ac:dyDescent="0.2">
      <c r="A117" s="59" t="s">
        <v>183</v>
      </c>
      <c r="B117" s="53" t="s">
        <v>184</v>
      </c>
      <c r="C117" s="34">
        <f>[28]С4!F29</f>
        <v>299.51497130533357</v>
      </c>
    </row>
    <row r="118" spans="1:3" ht="30" x14ac:dyDescent="0.2">
      <c r="A118" s="59" t="s">
        <v>185</v>
      </c>
      <c r="B118" s="39" t="s">
        <v>186</v>
      </c>
      <c r="C118" s="34">
        <f>[28]С4!F30</f>
        <v>2786.4144344948131</v>
      </c>
    </row>
    <row r="119" spans="1:3" ht="42.75" x14ac:dyDescent="0.2">
      <c r="A119" s="59" t="s">
        <v>187</v>
      </c>
      <c r="B119" s="86" t="s">
        <v>188</v>
      </c>
      <c r="C119" s="34">
        <f>[28]С4!F33</f>
        <v>1550.2017920524227</v>
      </c>
    </row>
    <row r="120" spans="1:3" ht="30" x14ac:dyDescent="0.2">
      <c r="A120" s="59" t="s">
        <v>189</v>
      </c>
      <c r="B120" s="87" t="s">
        <v>190</v>
      </c>
      <c r="C120" s="34">
        <f>[28]С4!F35</f>
        <v>18.902267999999999</v>
      </c>
    </row>
    <row r="121" spans="1:3" ht="14.25" x14ac:dyDescent="0.2">
      <c r="A121" s="59" t="s">
        <v>191</v>
      </c>
      <c r="B121" s="56" t="s">
        <v>192</v>
      </c>
      <c r="C121" s="34">
        <f>[28]С4!F36</f>
        <v>14319.9</v>
      </c>
    </row>
    <row r="122" spans="1:3" ht="43.5" customHeight="1" thickBot="1" x14ac:dyDescent="0.25">
      <c r="A122" s="72" t="s">
        <v>193</v>
      </c>
      <c r="B122" s="88" t="s">
        <v>194</v>
      </c>
      <c r="C122" s="83">
        <f>[28]С4!F37</f>
        <v>1.32</v>
      </c>
    </row>
    <row r="123" spans="1:3" s="89" customFormat="1" ht="13.5" thickBot="1" x14ac:dyDescent="0.25">
      <c r="A123" s="47"/>
      <c r="B123" s="75"/>
      <c r="C123" s="15"/>
    </row>
    <row r="124" spans="1:3" s="63" customFormat="1" ht="30" customHeight="1" x14ac:dyDescent="0.2">
      <c r="A124" s="76" t="s">
        <v>195</v>
      </c>
      <c r="B124" s="145" t="s">
        <v>196</v>
      </c>
      <c r="C124" s="145"/>
    </row>
    <row r="125" spans="1:3" ht="16.5" thickBot="1" x14ac:dyDescent="0.25">
      <c r="A125" s="27" t="s">
        <v>197</v>
      </c>
      <c r="B125" s="90" t="s">
        <v>198</v>
      </c>
      <c r="C125" s="83">
        <f>[28]С5!F17</f>
        <v>0.02</v>
      </c>
    </row>
    <row r="126" spans="1:3" s="89" customFormat="1" ht="13.5" thickBot="1" x14ac:dyDescent="0.25">
      <c r="A126" s="47"/>
      <c r="B126" s="75"/>
      <c r="C126" s="15"/>
    </row>
    <row r="127" spans="1:3" ht="42.75" customHeight="1" x14ac:dyDescent="0.2">
      <c r="A127" s="84" t="s">
        <v>199</v>
      </c>
      <c r="B127" s="146" t="s">
        <v>200</v>
      </c>
      <c r="C127" s="146"/>
    </row>
    <row r="128" spans="1:3" ht="68.25" x14ac:dyDescent="0.2">
      <c r="A128" s="59" t="s">
        <v>201</v>
      </c>
      <c r="B128" s="91" t="s">
        <v>202</v>
      </c>
      <c r="C128" s="34" t="s">
        <v>203</v>
      </c>
    </row>
    <row r="129" spans="1:3" ht="42.75" hidden="1" x14ac:dyDescent="0.2">
      <c r="A129" s="59" t="s">
        <v>204</v>
      </c>
      <c r="B129" s="86" t="s">
        <v>205</v>
      </c>
      <c r="C129" s="92"/>
    </row>
    <row r="130" spans="1:3" ht="69" thickBot="1" x14ac:dyDescent="0.25">
      <c r="A130" s="72" t="s">
        <v>206</v>
      </c>
      <c r="B130" s="93" t="s">
        <v>207</v>
      </c>
      <c r="C130" s="94" t="s">
        <v>203</v>
      </c>
    </row>
    <row r="131" spans="1:3" ht="62.25" hidden="1" customHeight="1" x14ac:dyDescent="0.2">
      <c r="A131" s="95" t="s">
        <v>208</v>
      </c>
      <c r="B131" s="96" t="s">
        <v>209</v>
      </c>
      <c r="C131" s="97"/>
    </row>
    <row r="132" spans="1:3" ht="68.25" hidden="1" x14ac:dyDescent="0.2">
      <c r="A132" s="59" t="s">
        <v>210</v>
      </c>
      <c r="B132" s="86" t="s">
        <v>211</v>
      </c>
      <c r="C132" s="35"/>
    </row>
    <row r="133" spans="1:3" ht="69" hidden="1" thickBot="1" x14ac:dyDescent="0.25">
      <c r="A133" s="72" t="s">
        <v>212</v>
      </c>
      <c r="B133" s="98" t="s">
        <v>213</v>
      </c>
      <c r="C133" s="74"/>
    </row>
    <row r="134" spans="1:3" s="89" customFormat="1" ht="13.5" thickBot="1" x14ac:dyDescent="0.25">
      <c r="A134" s="47"/>
      <c r="B134" s="75"/>
      <c r="C134" s="15"/>
    </row>
    <row r="135" spans="1:3" ht="26.25" customHeight="1" x14ac:dyDescent="0.2">
      <c r="A135" s="84" t="s">
        <v>214</v>
      </c>
      <c r="B135" s="99" t="s">
        <v>215</v>
      </c>
      <c r="C135" s="100">
        <f>[28]С2!F37</f>
        <v>20.818139999999996</v>
      </c>
    </row>
    <row r="136" spans="1:3" ht="14.25" x14ac:dyDescent="0.2">
      <c r="A136" s="59" t="s">
        <v>216</v>
      </c>
      <c r="B136" s="101" t="s">
        <v>217</v>
      </c>
      <c r="C136" s="34">
        <f>[28]С2!F38</f>
        <v>7</v>
      </c>
    </row>
    <row r="137" spans="1:3" ht="17.25" x14ac:dyDescent="0.2">
      <c r="A137" s="59" t="s">
        <v>218</v>
      </c>
      <c r="B137" s="101" t="s">
        <v>219</v>
      </c>
      <c r="C137" s="34">
        <f>[28]С2!F40</f>
        <v>0.97</v>
      </c>
    </row>
    <row r="138" spans="1:3" ht="15" thickBot="1" x14ac:dyDescent="0.25">
      <c r="A138" s="72" t="s">
        <v>220</v>
      </c>
      <c r="B138" s="102" t="s">
        <v>221</v>
      </c>
      <c r="C138" s="46">
        <f>[28]С2!F42</f>
        <v>0.35</v>
      </c>
    </row>
    <row r="139" spans="1:3" s="89" customFormat="1" ht="13.5" thickBot="1" x14ac:dyDescent="0.25">
      <c r="A139" s="47"/>
      <c r="B139" s="75"/>
      <c r="C139" s="15"/>
    </row>
    <row r="140" spans="1:3" ht="30" x14ac:dyDescent="0.2">
      <c r="A140" s="84" t="s">
        <v>222</v>
      </c>
      <c r="B140" s="103" t="s">
        <v>223</v>
      </c>
      <c r="C140" s="104">
        <f>[28]С2!F35</f>
        <v>1.7157947422665329</v>
      </c>
    </row>
    <row r="141" spans="1:3" ht="22.7" customHeight="1" thickBot="1" x14ac:dyDescent="0.25">
      <c r="A141" s="72" t="s">
        <v>224</v>
      </c>
      <c r="B141" s="141" t="s">
        <v>225</v>
      </c>
      <c r="C141" s="141"/>
    </row>
    <row r="142" spans="1:3" ht="13.5" thickBot="1" x14ac:dyDescent="0.25">
      <c r="A142" s="105"/>
      <c r="B142" s="106" t="s">
        <v>226</v>
      </c>
      <c r="C142" s="107"/>
    </row>
    <row r="143" spans="1:3" x14ac:dyDescent="0.2">
      <c r="A143" s="105"/>
      <c r="B143" s="108">
        <v>2020</v>
      </c>
      <c r="C143" s="109">
        <f>[28]С2.5!$E$11</f>
        <v>-2.9000000000000026E-2</v>
      </c>
    </row>
    <row r="144" spans="1:3" x14ac:dyDescent="0.2">
      <c r="A144" s="105"/>
      <c r="B144" s="110">
        <f>B143+1</f>
        <v>2021</v>
      </c>
      <c r="C144" s="111">
        <f>[28]С2.5!$F$11</f>
        <v>0.245</v>
      </c>
    </row>
    <row r="145" spans="1:3" x14ac:dyDescent="0.2">
      <c r="A145" s="105"/>
      <c r="B145" s="110">
        <f t="shared" ref="B145:B208" si="0">B144+1</f>
        <v>2022</v>
      </c>
      <c r="C145" s="111">
        <f>[28]С2.5!$G$11</f>
        <v>0.114</v>
      </c>
    </row>
    <row r="146" spans="1:3" ht="13.5" thickBot="1" x14ac:dyDescent="0.25">
      <c r="A146" s="105"/>
      <c r="B146" s="112">
        <f t="shared" si="0"/>
        <v>2023</v>
      </c>
      <c r="C146" s="113">
        <f>[28]С2.5!$H$11</f>
        <v>0.04</v>
      </c>
    </row>
    <row r="147" spans="1:3" x14ac:dyDescent="0.2">
      <c r="A147" s="105"/>
      <c r="B147" s="114">
        <f t="shared" si="0"/>
        <v>2024</v>
      </c>
      <c r="C147" s="115">
        <f>[28]С2.5!$I$11</f>
        <v>0.121</v>
      </c>
    </row>
    <row r="148" spans="1:3" x14ac:dyDescent="0.2">
      <c r="A148" s="105"/>
      <c r="B148" s="110">
        <f t="shared" si="0"/>
        <v>2025</v>
      </c>
      <c r="C148" s="111">
        <f>[28]С2.5!$J$11</f>
        <v>0.03</v>
      </c>
    </row>
    <row r="149" spans="1:3" x14ac:dyDescent="0.2">
      <c r="A149" s="105"/>
      <c r="B149" s="110">
        <f t="shared" si="0"/>
        <v>2026</v>
      </c>
      <c r="C149" s="111">
        <f>[28]С2.5!$K$11</f>
        <v>6.0999999999999999E-2</v>
      </c>
    </row>
    <row r="150" spans="1:3" hidden="1" x14ac:dyDescent="0.2">
      <c r="A150" s="105"/>
      <c r="B150" s="110">
        <f t="shared" si="0"/>
        <v>2027</v>
      </c>
      <c r="C150" s="111">
        <f>[28]С2.5!$L$11</f>
        <v>3.2682303599220003E-2</v>
      </c>
    </row>
    <row r="151" spans="1:3" hidden="1" x14ac:dyDescent="0.2">
      <c r="A151" s="105"/>
      <c r="B151" s="110">
        <f t="shared" si="0"/>
        <v>2028</v>
      </c>
      <c r="C151" s="111">
        <f>[28]С2.5!$M$11</f>
        <v>0</v>
      </c>
    </row>
    <row r="152" spans="1:3" hidden="1" x14ac:dyDescent="0.2">
      <c r="A152" s="105"/>
      <c r="B152" s="110">
        <f t="shared" si="0"/>
        <v>2029</v>
      </c>
      <c r="C152" s="111">
        <f>[28]С2.5!$N$11</f>
        <v>0</v>
      </c>
    </row>
    <row r="153" spans="1:3" hidden="1" x14ac:dyDescent="0.2">
      <c r="A153" s="105"/>
      <c r="B153" s="110">
        <f t="shared" si="0"/>
        <v>2030</v>
      </c>
      <c r="C153" s="111">
        <f>[28]С2.5!$O$11</f>
        <v>0</v>
      </c>
    </row>
    <row r="154" spans="1:3" hidden="1" x14ac:dyDescent="0.2">
      <c r="A154" s="105"/>
      <c r="B154" s="110">
        <f t="shared" si="0"/>
        <v>2031</v>
      </c>
      <c r="C154" s="111">
        <f>[28]С2.5!$P$11</f>
        <v>0</v>
      </c>
    </row>
    <row r="155" spans="1:3" hidden="1" x14ac:dyDescent="0.2">
      <c r="A155" s="89"/>
      <c r="B155" s="110">
        <f t="shared" si="0"/>
        <v>2032</v>
      </c>
      <c r="C155" s="111">
        <f>[28]С2.5!$Q$11</f>
        <v>0</v>
      </c>
    </row>
    <row r="156" spans="1:3" hidden="1" x14ac:dyDescent="0.2">
      <c r="A156" s="89"/>
      <c r="B156" s="110">
        <f t="shared" si="0"/>
        <v>2033</v>
      </c>
      <c r="C156" s="111">
        <f>[28]С2.5!$R$11</f>
        <v>0</v>
      </c>
    </row>
    <row r="157" spans="1:3" hidden="1" x14ac:dyDescent="0.2">
      <c r="B157" s="110">
        <f t="shared" si="0"/>
        <v>2034</v>
      </c>
      <c r="C157" s="111">
        <f>[28]С2.5!$S$11</f>
        <v>0</v>
      </c>
    </row>
    <row r="158" spans="1:3" hidden="1" x14ac:dyDescent="0.2">
      <c r="B158" s="110">
        <f t="shared" si="0"/>
        <v>2035</v>
      </c>
      <c r="C158" s="111">
        <f>[28]С2.5!$T$11</f>
        <v>0</v>
      </c>
    </row>
    <row r="159" spans="1:3" hidden="1" x14ac:dyDescent="0.2">
      <c r="B159" s="110">
        <f t="shared" si="0"/>
        <v>2036</v>
      </c>
      <c r="C159" s="111">
        <f>[28]С2.5!$U$11</f>
        <v>0</v>
      </c>
    </row>
    <row r="160" spans="1:3" hidden="1" x14ac:dyDescent="0.2">
      <c r="B160" s="110">
        <f t="shared" si="0"/>
        <v>2037</v>
      </c>
      <c r="C160" s="111">
        <f>[28]С2.5!$V$11</f>
        <v>0</v>
      </c>
    </row>
    <row r="161" spans="2:3" hidden="1" x14ac:dyDescent="0.2">
      <c r="B161" s="110">
        <f t="shared" si="0"/>
        <v>2038</v>
      </c>
      <c r="C161" s="111">
        <f>[28]С2.5!$W$11</f>
        <v>0</v>
      </c>
    </row>
    <row r="162" spans="2:3" hidden="1" x14ac:dyDescent="0.2">
      <c r="B162" s="110">
        <f t="shared" si="0"/>
        <v>2039</v>
      </c>
      <c r="C162" s="111">
        <f>[28]С2.5!$X$11</f>
        <v>0</v>
      </c>
    </row>
    <row r="163" spans="2:3" hidden="1" x14ac:dyDescent="0.2">
      <c r="B163" s="110">
        <f t="shared" si="0"/>
        <v>2040</v>
      </c>
      <c r="C163" s="111">
        <f>[28]С2.5!$Y$11</f>
        <v>0</v>
      </c>
    </row>
    <row r="164" spans="2:3" hidden="1" x14ac:dyDescent="0.2">
      <c r="B164" s="110">
        <f t="shared" si="0"/>
        <v>2041</v>
      </c>
      <c r="C164" s="111">
        <f>[28]С2.5!$Z$11</f>
        <v>0</v>
      </c>
    </row>
    <row r="165" spans="2:3" hidden="1" x14ac:dyDescent="0.2">
      <c r="B165" s="110">
        <f t="shared" si="0"/>
        <v>2042</v>
      </c>
      <c r="C165" s="111">
        <f>[28]С2.5!$AA$11</f>
        <v>0</v>
      </c>
    </row>
    <row r="166" spans="2:3" hidden="1" x14ac:dyDescent="0.2">
      <c r="B166" s="110">
        <f t="shared" si="0"/>
        <v>2043</v>
      </c>
      <c r="C166" s="111">
        <f>[28]С2.5!$AB$11</f>
        <v>0</v>
      </c>
    </row>
    <row r="167" spans="2:3" hidden="1" x14ac:dyDescent="0.2">
      <c r="B167" s="110">
        <f t="shared" si="0"/>
        <v>2044</v>
      </c>
      <c r="C167" s="111">
        <f>[28]С2.5!$AC$11</f>
        <v>0</v>
      </c>
    </row>
    <row r="168" spans="2:3" hidden="1" x14ac:dyDescent="0.2">
      <c r="B168" s="110">
        <f t="shared" si="0"/>
        <v>2045</v>
      </c>
      <c r="C168" s="111">
        <f>[28]С2.5!$AD$11</f>
        <v>0</v>
      </c>
    </row>
    <row r="169" spans="2:3" hidden="1" x14ac:dyDescent="0.2">
      <c r="B169" s="110">
        <f t="shared" si="0"/>
        <v>2046</v>
      </c>
      <c r="C169" s="111">
        <f>[28]С2.5!$AE$11</f>
        <v>0</v>
      </c>
    </row>
    <row r="170" spans="2:3" hidden="1" x14ac:dyDescent="0.2">
      <c r="B170" s="110">
        <f t="shared" si="0"/>
        <v>2047</v>
      </c>
      <c r="C170" s="111">
        <f>[28]С2.5!$AF$11</f>
        <v>0</v>
      </c>
    </row>
    <row r="171" spans="2:3" hidden="1" x14ac:dyDescent="0.2">
      <c r="B171" s="110">
        <f t="shared" si="0"/>
        <v>2048</v>
      </c>
      <c r="C171" s="111">
        <f>[28]С2.5!$AG$11</f>
        <v>0</v>
      </c>
    </row>
    <row r="172" spans="2:3" hidden="1" x14ac:dyDescent="0.2">
      <c r="B172" s="110">
        <f t="shared" si="0"/>
        <v>2049</v>
      </c>
      <c r="C172" s="111">
        <f>[28]С2.5!$AH$11</f>
        <v>0</v>
      </c>
    </row>
    <row r="173" spans="2:3" hidden="1" x14ac:dyDescent="0.2">
      <c r="B173" s="110">
        <f t="shared" si="0"/>
        <v>2050</v>
      </c>
      <c r="C173" s="111">
        <f>[28]С2.5!$AI$11</f>
        <v>0</v>
      </c>
    </row>
    <row r="174" spans="2:3" hidden="1" x14ac:dyDescent="0.2">
      <c r="B174" s="110">
        <f t="shared" si="0"/>
        <v>2051</v>
      </c>
      <c r="C174" s="111">
        <f>[28]С2.5!$AJ$11</f>
        <v>0</v>
      </c>
    </row>
    <row r="175" spans="2:3" hidden="1" x14ac:dyDescent="0.2">
      <c r="B175" s="110">
        <f t="shared" si="0"/>
        <v>2052</v>
      </c>
      <c r="C175" s="111">
        <f>[28]С2.5!$AK$11</f>
        <v>0</v>
      </c>
    </row>
    <row r="176" spans="2:3" hidden="1" x14ac:dyDescent="0.2">
      <c r="B176" s="110">
        <f t="shared" si="0"/>
        <v>2053</v>
      </c>
      <c r="C176" s="111">
        <f>[28]С2.5!$AL$11</f>
        <v>0</v>
      </c>
    </row>
    <row r="177" spans="2:3" hidden="1" x14ac:dyDescent="0.2">
      <c r="B177" s="110">
        <f t="shared" si="0"/>
        <v>2054</v>
      </c>
      <c r="C177" s="111">
        <f>[28]С2.5!$AM$11</f>
        <v>0</v>
      </c>
    </row>
    <row r="178" spans="2:3" hidden="1" x14ac:dyDescent="0.2">
      <c r="B178" s="110">
        <f t="shared" si="0"/>
        <v>2055</v>
      </c>
      <c r="C178" s="111">
        <f>[28]С2.5!$AN$11</f>
        <v>0</v>
      </c>
    </row>
    <row r="179" spans="2:3" hidden="1" x14ac:dyDescent="0.2">
      <c r="B179" s="110">
        <f t="shared" si="0"/>
        <v>2056</v>
      </c>
      <c r="C179" s="111">
        <f>[28]С2.5!$AO$11</f>
        <v>0</v>
      </c>
    </row>
    <row r="180" spans="2:3" hidden="1" x14ac:dyDescent="0.2">
      <c r="B180" s="110">
        <f t="shared" si="0"/>
        <v>2057</v>
      </c>
      <c r="C180" s="111">
        <f>[28]С2.5!$AP$11</f>
        <v>0</v>
      </c>
    </row>
    <row r="181" spans="2:3" hidden="1" x14ac:dyDescent="0.2">
      <c r="B181" s="110">
        <f t="shared" si="0"/>
        <v>2058</v>
      </c>
      <c r="C181" s="111">
        <f>[28]С2.5!$AQ$11</f>
        <v>0</v>
      </c>
    </row>
    <row r="182" spans="2:3" hidden="1" x14ac:dyDescent="0.2">
      <c r="B182" s="110">
        <f t="shared" si="0"/>
        <v>2059</v>
      </c>
      <c r="C182" s="111">
        <f>[28]С2.5!$AR$11</f>
        <v>0</v>
      </c>
    </row>
    <row r="183" spans="2:3" hidden="1" x14ac:dyDescent="0.2">
      <c r="B183" s="110">
        <f t="shared" si="0"/>
        <v>2060</v>
      </c>
      <c r="C183" s="111">
        <f>[28]С2.5!$AS$11</f>
        <v>0</v>
      </c>
    </row>
    <row r="184" spans="2:3" hidden="1" x14ac:dyDescent="0.2">
      <c r="B184" s="110">
        <f t="shared" si="0"/>
        <v>2061</v>
      </c>
      <c r="C184" s="111">
        <f>[28]С2.5!$AT$11</f>
        <v>0</v>
      </c>
    </row>
    <row r="185" spans="2:3" hidden="1" x14ac:dyDescent="0.2">
      <c r="B185" s="110">
        <f t="shared" si="0"/>
        <v>2062</v>
      </c>
      <c r="C185" s="111">
        <f>[28]С2.5!$AU$11</f>
        <v>0</v>
      </c>
    </row>
    <row r="186" spans="2:3" hidden="1" x14ac:dyDescent="0.2">
      <c r="B186" s="110">
        <f t="shared" si="0"/>
        <v>2063</v>
      </c>
      <c r="C186" s="111">
        <f>[28]С2.5!$AV$11</f>
        <v>0</v>
      </c>
    </row>
    <row r="187" spans="2:3" hidden="1" x14ac:dyDescent="0.2">
      <c r="B187" s="110">
        <f t="shared" si="0"/>
        <v>2064</v>
      </c>
      <c r="C187" s="111">
        <f>[28]С2.5!$AW$11</f>
        <v>0</v>
      </c>
    </row>
    <row r="188" spans="2:3" hidden="1" x14ac:dyDescent="0.2">
      <c r="B188" s="110">
        <f t="shared" si="0"/>
        <v>2065</v>
      </c>
      <c r="C188" s="111">
        <f>[28]С2.5!$AX$11</f>
        <v>0</v>
      </c>
    </row>
    <row r="189" spans="2:3" hidden="1" x14ac:dyDescent="0.2">
      <c r="B189" s="110">
        <f t="shared" si="0"/>
        <v>2066</v>
      </c>
      <c r="C189" s="111">
        <f>[28]С2.5!$AY$11</f>
        <v>0</v>
      </c>
    </row>
    <row r="190" spans="2:3" hidden="1" x14ac:dyDescent="0.2">
      <c r="B190" s="110">
        <f t="shared" si="0"/>
        <v>2067</v>
      </c>
      <c r="C190" s="111">
        <f>[28]С2.5!$AZ$11</f>
        <v>0</v>
      </c>
    </row>
    <row r="191" spans="2:3" hidden="1" x14ac:dyDescent="0.2">
      <c r="B191" s="110">
        <f t="shared" si="0"/>
        <v>2068</v>
      </c>
      <c r="C191" s="111">
        <f>[28]С2.5!$BA$11</f>
        <v>0</v>
      </c>
    </row>
    <row r="192" spans="2:3" hidden="1" x14ac:dyDescent="0.2">
      <c r="B192" s="110">
        <f t="shared" si="0"/>
        <v>2069</v>
      </c>
      <c r="C192" s="111">
        <f>[28]С2.5!$BB$11</f>
        <v>0</v>
      </c>
    </row>
    <row r="193" spans="2:3" hidden="1" x14ac:dyDescent="0.2">
      <c r="B193" s="110">
        <f t="shared" si="0"/>
        <v>2070</v>
      </c>
      <c r="C193" s="111">
        <f>[28]С2.5!$BC$11</f>
        <v>0</v>
      </c>
    </row>
    <row r="194" spans="2:3" hidden="1" x14ac:dyDescent="0.2">
      <c r="B194" s="110">
        <f t="shared" si="0"/>
        <v>2071</v>
      </c>
      <c r="C194" s="111">
        <f>[28]С2.5!$BD$11</f>
        <v>0</v>
      </c>
    </row>
    <row r="195" spans="2:3" hidden="1" x14ac:dyDescent="0.2">
      <c r="B195" s="110">
        <f t="shared" si="0"/>
        <v>2072</v>
      </c>
      <c r="C195" s="111">
        <f>[28]С2.5!$BE$11</f>
        <v>0</v>
      </c>
    </row>
    <row r="196" spans="2:3" hidden="1" x14ac:dyDescent="0.2">
      <c r="B196" s="110">
        <f t="shared" si="0"/>
        <v>2073</v>
      </c>
      <c r="C196" s="111">
        <f>[28]С2.5!$BF$11</f>
        <v>0</v>
      </c>
    </row>
    <row r="197" spans="2:3" hidden="1" x14ac:dyDescent="0.2">
      <c r="B197" s="110">
        <f t="shared" si="0"/>
        <v>2074</v>
      </c>
      <c r="C197" s="111">
        <f>[28]С2.5!$BG$11</f>
        <v>0</v>
      </c>
    </row>
    <row r="198" spans="2:3" hidden="1" x14ac:dyDescent="0.2">
      <c r="B198" s="110">
        <f t="shared" si="0"/>
        <v>2075</v>
      </c>
      <c r="C198" s="111">
        <f>[28]С2.5!$BH$11</f>
        <v>0</v>
      </c>
    </row>
    <row r="199" spans="2:3" hidden="1" x14ac:dyDescent="0.2">
      <c r="B199" s="110">
        <f t="shared" si="0"/>
        <v>2076</v>
      </c>
      <c r="C199" s="111">
        <f>[28]С2.5!$BI$11</f>
        <v>0</v>
      </c>
    </row>
    <row r="200" spans="2:3" hidden="1" x14ac:dyDescent="0.2">
      <c r="B200" s="110">
        <f t="shared" si="0"/>
        <v>2077</v>
      </c>
      <c r="C200" s="111">
        <f>[28]С2.5!$BJ$11</f>
        <v>0</v>
      </c>
    </row>
    <row r="201" spans="2:3" hidden="1" x14ac:dyDescent="0.2">
      <c r="B201" s="110">
        <f t="shared" si="0"/>
        <v>2078</v>
      </c>
      <c r="C201" s="111">
        <f>[28]С2.5!$BK$11</f>
        <v>0</v>
      </c>
    </row>
    <row r="202" spans="2:3" hidden="1" x14ac:dyDescent="0.2">
      <c r="B202" s="110">
        <f t="shared" si="0"/>
        <v>2079</v>
      </c>
      <c r="C202" s="111">
        <f>[28]С2.5!$BL$11</f>
        <v>0</v>
      </c>
    </row>
    <row r="203" spans="2:3" hidden="1" x14ac:dyDescent="0.2">
      <c r="B203" s="110">
        <f t="shared" si="0"/>
        <v>2080</v>
      </c>
      <c r="C203" s="111">
        <f>[28]С2.5!$BM$11</f>
        <v>0</v>
      </c>
    </row>
    <row r="204" spans="2:3" hidden="1" x14ac:dyDescent="0.2">
      <c r="B204" s="110">
        <f t="shared" si="0"/>
        <v>2081</v>
      </c>
      <c r="C204" s="111">
        <f>[28]С2.5!$BN$11</f>
        <v>0</v>
      </c>
    </row>
    <row r="205" spans="2:3" hidden="1" x14ac:dyDescent="0.2">
      <c r="B205" s="110">
        <f t="shared" si="0"/>
        <v>2082</v>
      </c>
      <c r="C205" s="111">
        <f>[28]С2.5!$BO$11</f>
        <v>0</v>
      </c>
    </row>
    <row r="206" spans="2:3" hidden="1" x14ac:dyDescent="0.2">
      <c r="B206" s="110">
        <f t="shared" si="0"/>
        <v>2083</v>
      </c>
      <c r="C206" s="111">
        <f>[28]С2.5!$BP$11</f>
        <v>0</v>
      </c>
    </row>
    <row r="207" spans="2:3" hidden="1" x14ac:dyDescent="0.2">
      <c r="B207" s="110">
        <f t="shared" si="0"/>
        <v>2084</v>
      </c>
      <c r="C207" s="111">
        <f>[28]С2.5!$BQ$11</f>
        <v>0</v>
      </c>
    </row>
    <row r="208" spans="2:3" hidden="1" x14ac:dyDescent="0.2">
      <c r="B208" s="110">
        <f t="shared" si="0"/>
        <v>2085</v>
      </c>
      <c r="C208" s="111">
        <f>[28]С2.5!$BR$11</f>
        <v>0</v>
      </c>
    </row>
    <row r="209" spans="2:3" hidden="1" x14ac:dyDescent="0.2">
      <c r="B209" s="110">
        <f t="shared" ref="B209:B223" si="1">B208+1</f>
        <v>2086</v>
      </c>
      <c r="C209" s="111">
        <f>[28]С2.5!$BS$11</f>
        <v>0</v>
      </c>
    </row>
    <row r="210" spans="2:3" hidden="1" x14ac:dyDescent="0.2">
      <c r="B210" s="110">
        <f t="shared" si="1"/>
        <v>2087</v>
      </c>
      <c r="C210" s="111">
        <f>[28]С2.5!$BT$11</f>
        <v>0</v>
      </c>
    </row>
    <row r="211" spans="2:3" hidden="1" x14ac:dyDescent="0.2">
      <c r="B211" s="110">
        <f t="shared" si="1"/>
        <v>2088</v>
      </c>
      <c r="C211" s="111">
        <f>[28]С2.5!$BU$11</f>
        <v>0</v>
      </c>
    </row>
    <row r="212" spans="2:3" hidden="1" x14ac:dyDescent="0.2">
      <c r="B212" s="110">
        <f t="shared" si="1"/>
        <v>2089</v>
      </c>
      <c r="C212" s="111">
        <f>[28]С2.5!$BV$11</f>
        <v>0</v>
      </c>
    </row>
    <row r="213" spans="2:3" hidden="1" x14ac:dyDescent="0.2">
      <c r="B213" s="110">
        <f t="shared" si="1"/>
        <v>2090</v>
      </c>
      <c r="C213" s="111">
        <f>[28]С2.5!$BW$11</f>
        <v>0</v>
      </c>
    </row>
    <row r="214" spans="2:3" hidden="1" x14ac:dyDescent="0.2">
      <c r="B214" s="110">
        <f t="shared" si="1"/>
        <v>2091</v>
      </c>
      <c r="C214" s="111">
        <f>[28]С2.5!$BX$11</f>
        <v>0</v>
      </c>
    </row>
    <row r="215" spans="2:3" hidden="1" x14ac:dyDescent="0.2">
      <c r="B215" s="110">
        <f t="shared" si="1"/>
        <v>2092</v>
      </c>
      <c r="C215" s="111">
        <f>[28]С2.5!$BY$11</f>
        <v>0</v>
      </c>
    </row>
    <row r="216" spans="2:3" hidden="1" x14ac:dyDescent="0.2">
      <c r="B216" s="110">
        <f t="shared" si="1"/>
        <v>2093</v>
      </c>
      <c r="C216" s="111">
        <f>[28]С2.5!$BZ$11</f>
        <v>0</v>
      </c>
    </row>
    <row r="217" spans="2:3" hidden="1" x14ac:dyDescent="0.2">
      <c r="B217" s="110">
        <f t="shared" si="1"/>
        <v>2094</v>
      </c>
      <c r="C217" s="111">
        <f>[28]С2.5!$CA$11</f>
        <v>0</v>
      </c>
    </row>
    <row r="218" spans="2:3" hidden="1" x14ac:dyDescent="0.2">
      <c r="B218" s="110">
        <f t="shared" si="1"/>
        <v>2095</v>
      </c>
      <c r="C218" s="111">
        <f>[28]С2.5!$CB$11</f>
        <v>0</v>
      </c>
    </row>
    <row r="219" spans="2:3" hidden="1" x14ac:dyDescent="0.2">
      <c r="B219" s="110">
        <f t="shared" si="1"/>
        <v>2096</v>
      </c>
      <c r="C219" s="111">
        <f>[28]С2.5!$CC$11</f>
        <v>0</v>
      </c>
    </row>
    <row r="220" spans="2:3" hidden="1" x14ac:dyDescent="0.2">
      <c r="B220" s="110">
        <f t="shared" si="1"/>
        <v>2097</v>
      </c>
      <c r="C220" s="111">
        <f>[28]С2.5!$CD$11</f>
        <v>0</v>
      </c>
    </row>
    <row r="221" spans="2:3" hidden="1" x14ac:dyDescent="0.2">
      <c r="B221" s="110">
        <f t="shared" si="1"/>
        <v>2098</v>
      </c>
      <c r="C221" s="111">
        <f>[28]С2.5!$CE$11</f>
        <v>0</v>
      </c>
    </row>
    <row r="222" spans="2:3" hidden="1" x14ac:dyDescent="0.2">
      <c r="B222" s="110">
        <f t="shared" si="1"/>
        <v>2099</v>
      </c>
      <c r="C222" s="111">
        <f>[28]С2.5!$CF$11</f>
        <v>0</v>
      </c>
    </row>
    <row r="223" spans="2:3" ht="13.5" hidden="1" thickBot="1" x14ac:dyDescent="0.25">
      <c r="B223" s="112">
        <f t="shared" si="1"/>
        <v>2100</v>
      </c>
      <c r="C223" s="113">
        <f>[28]С2.5!$CG$11</f>
        <v>0</v>
      </c>
    </row>
    <row r="224" spans="2:3" hidden="1" x14ac:dyDescent="0.2">
      <c r="C224" s="116"/>
    </row>
    <row r="225" spans="3:3" hidden="1" x14ac:dyDescent="0.2">
      <c r="C225" s="116"/>
    </row>
    <row r="226" spans="3:3" x14ac:dyDescent="0.2">
      <c r="C226" s="116"/>
    </row>
  </sheetData>
  <mergeCells count="9">
    <mergeCell ref="B141:C141"/>
    <mergeCell ref="A14:C14"/>
    <mergeCell ref="B1:C1"/>
    <mergeCell ref="B27:C27"/>
    <mergeCell ref="B40:C40"/>
    <mergeCell ref="B84:C84"/>
    <mergeCell ref="B95:C95"/>
    <mergeCell ref="B124:C124"/>
    <mergeCell ref="B127:C127"/>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26"/>
  <sheetViews>
    <sheetView workbookViewId="0">
      <selection activeCell="C7" sqref="C7"/>
    </sheetView>
  </sheetViews>
  <sheetFormatPr defaultRowHeight="12.75" x14ac:dyDescent="0.2"/>
  <cols>
    <col min="1" max="1" width="7.28515625" style="2" customWidth="1"/>
    <col min="2" max="2" width="100.7109375" style="2" customWidth="1"/>
    <col min="3" max="3" width="20.85546875" style="139" customWidth="1"/>
    <col min="4" max="152" width="9.140625" style="2"/>
    <col min="153" max="234" width="0" style="2" hidden="1" customWidth="1"/>
    <col min="235" max="243" width="9.140625" style="2"/>
    <col min="244" max="244" width="3.7109375" style="2" customWidth="1"/>
    <col min="245" max="245" width="96.85546875" style="2" customWidth="1"/>
    <col min="246" max="246" width="30.85546875" style="2" customWidth="1"/>
    <col min="247" max="247" width="12.5703125" style="2" customWidth="1"/>
    <col min="248" max="248" width="5.140625" style="2" customWidth="1"/>
    <col min="249" max="249" width="9.140625" style="2"/>
    <col min="250" max="250" width="4.85546875" style="2" customWidth="1"/>
    <col min="251" max="251" width="30.5703125" style="2" customWidth="1"/>
    <col min="252" max="252" width="33.85546875" style="2" customWidth="1"/>
    <col min="253" max="253" width="5.140625" style="2" customWidth="1"/>
    <col min="254" max="255" width="17.5703125" style="2" customWidth="1"/>
    <col min="256" max="499" width="9.140625" style="2"/>
    <col min="500" max="500" width="3.7109375" style="2" customWidth="1"/>
    <col min="501" max="501" width="96.85546875" style="2" customWidth="1"/>
    <col min="502" max="502" width="30.85546875" style="2" customWidth="1"/>
    <col min="503" max="503" width="12.5703125" style="2" customWidth="1"/>
    <col min="504" max="504" width="5.140625" style="2" customWidth="1"/>
    <col min="505" max="505" width="9.140625" style="2"/>
    <col min="506" max="506" width="4.85546875" style="2" customWidth="1"/>
    <col min="507" max="507" width="30.5703125" style="2" customWidth="1"/>
    <col min="508" max="508" width="33.85546875" style="2" customWidth="1"/>
    <col min="509" max="509" width="5.140625" style="2" customWidth="1"/>
    <col min="510" max="511" width="17.5703125" style="2" customWidth="1"/>
    <col min="512" max="755" width="9.140625" style="2"/>
    <col min="756" max="756" width="3.7109375" style="2" customWidth="1"/>
    <col min="757" max="757" width="96.85546875" style="2" customWidth="1"/>
    <col min="758" max="758" width="30.85546875" style="2" customWidth="1"/>
    <col min="759" max="759" width="12.5703125" style="2" customWidth="1"/>
    <col min="760" max="760" width="5.140625" style="2" customWidth="1"/>
    <col min="761" max="761" width="9.140625" style="2"/>
    <col min="762" max="762" width="4.85546875" style="2" customWidth="1"/>
    <col min="763" max="763" width="30.5703125" style="2" customWidth="1"/>
    <col min="764" max="764" width="33.85546875" style="2" customWidth="1"/>
    <col min="765" max="765" width="5.140625" style="2" customWidth="1"/>
    <col min="766" max="767" width="17.5703125" style="2" customWidth="1"/>
    <col min="768" max="1011" width="9.140625" style="2"/>
    <col min="1012" max="1012" width="3.7109375" style="2" customWidth="1"/>
    <col min="1013" max="1013" width="96.85546875" style="2" customWidth="1"/>
    <col min="1014" max="1014" width="30.85546875" style="2" customWidth="1"/>
    <col min="1015" max="1015" width="12.5703125" style="2" customWidth="1"/>
    <col min="1016" max="1016" width="5.140625" style="2" customWidth="1"/>
    <col min="1017" max="1017" width="9.140625" style="2"/>
    <col min="1018" max="1018" width="4.85546875" style="2" customWidth="1"/>
    <col min="1019" max="1019" width="30.5703125" style="2" customWidth="1"/>
    <col min="1020" max="1020" width="33.85546875" style="2" customWidth="1"/>
    <col min="1021" max="1021" width="5.140625" style="2" customWidth="1"/>
    <col min="1022" max="1023" width="17.5703125" style="2" customWidth="1"/>
    <col min="1024" max="1267" width="9.140625" style="2"/>
    <col min="1268" max="1268" width="3.7109375" style="2" customWidth="1"/>
    <col min="1269" max="1269" width="96.85546875" style="2" customWidth="1"/>
    <col min="1270" max="1270" width="30.85546875" style="2" customWidth="1"/>
    <col min="1271" max="1271" width="12.5703125" style="2" customWidth="1"/>
    <col min="1272" max="1272" width="5.140625" style="2" customWidth="1"/>
    <col min="1273" max="1273" width="9.140625" style="2"/>
    <col min="1274" max="1274" width="4.85546875" style="2" customWidth="1"/>
    <col min="1275" max="1275" width="30.5703125" style="2" customWidth="1"/>
    <col min="1276" max="1276" width="33.85546875" style="2" customWidth="1"/>
    <col min="1277" max="1277" width="5.140625" style="2" customWidth="1"/>
    <col min="1278" max="1279" width="17.5703125" style="2" customWidth="1"/>
    <col min="1280" max="1523" width="9.140625" style="2"/>
    <col min="1524" max="1524" width="3.7109375" style="2" customWidth="1"/>
    <col min="1525" max="1525" width="96.85546875" style="2" customWidth="1"/>
    <col min="1526" max="1526" width="30.85546875" style="2" customWidth="1"/>
    <col min="1527" max="1527" width="12.5703125" style="2" customWidth="1"/>
    <col min="1528" max="1528" width="5.140625" style="2" customWidth="1"/>
    <col min="1529" max="1529" width="9.140625" style="2"/>
    <col min="1530" max="1530" width="4.85546875" style="2" customWidth="1"/>
    <col min="1531" max="1531" width="30.5703125" style="2" customWidth="1"/>
    <col min="1532" max="1532" width="33.85546875" style="2" customWidth="1"/>
    <col min="1533" max="1533" width="5.140625" style="2" customWidth="1"/>
    <col min="1534" max="1535" width="17.5703125" style="2" customWidth="1"/>
    <col min="1536" max="1779" width="9.140625" style="2"/>
    <col min="1780" max="1780" width="3.7109375" style="2" customWidth="1"/>
    <col min="1781" max="1781" width="96.85546875" style="2" customWidth="1"/>
    <col min="1782" max="1782" width="30.85546875" style="2" customWidth="1"/>
    <col min="1783" max="1783" width="12.5703125" style="2" customWidth="1"/>
    <col min="1784" max="1784" width="5.140625" style="2" customWidth="1"/>
    <col min="1785" max="1785" width="9.140625" style="2"/>
    <col min="1786" max="1786" width="4.85546875" style="2" customWidth="1"/>
    <col min="1787" max="1787" width="30.5703125" style="2" customWidth="1"/>
    <col min="1788" max="1788" width="33.85546875" style="2" customWidth="1"/>
    <col min="1789" max="1789" width="5.140625" style="2" customWidth="1"/>
    <col min="1790" max="1791" width="17.5703125" style="2" customWidth="1"/>
    <col min="1792" max="2035" width="9.140625" style="2"/>
    <col min="2036" max="2036" width="3.7109375" style="2" customWidth="1"/>
    <col min="2037" max="2037" width="96.85546875" style="2" customWidth="1"/>
    <col min="2038" max="2038" width="30.85546875" style="2" customWidth="1"/>
    <col min="2039" max="2039" width="12.5703125" style="2" customWidth="1"/>
    <col min="2040" max="2040" width="5.140625" style="2" customWidth="1"/>
    <col min="2041" max="2041" width="9.140625" style="2"/>
    <col min="2042" max="2042" width="4.85546875" style="2" customWidth="1"/>
    <col min="2043" max="2043" width="30.5703125" style="2" customWidth="1"/>
    <col min="2044" max="2044" width="33.85546875" style="2" customWidth="1"/>
    <col min="2045" max="2045" width="5.140625" style="2" customWidth="1"/>
    <col min="2046" max="2047" width="17.5703125" style="2" customWidth="1"/>
    <col min="2048" max="2291" width="9.140625" style="2"/>
    <col min="2292" max="2292" width="3.7109375" style="2" customWidth="1"/>
    <col min="2293" max="2293" width="96.85546875" style="2" customWidth="1"/>
    <col min="2294" max="2294" width="30.85546875" style="2" customWidth="1"/>
    <col min="2295" max="2295" width="12.5703125" style="2" customWidth="1"/>
    <col min="2296" max="2296" width="5.140625" style="2" customWidth="1"/>
    <col min="2297" max="2297" width="9.140625" style="2"/>
    <col min="2298" max="2298" width="4.85546875" style="2" customWidth="1"/>
    <col min="2299" max="2299" width="30.5703125" style="2" customWidth="1"/>
    <col min="2300" max="2300" width="33.85546875" style="2" customWidth="1"/>
    <col min="2301" max="2301" width="5.140625" style="2" customWidth="1"/>
    <col min="2302" max="2303" width="17.5703125" style="2" customWidth="1"/>
    <col min="2304" max="2547" width="9.140625" style="2"/>
    <col min="2548" max="2548" width="3.7109375" style="2" customWidth="1"/>
    <col min="2549" max="2549" width="96.85546875" style="2" customWidth="1"/>
    <col min="2550" max="2550" width="30.85546875" style="2" customWidth="1"/>
    <col min="2551" max="2551" width="12.5703125" style="2" customWidth="1"/>
    <col min="2552" max="2552" width="5.140625" style="2" customWidth="1"/>
    <col min="2553" max="2553" width="9.140625" style="2"/>
    <col min="2554" max="2554" width="4.85546875" style="2" customWidth="1"/>
    <col min="2555" max="2555" width="30.5703125" style="2" customWidth="1"/>
    <col min="2556" max="2556" width="33.85546875" style="2" customWidth="1"/>
    <col min="2557" max="2557" width="5.140625" style="2" customWidth="1"/>
    <col min="2558" max="2559" width="17.5703125" style="2" customWidth="1"/>
    <col min="2560" max="2803" width="9.140625" style="2"/>
    <col min="2804" max="2804" width="3.7109375" style="2" customWidth="1"/>
    <col min="2805" max="2805" width="96.85546875" style="2" customWidth="1"/>
    <col min="2806" max="2806" width="30.85546875" style="2" customWidth="1"/>
    <col min="2807" max="2807" width="12.5703125" style="2" customWidth="1"/>
    <col min="2808" max="2808" width="5.140625" style="2" customWidth="1"/>
    <col min="2809" max="2809" width="9.140625" style="2"/>
    <col min="2810" max="2810" width="4.85546875" style="2" customWidth="1"/>
    <col min="2811" max="2811" width="30.5703125" style="2" customWidth="1"/>
    <col min="2812" max="2812" width="33.85546875" style="2" customWidth="1"/>
    <col min="2813" max="2813" width="5.140625" style="2" customWidth="1"/>
    <col min="2814" max="2815" width="17.5703125" style="2" customWidth="1"/>
    <col min="2816" max="3059" width="9.140625" style="2"/>
    <col min="3060" max="3060" width="3.7109375" style="2" customWidth="1"/>
    <col min="3061" max="3061" width="96.85546875" style="2" customWidth="1"/>
    <col min="3062" max="3062" width="30.85546875" style="2" customWidth="1"/>
    <col min="3063" max="3063" width="12.5703125" style="2" customWidth="1"/>
    <col min="3064" max="3064" width="5.140625" style="2" customWidth="1"/>
    <col min="3065" max="3065" width="9.140625" style="2"/>
    <col min="3066" max="3066" width="4.85546875" style="2" customWidth="1"/>
    <col min="3067" max="3067" width="30.5703125" style="2" customWidth="1"/>
    <col min="3068" max="3068" width="33.85546875" style="2" customWidth="1"/>
    <col min="3069" max="3069" width="5.140625" style="2" customWidth="1"/>
    <col min="3070" max="3071" width="17.5703125" style="2" customWidth="1"/>
    <col min="3072" max="3315" width="9.140625" style="2"/>
    <col min="3316" max="3316" width="3.7109375" style="2" customWidth="1"/>
    <col min="3317" max="3317" width="96.85546875" style="2" customWidth="1"/>
    <col min="3318" max="3318" width="30.85546875" style="2" customWidth="1"/>
    <col min="3319" max="3319" width="12.5703125" style="2" customWidth="1"/>
    <col min="3320" max="3320" width="5.140625" style="2" customWidth="1"/>
    <col min="3321" max="3321" width="9.140625" style="2"/>
    <col min="3322" max="3322" width="4.85546875" style="2" customWidth="1"/>
    <col min="3323" max="3323" width="30.5703125" style="2" customWidth="1"/>
    <col min="3324" max="3324" width="33.85546875" style="2" customWidth="1"/>
    <col min="3325" max="3325" width="5.140625" style="2" customWidth="1"/>
    <col min="3326" max="3327" width="17.5703125" style="2" customWidth="1"/>
    <col min="3328" max="3571" width="9.140625" style="2"/>
    <col min="3572" max="3572" width="3.7109375" style="2" customWidth="1"/>
    <col min="3573" max="3573" width="96.85546875" style="2" customWidth="1"/>
    <col min="3574" max="3574" width="30.85546875" style="2" customWidth="1"/>
    <col min="3575" max="3575" width="12.5703125" style="2" customWidth="1"/>
    <col min="3576" max="3576" width="5.140625" style="2" customWidth="1"/>
    <col min="3577" max="3577" width="9.140625" style="2"/>
    <col min="3578" max="3578" width="4.85546875" style="2" customWidth="1"/>
    <col min="3579" max="3579" width="30.5703125" style="2" customWidth="1"/>
    <col min="3580" max="3580" width="33.85546875" style="2" customWidth="1"/>
    <col min="3581" max="3581" width="5.140625" style="2" customWidth="1"/>
    <col min="3582" max="3583" width="17.5703125" style="2" customWidth="1"/>
    <col min="3584" max="3827" width="9.140625" style="2"/>
    <col min="3828" max="3828" width="3.7109375" style="2" customWidth="1"/>
    <col min="3829" max="3829" width="96.85546875" style="2" customWidth="1"/>
    <col min="3830" max="3830" width="30.85546875" style="2" customWidth="1"/>
    <col min="3831" max="3831" width="12.5703125" style="2" customWidth="1"/>
    <col min="3832" max="3832" width="5.140625" style="2" customWidth="1"/>
    <col min="3833" max="3833" width="9.140625" style="2"/>
    <col min="3834" max="3834" width="4.85546875" style="2" customWidth="1"/>
    <col min="3835" max="3835" width="30.5703125" style="2" customWidth="1"/>
    <col min="3836" max="3836" width="33.85546875" style="2" customWidth="1"/>
    <col min="3837" max="3837" width="5.140625" style="2" customWidth="1"/>
    <col min="3838" max="3839" width="17.5703125" style="2" customWidth="1"/>
    <col min="3840" max="4083" width="9.140625" style="2"/>
    <col min="4084" max="4084" width="3.7109375" style="2" customWidth="1"/>
    <col min="4085" max="4085" width="96.85546875" style="2" customWidth="1"/>
    <col min="4086" max="4086" width="30.85546875" style="2" customWidth="1"/>
    <col min="4087" max="4087" width="12.5703125" style="2" customWidth="1"/>
    <col min="4088" max="4088" width="5.140625" style="2" customWidth="1"/>
    <col min="4089" max="4089" width="9.140625" style="2"/>
    <col min="4090" max="4090" width="4.85546875" style="2" customWidth="1"/>
    <col min="4091" max="4091" width="30.5703125" style="2" customWidth="1"/>
    <col min="4092" max="4092" width="33.85546875" style="2" customWidth="1"/>
    <col min="4093" max="4093" width="5.140625" style="2" customWidth="1"/>
    <col min="4094" max="4095" width="17.5703125" style="2" customWidth="1"/>
    <col min="4096" max="4339" width="9.140625" style="2"/>
    <col min="4340" max="4340" width="3.7109375" style="2" customWidth="1"/>
    <col min="4341" max="4341" width="96.85546875" style="2" customWidth="1"/>
    <col min="4342" max="4342" width="30.85546875" style="2" customWidth="1"/>
    <col min="4343" max="4343" width="12.5703125" style="2" customWidth="1"/>
    <col min="4344" max="4344" width="5.140625" style="2" customWidth="1"/>
    <col min="4345" max="4345" width="9.140625" style="2"/>
    <col min="4346" max="4346" width="4.85546875" style="2" customWidth="1"/>
    <col min="4347" max="4347" width="30.5703125" style="2" customWidth="1"/>
    <col min="4348" max="4348" width="33.85546875" style="2" customWidth="1"/>
    <col min="4349" max="4349" width="5.140625" style="2" customWidth="1"/>
    <col min="4350" max="4351" width="17.5703125" style="2" customWidth="1"/>
    <col min="4352" max="4595" width="9.140625" style="2"/>
    <col min="4596" max="4596" width="3.7109375" style="2" customWidth="1"/>
    <col min="4597" max="4597" width="96.85546875" style="2" customWidth="1"/>
    <col min="4598" max="4598" width="30.85546875" style="2" customWidth="1"/>
    <col min="4599" max="4599" width="12.5703125" style="2" customWidth="1"/>
    <col min="4600" max="4600" width="5.140625" style="2" customWidth="1"/>
    <col min="4601" max="4601" width="9.140625" style="2"/>
    <col min="4602" max="4602" width="4.85546875" style="2" customWidth="1"/>
    <col min="4603" max="4603" width="30.5703125" style="2" customWidth="1"/>
    <col min="4604" max="4604" width="33.85546875" style="2" customWidth="1"/>
    <col min="4605" max="4605" width="5.140625" style="2" customWidth="1"/>
    <col min="4606" max="4607" width="17.5703125" style="2" customWidth="1"/>
    <col min="4608" max="4851" width="9.140625" style="2"/>
    <col min="4852" max="4852" width="3.7109375" style="2" customWidth="1"/>
    <col min="4853" max="4853" width="96.85546875" style="2" customWidth="1"/>
    <col min="4854" max="4854" width="30.85546875" style="2" customWidth="1"/>
    <col min="4855" max="4855" width="12.5703125" style="2" customWidth="1"/>
    <col min="4856" max="4856" width="5.140625" style="2" customWidth="1"/>
    <col min="4857" max="4857" width="9.140625" style="2"/>
    <col min="4858" max="4858" width="4.85546875" style="2" customWidth="1"/>
    <col min="4859" max="4859" width="30.5703125" style="2" customWidth="1"/>
    <col min="4860" max="4860" width="33.85546875" style="2" customWidth="1"/>
    <col min="4861" max="4861" width="5.140625" style="2" customWidth="1"/>
    <col min="4862" max="4863" width="17.5703125" style="2" customWidth="1"/>
    <col min="4864" max="5107" width="9.140625" style="2"/>
    <col min="5108" max="5108" width="3.7109375" style="2" customWidth="1"/>
    <col min="5109" max="5109" width="96.85546875" style="2" customWidth="1"/>
    <col min="5110" max="5110" width="30.85546875" style="2" customWidth="1"/>
    <col min="5111" max="5111" width="12.5703125" style="2" customWidth="1"/>
    <col min="5112" max="5112" width="5.140625" style="2" customWidth="1"/>
    <col min="5113" max="5113" width="9.140625" style="2"/>
    <col min="5114" max="5114" width="4.85546875" style="2" customWidth="1"/>
    <col min="5115" max="5115" width="30.5703125" style="2" customWidth="1"/>
    <col min="5116" max="5116" width="33.85546875" style="2" customWidth="1"/>
    <col min="5117" max="5117" width="5.140625" style="2" customWidth="1"/>
    <col min="5118" max="5119" width="17.5703125" style="2" customWidth="1"/>
    <col min="5120" max="5363" width="9.140625" style="2"/>
    <col min="5364" max="5364" width="3.7109375" style="2" customWidth="1"/>
    <col min="5365" max="5365" width="96.85546875" style="2" customWidth="1"/>
    <col min="5366" max="5366" width="30.85546875" style="2" customWidth="1"/>
    <col min="5367" max="5367" width="12.5703125" style="2" customWidth="1"/>
    <col min="5368" max="5368" width="5.140625" style="2" customWidth="1"/>
    <col min="5369" max="5369" width="9.140625" style="2"/>
    <col min="5370" max="5370" width="4.85546875" style="2" customWidth="1"/>
    <col min="5371" max="5371" width="30.5703125" style="2" customWidth="1"/>
    <col min="5372" max="5372" width="33.85546875" style="2" customWidth="1"/>
    <col min="5373" max="5373" width="5.140625" style="2" customWidth="1"/>
    <col min="5374" max="5375" width="17.5703125" style="2" customWidth="1"/>
    <col min="5376" max="5619" width="9.140625" style="2"/>
    <col min="5620" max="5620" width="3.7109375" style="2" customWidth="1"/>
    <col min="5621" max="5621" width="96.85546875" style="2" customWidth="1"/>
    <col min="5622" max="5622" width="30.85546875" style="2" customWidth="1"/>
    <col min="5623" max="5623" width="12.5703125" style="2" customWidth="1"/>
    <col min="5624" max="5624" width="5.140625" style="2" customWidth="1"/>
    <col min="5625" max="5625" width="9.140625" style="2"/>
    <col min="5626" max="5626" width="4.85546875" style="2" customWidth="1"/>
    <col min="5627" max="5627" width="30.5703125" style="2" customWidth="1"/>
    <col min="5628" max="5628" width="33.85546875" style="2" customWidth="1"/>
    <col min="5629" max="5629" width="5.140625" style="2" customWidth="1"/>
    <col min="5630" max="5631" width="17.5703125" style="2" customWidth="1"/>
    <col min="5632" max="5875" width="9.140625" style="2"/>
    <col min="5876" max="5876" width="3.7109375" style="2" customWidth="1"/>
    <col min="5877" max="5877" width="96.85546875" style="2" customWidth="1"/>
    <col min="5878" max="5878" width="30.85546875" style="2" customWidth="1"/>
    <col min="5879" max="5879" width="12.5703125" style="2" customWidth="1"/>
    <col min="5880" max="5880" width="5.140625" style="2" customWidth="1"/>
    <col min="5881" max="5881" width="9.140625" style="2"/>
    <col min="5882" max="5882" width="4.85546875" style="2" customWidth="1"/>
    <col min="5883" max="5883" width="30.5703125" style="2" customWidth="1"/>
    <col min="5884" max="5884" width="33.85546875" style="2" customWidth="1"/>
    <col min="5885" max="5885" width="5.140625" style="2" customWidth="1"/>
    <col min="5886" max="5887" width="17.5703125" style="2" customWidth="1"/>
    <col min="5888" max="6131" width="9.140625" style="2"/>
    <col min="6132" max="6132" width="3.7109375" style="2" customWidth="1"/>
    <col min="6133" max="6133" width="96.85546875" style="2" customWidth="1"/>
    <col min="6134" max="6134" width="30.85546875" style="2" customWidth="1"/>
    <col min="6135" max="6135" width="12.5703125" style="2" customWidth="1"/>
    <col min="6136" max="6136" width="5.140625" style="2" customWidth="1"/>
    <col min="6137" max="6137" width="9.140625" style="2"/>
    <col min="6138" max="6138" width="4.85546875" style="2" customWidth="1"/>
    <col min="6139" max="6139" width="30.5703125" style="2" customWidth="1"/>
    <col min="6140" max="6140" width="33.85546875" style="2" customWidth="1"/>
    <col min="6141" max="6141" width="5.140625" style="2" customWidth="1"/>
    <col min="6142" max="6143" width="17.5703125" style="2" customWidth="1"/>
    <col min="6144" max="6387" width="9.140625" style="2"/>
    <col min="6388" max="6388" width="3.7109375" style="2" customWidth="1"/>
    <col min="6389" max="6389" width="96.85546875" style="2" customWidth="1"/>
    <col min="6390" max="6390" width="30.85546875" style="2" customWidth="1"/>
    <col min="6391" max="6391" width="12.5703125" style="2" customWidth="1"/>
    <col min="6392" max="6392" width="5.140625" style="2" customWidth="1"/>
    <col min="6393" max="6393" width="9.140625" style="2"/>
    <col min="6394" max="6394" width="4.85546875" style="2" customWidth="1"/>
    <col min="6395" max="6395" width="30.5703125" style="2" customWidth="1"/>
    <col min="6396" max="6396" width="33.85546875" style="2" customWidth="1"/>
    <col min="6397" max="6397" width="5.140625" style="2" customWidth="1"/>
    <col min="6398" max="6399" width="17.5703125" style="2" customWidth="1"/>
    <col min="6400" max="6643" width="9.140625" style="2"/>
    <col min="6644" max="6644" width="3.7109375" style="2" customWidth="1"/>
    <col min="6645" max="6645" width="96.85546875" style="2" customWidth="1"/>
    <col min="6646" max="6646" width="30.85546875" style="2" customWidth="1"/>
    <col min="6647" max="6647" width="12.5703125" style="2" customWidth="1"/>
    <col min="6648" max="6648" width="5.140625" style="2" customWidth="1"/>
    <col min="6649" max="6649" width="9.140625" style="2"/>
    <col min="6650" max="6650" width="4.85546875" style="2" customWidth="1"/>
    <col min="6651" max="6651" width="30.5703125" style="2" customWidth="1"/>
    <col min="6652" max="6652" width="33.85546875" style="2" customWidth="1"/>
    <col min="6653" max="6653" width="5.140625" style="2" customWidth="1"/>
    <col min="6654" max="6655" width="17.5703125" style="2" customWidth="1"/>
    <col min="6656" max="6899" width="9.140625" style="2"/>
    <col min="6900" max="6900" width="3.7109375" style="2" customWidth="1"/>
    <col min="6901" max="6901" width="96.85546875" style="2" customWidth="1"/>
    <col min="6902" max="6902" width="30.85546875" style="2" customWidth="1"/>
    <col min="6903" max="6903" width="12.5703125" style="2" customWidth="1"/>
    <col min="6904" max="6904" width="5.140625" style="2" customWidth="1"/>
    <col min="6905" max="6905" width="9.140625" style="2"/>
    <col min="6906" max="6906" width="4.85546875" style="2" customWidth="1"/>
    <col min="6907" max="6907" width="30.5703125" style="2" customWidth="1"/>
    <col min="6908" max="6908" width="33.85546875" style="2" customWidth="1"/>
    <col min="6909" max="6909" width="5.140625" style="2" customWidth="1"/>
    <col min="6910" max="6911" width="17.5703125" style="2" customWidth="1"/>
    <col min="6912" max="7155" width="9.140625" style="2"/>
    <col min="7156" max="7156" width="3.7109375" style="2" customWidth="1"/>
    <col min="7157" max="7157" width="96.85546875" style="2" customWidth="1"/>
    <col min="7158" max="7158" width="30.85546875" style="2" customWidth="1"/>
    <col min="7159" max="7159" width="12.5703125" style="2" customWidth="1"/>
    <col min="7160" max="7160" width="5.140625" style="2" customWidth="1"/>
    <col min="7161" max="7161" width="9.140625" style="2"/>
    <col min="7162" max="7162" width="4.85546875" style="2" customWidth="1"/>
    <col min="7163" max="7163" width="30.5703125" style="2" customWidth="1"/>
    <col min="7164" max="7164" width="33.85546875" style="2" customWidth="1"/>
    <col min="7165" max="7165" width="5.140625" style="2" customWidth="1"/>
    <col min="7166" max="7167" width="17.5703125" style="2" customWidth="1"/>
    <col min="7168" max="7411" width="9.140625" style="2"/>
    <col min="7412" max="7412" width="3.7109375" style="2" customWidth="1"/>
    <col min="7413" max="7413" width="96.85546875" style="2" customWidth="1"/>
    <col min="7414" max="7414" width="30.85546875" style="2" customWidth="1"/>
    <col min="7415" max="7415" width="12.5703125" style="2" customWidth="1"/>
    <col min="7416" max="7416" width="5.140625" style="2" customWidth="1"/>
    <col min="7417" max="7417" width="9.140625" style="2"/>
    <col min="7418" max="7418" width="4.85546875" style="2" customWidth="1"/>
    <col min="7419" max="7419" width="30.5703125" style="2" customWidth="1"/>
    <col min="7420" max="7420" width="33.85546875" style="2" customWidth="1"/>
    <col min="7421" max="7421" width="5.140625" style="2" customWidth="1"/>
    <col min="7422" max="7423" width="17.5703125" style="2" customWidth="1"/>
    <col min="7424" max="7667" width="9.140625" style="2"/>
    <col min="7668" max="7668" width="3.7109375" style="2" customWidth="1"/>
    <col min="7669" max="7669" width="96.85546875" style="2" customWidth="1"/>
    <col min="7670" max="7670" width="30.85546875" style="2" customWidth="1"/>
    <col min="7671" max="7671" width="12.5703125" style="2" customWidth="1"/>
    <col min="7672" max="7672" width="5.140625" style="2" customWidth="1"/>
    <col min="7673" max="7673" width="9.140625" style="2"/>
    <col min="7674" max="7674" width="4.85546875" style="2" customWidth="1"/>
    <col min="7675" max="7675" width="30.5703125" style="2" customWidth="1"/>
    <col min="7676" max="7676" width="33.85546875" style="2" customWidth="1"/>
    <col min="7677" max="7677" width="5.140625" style="2" customWidth="1"/>
    <col min="7678" max="7679" width="17.5703125" style="2" customWidth="1"/>
    <col min="7680" max="7923" width="9.140625" style="2"/>
    <col min="7924" max="7924" width="3.7109375" style="2" customWidth="1"/>
    <col min="7925" max="7925" width="96.85546875" style="2" customWidth="1"/>
    <col min="7926" max="7926" width="30.85546875" style="2" customWidth="1"/>
    <col min="7927" max="7927" width="12.5703125" style="2" customWidth="1"/>
    <col min="7928" max="7928" width="5.140625" style="2" customWidth="1"/>
    <col min="7929" max="7929" width="9.140625" style="2"/>
    <col min="7930" max="7930" width="4.85546875" style="2" customWidth="1"/>
    <col min="7931" max="7931" width="30.5703125" style="2" customWidth="1"/>
    <col min="7932" max="7932" width="33.85546875" style="2" customWidth="1"/>
    <col min="7933" max="7933" width="5.140625" style="2" customWidth="1"/>
    <col min="7934" max="7935" width="17.5703125" style="2" customWidth="1"/>
    <col min="7936" max="8179" width="9.140625" style="2"/>
    <col min="8180" max="8180" width="3.7109375" style="2" customWidth="1"/>
    <col min="8181" max="8181" width="96.85546875" style="2" customWidth="1"/>
    <col min="8182" max="8182" width="30.85546875" style="2" customWidth="1"/>
    <col min="8183" max="8183" width="12.5703125" style="2" customWidth="1"/>
    <col min="8184" max="8184" width="5.140625" style="2" customWidth="1"/>
    <col min="8185" max="8185" width="9.140625" style="2"/>
    <col min="8186" max="8186" width="4.85546875" style="2" customWidth="1"/>
    <col min="8187" max="8187" width="30.5703125" style="2" customWidth="1"/>
    <col min="8188" max="8188" width="33.85546875" style="2" customWidth="1"/>
    <col min="8189" max="8189" width="5.140625" style="2" customWidth="1"/>
    <col min="8190" max="8191" width="17.5703125" style="2" customWidth="1"/>
    <col min="8192" max="8435" width="9.140625" style="2"/>
    <col min="8436" max="8436" width="3.7109375" style="2" customWidth="1"/>
    <col min="8437" max="8437" width="96.85546875" style="2" customWidth="1"/>
    <col min="8438" max="8438" width="30.85546875" style="2" customWidth="1"/>
    <col min="8439" max="8439" width="12.5703125" style="2" customWidth="1"/>
    <col min="8440" max="8440" width="5.140625" style="2" customWidth="1"/>
    <col min="8441" max="8441" width="9.140625" style="2"/>
    <col min="8442" max="8442" width="4.85546875" style="2" customWidth="1"/>
    <col min="8443" max="8443" width="30.5703125" style="2" customWidth="1"/>
    <col min="8444" max="8444" width="33.85546875" style="2" customWidth="1"/>
    <col min="8445" max="8445" width="5.140625" style="2" customWidth="1"/>
    <col min="8446" max="8447" width="17.5703125" style="2" customWidth="1"/>
    <col min="8448" max="8691" width="9.140625" style="2"/>
    <col min="8692" max="8692" width="3.7109375" style="2" customWidth="1"/>
    <col min="8693" max="8693" width="96.85546875" style="2" customWidth="1"/>
    <col min="8694" max="8694" width="30.85546875" style="2" customWidth="1"/>
    <col min="8695" max="8695" width="12.5703125" style="2" customWidth="1"/>
    <col min="8696" max="8696" width="5.140625" style="2" customWidth="1"/>
    <col min="8697" max="8697" width="9.140625" style="2"/>
    <col min="8698" max="8698" width="4.85546875" style="2" customWidth="1"/>
    <col min="8699" max="8699" width="30.5703125" style="2" customWidth="1"/>
    <col min="8700" max="8700" width="33.85546875" style="2" customWidth="1"/>
    <col min="8701" max="8701" width="5.140625" style="2" customWidth="1"/>
    <col min="8702" max="8703" width="17.5703125" style="2" customWidth="1"/>
    <col min="8704" max="8947" width="9.140625" style="2"/>
    <col min="8948" max="8948" width="3.7109375" style="2" customWidth="1"/>
    <col min="8949" max="8949" width="96.85546875" style="2" customWidth="1"/>
    <col min="8950" max="8950" width="30.85546875" style="2" customWidth="1"/>
    <col min="8951" max="8951" width="12.5703125" style="2" customWidth="1"/>
    <col min="8952" max="8952" width="5.140625" style="2" customWidth="1"/>
    <col min="8953" max="8953" width="9.140625" style="2"/>
    <col min="8954" max="8954" width="4.85546875" style="2" customWidth="1"/>
    <col min="8955" max="8955" width="30.5703125" style="2" customWidth="1"/>
    <col min="8956" max="8956" width="33.85546875" style="2" customWidth="1"/>
    <col min="8957" max="8957" width="5.140625" style="2" customWidth="1"/>
    <col min="8958" max="8959" width="17.5703125" style="2" customWidth="1"/>
    <col min="8960" max="9203" width="9.140625" style="2"/>
    <col min="9204" max="9204" width="3.7109375" style="2" customWidth="1"/>
    <col min="9205" max="9205" width="96.85546875" style="2" customWidth="1"/>
    <col min="9206" max="9206" width="30.85546875" style="2" customWidth="1"/>
    <col min="9207" max="9207" width="12.5703125" style="2" customWidth="1"/>
    <col min="9208" max="9208" width="5.140625" style="2" customWidth="1"/>
    <col min="9209" max="9209" width="9.140625" style="2"/>
    <col min="9210" max="9210" width="4.85546875" style="2" customWidth="1"/>
    <col min="9211" max="9211" width="30.5703125" style="2" customWidth="1"/>
    <col min="9212" max="9212" width="33.85546875" style="2" customWidth="1"/>
    <col min="9213" max="9213" width="5.140625" style="2" customWidth="1"/>
    <col min="9214" max="9215" width="17.5703125" style="2" customWidth="1"/>
    <col min="9216" max="9459" width="9.140625" style="2"/>
    <col min="9460" max="9460" width="3.7109375" style="2" customWidth="1"/>
    <col min="9461" max="9461" width="96.85546875" style="2" customWidth="1"/>
    <col min="9462" max="9462" width="30.85546875" style="2" customWidth="1"/>
    <col min="9463" max="9463" width="12.5703125" style="2" customWidth="1"/>
    <col min="9464" max="9464" width="5.140625" style="2" customWidth="1"/>
    <col min="9465" max="9465" width="9.140625" style="2"/>
    <col min="9466" max="9466" width="4.85546875" style="2" customWidth="1"/>
    <col min="9467" max="9467" width="30.5703125" style="2" customWidth="1"/>
    <col min="9468" max="9468" width="33.85546875" style="2" customWidth="1"/>
    <col min="9469" max="9469" width="5.140625" style="2" customWidth="1"/>
    <col min="9470" max="9471" width="17.5703125" style="2" customWidth="1"/>
    <col min="9472" max="9715" width="9.140625" style="2"/>
    <col min="9716" max="9716" width="3.7109375" style="2" customWidth="1"/>
    <col min="9717" max="9717" width="96.85546875" style="2" customWidth="1"/>
    <col min="9718" max="9718" width="30.85546875" style="2" customWidth="1"/>
    <col min="9719" max="9719" width="12.5703125" style="2" customWidth="1"/>
    <col min="9720" max="9720" width="5.140625" style="2" customWidth="1"/>
    <col min="9721" max="9721" width="9.140625" style="2"/>
    <col min="9722" max="9722" width="4.85546875" style="2" customWidth="1"/>
    <col min="9723" max="9723" width="30.5703125" style="2" customWidth="1"/>
    <col min="9724" max="9724" width="33.85546875" style="2" customWidth="1"/>
    <col min="9725" max="9725" width="5.140625" style="2" customWidth="1"/>
    <col min="9726" max="9727" width="17.5703125" style="2" customWidth="1"/>
    <col min="9728" max="9971" width="9.140625" style="2"/>
    <col min="9972" max="9972" width="3.7109375" style="2" customWidth="1"/>
    <col min="9973" max="9973" width="96.85546875" style="2" customWidth="1"/>
    <col min="9974" max="9974" width="30.85546875" style="2" customWidth="1"/>
    <col min="9975" max="9975" width="12.5703125" style="2" customWidth="1"/>
    <col min="9976" max="9976" width="5.140625" style="2" customWidth="1"/>
    <col min="9977" max="9977" width="9.140625" style="2"/>
    <col min="9978" max="9978" width="4.85546875" style="2" customWidth="1"/>
    <col min="9979" max="9979" width="30.5703125" style="2" customWidth="1"/>
    <col min="9980" max="9980" width="33.85546875" style="2" customWidth="1"/>
    <col min="9981" max="9981" width="5.140625" style="2" customWidth="1"/>
    <col min="9982" max="9983" width="17.5703125" style="2" customWidth="1"/>
    <col min="9984" max="10227" width="9.140625" style="2"/>
    <col min="10228" max="10228" width="3.7109375" style="2" customWidth="1"/>
    <col min="10229" max="10229" width="96.85546875" style="2" customWidth="1"/>
    <col min="10230" max="10230" width="30.85546875" style="2" customWidth="1"/>
    <col min="10231" max="10231" width="12.5703125" style="2" customWidth="1"/>
    <col min="10232" max="10232" width="5.140625" style="2" customWidth="1"/>
    <col min="10233" max="10233" width="9.140625" style="2"/>
    <col min="10234" max="10234" width="4.85546875" style="2" customWidth="1"/>
    <col min="10235" max="10235" width="30.5703125" style="2" customWidth="1"/>
    <col min="10236" max="10236" width="33.85546875" style="2" customWidth="1"/>
    <col min="10237" max="10237" width="5.140625" style="2" customWidth="1"/>
    <col min="10238" max="10239" width="17.5703125" style="2" customWidth="1"/>
    <col min="10240" max="10483" width="9.140625" style="2"/>
    <col min="10484" max="10484" width="3.7109375" style="2" customWidth="1"/>
    <col min="10485" max="10485" width="96.85546875" style="2" customWidth="1"/>
    <col min="10486" max="10486" width="30.85546875" style="2" customWidth="1"/>
    <col min="10487" max="10487" width="12.5703125" style="2" customWidth="1"/>
    <col min="10488" max="10488" width="5.140625" style="2" customWidth="1"/>
    <col min="10489" max="10489" width="9.140625" style="2"/>
    <col min="10490" max="10490" width="4.85546875" style="2" customWidth="1"/>
    <col min="10491" max="10491" width="30.5703125" style="2" customWidth="1"/>
    <col min="10492" max="10492" width="33.85546875" style="2" customWidth="1"/>
    <col min="10493" max="10493" width="5.140625" style="2" customWidth="1"/>
    <col min="10494" max="10495" width="17.5703125" style="2" customWidth="1"/>
    <col min="10496" max="10739" width="9.140625" style="2"/>
    <col min="10740" max="10740" width="3.7109375" style="2" customWidth="1"/>
    <col min="10741" max="10741" width="96.85546875" style="2" customWidth="1"/>
    <col min="10742" max="10742" width="30.85546875" style="2" customWidth="1"/>
    <col min="10743" max="10743" width="12.5703125" style="2" customWidth="1"/>
    <col min="10744" max="10744" width="5.140625" style="2" customWidth="1"/>
    <col min="10745" max="10745" width="9.140625" style="2"/>
    <col min="10746" max="10746" width="4.85546875" style="2" customWidth="1"/>
    <col min="10747" max="10747" width="30.5703125" style="2" customWidth="1"/>
    <col min="10748" max="10748" width="33.85546875" style="2" customWidth="1"/>
    <col min="10749" max="10749" width="5.140625" style="2" customWidth="1"/>
    <col min="10750" max="10751" width="17.5703125" style="2" customWidth="1"/>
    <col min="10752" max="10995" width="9.140625" style="2"/>
    <col min="10996" max="10996" width="3.7109375" style="2" customWidth="1"/>
    <col min="10997" max="10997" width="96.85546875" style="2" customWidth="1"/>
    <col min="10998" max="10998" width="30.85546875" style="2" customWidth="1"/>
    <col min="10999" max="10999" width="12.5703125" style="2" customWidth="1"/>
    <col min="11000" max="11000" width="5.140625" style="2" customWidth="1"/>
    <col min="11001" max="11001" width="9.140625" style="2"/>
    <col min="11002" max="11002" width="4.85546875" style="2" customWidth="1"/>
    <col min="11003" max="11003" width="30.5703125" style="2" customWidth="1"/>
    <col min="11004" max="11004" width="33.85546875" style="2" customWidth="1"/>
    <col min="11005" max="11005" width="5.140625" style="2" customWidth="1"/>
    <col min="11006" max="11007" width="17.5703125" style="2" customWidth="1"/>
    <col min="11008" max="11251" width="9.140625" style="2"/>
    <col min="11252" max="11252" width="3.7109375" style="2" customWidth="1"/>
    <col min="11253" max="11253" width="96.85546875" style="2" customWidth="1"/>
    <col min="11254" max="11254" width="30.85546875" style="2" customWidth="1"/>
    <col min="11255" max="11255" width="12.5703125" style="2" customWidth="1"/>
    <col min="11256" max="11256" width="5.140625" style="2" customWidth="1"/>
    <col min="11257" max="11257" width="9.140625" style="2"/>
    <col min="11258" max="11258" width="4.85546875" style="2" customWidth="1"/>
    <col min="11259" max="11259" width="30.5703125" style="2" customWidth="1"/>
    <col min="11260" max="11260" width="33.85546875" style="2" customWidth="1"/>
    <col min="11261" max="11261" width="5.140625" style="2" customWidth="1"/>
    <col min="11262" max="11263" width="17.5703125" style="2" customWidth="1"/>
    <col min="11264" max="11507" width="9.140625" style="2"/>
    <col min="11508" max="11508" width="3.7109375" style="2" customWidth="1"/>
    <col min="11509" max="11509" width="96.85546875" style="2" customWidth="1"/>
    <col min="11510" max="11510" width="30.85546875" style="2" customWidth="1"/>
    <col min="11511" max="11511" width="12.5703125" style="2" customWidth="1"/>
    <col min="11512" max="11512" width="5.140625" style="2" customWidth="1"/>
    <col min="11513" max="11513" width="9.140625" style="2"/>
    <col min="11514" max="11514" width="4.85546875" style="2" customWidth="1"/>
    <col min="11515" max="11515" width="30.5703125" style="2" customWidth="1"/>
    <col min="11516" max="11516" width="33.85546875" style="2" customWidth="1"/>
    <col min="11517" max="11517" width="5.140625" style="2" customWidth="1"/>
    <col min="11518" max="11519" width="17.5703125" style="2" customWidth="1"/>
    <col min="11520" max="11763" width="9.140625" style="2"/>
    <col min="11764" max="11764" width="3.7109375" style="2" customWidth="1"/>
    <col min="11765" max="11765" width="96.85546875" style="2" customWidth="1"/>
    <col min="11766" max="11766" width="30.85546875" style="2" customWidth="1"/>
    <col min="11767" max="11767" width="12.5703125" style="2" customWidth="1"/>
    <col min="11768" max="11768" width="5.140625" style="2" customWidth="1"/>
    <col min="11769" max="11769" width="9.140625" style="2"/>
    <col min="11770" max="11770" width="4.85546875" style="2" customWidth="1"/>
    <col min="11771" max="11771" width="30.5703125" style="2" customWidth="1"/>
    <col min="11772" max="11772" width="33.85546875" style="2" customWidth="1"/>
    <col min="11773" max="11773" width="5.140625" style="2" customWidth="1"/>
    <col min="11774" max="11775" width="17.5703125" style="2" customWidth="1"/>
    <col min="11776" max="12019" width="9.140625" style="2"/>
    <col min="12020" max="12020" width="3.7109375" style="2" customWidth="1"/>
    <col min="12021" max="12021" width="96.85546875" style="2" customWidth="1"/>
    <col min="12022" max="12022" width="30.85546875" style="2" customWidth="1"/>
    <col min="12023" max="12023" width="12.5703125" style="2" customWidth="1"/>
    <col min="12024" max="12024" width="5.140625" style="2" customWidth="1"/>
    <col min="12025" max="12025" width="9.140625" style="2"/>
    <col min="12026" max="12026" width="4.85546875" style="2" customWidth="1"/>
    <col min="12027" max="12027" width="30.5703125" style="2" customWidth="1"/>
    <col min="12028" max="12028" width="33.85546875" style="2" customWidth="1"/>
    <col min="12029" max="12029" width="5.140625" style="2" customWidth="1"/>
    <col min="12030" max="12031" width="17.5703125" style="2" customWidth="1"/>
    <col min="12032" max="12275" width="9.140625" style="2"/>
    <col min="12276" max="12276" width="3.7109375" style="2" customWidth="1"/>
    <col min="12277" max="12277" width="96.85546875" style="2" customWidth="1"/>
    <col min="12278" max="12278" width="30.85546875" style="2" customWidth="1"/>
    <col min="12279" max="12279" width="12.5703125" style="2" customWidth="1"/>
    <col min="12280" max="12280" width="5.140625" style="2" customWidth="1"/>
    <col min="12281" max="12281" width="9.140625" style="2"/>
    <col min="12282" max="12282" width="4.85546875" style="2" customWidth="1"/>
    <col min="12283" max="12283" width="30.5703125" style="2" customWidth="1"/>
    <col min="12284" max="12284" width="33.85546875" style="2" customWidth="1"/>
    <col min="12285" max="12285" width="5.140625" style="2" customWidth="1"/>
    <col min="12286" max="12287" width="17.5703125" style="2" customWidth="1"/>
    <col min="12288" max="12531" width="9.140625" style="2"/>
    <col min="12532" max="12532" width="3.7109375" style="2" customWidth="1"/>
    <col min="12533" max="12533" width="96.85546875" style="2" customWidth="1"/>
    <col min="12534" max="12534" width="30.85546875" style="2" customWidth="1"/>
    <col min="12535" max="12535" width="12.5703125" style="2" customWidth="1"/>
    <col min="12536" max="12536" width="5.140625" style="2" customWidth="1"/>
    <col min="12537" max="12537" width="9.140625" style="2"/>
    <col min="12538" max="12538" width="4.85546875" style="2" customWidth="1"/>
    <col min="12539" max="12539" width="30.5703125" style="2" customWidth="1"/>
    <col min="12540" max="12540" width="33.85546875" style="2" customWidth="1"/>
    <col min="12541" max="12541" width="5.140625" style="2" customWidth="1"/>
    <col min="12542" max="12543" width="17.5703125" style="2" customWidth="1"/>
    <col min="12544" max="12787" width="9.140625" style="2"/>
    <col min="12788" max="12788" width="3.7109375" style="2" customWidth="1"/>
    <col min="12789" max="12789" width="96.85546875" style="2" customWidth="1"/>
    <col min="12790" max="12790" width="30.85546875" style="2" customWidth="1"/>
    <col min="12791" max="12791" width="12.5703125" style="2" customWidth="1"/>
    <col min="12792" max="12792" width="5.140625" style="2" customWidth="1"/>
    <col min="12793" max="12793" width="9.140625" style="2"/>
    <col min="12794" max="12794" width="4.85546875" style="2" customWidth="1"/>
    <col min="12795" max="12795" width="30.5703125" style="2" customWidth="1"/>
    <col min="12796" max="12796" width="33.85546875" style="2" customWidth="1"/>
    <col min="12797" max="12797" width="5.140625" style="2" customWidth="1"/>
    <col min="12798" max="12799" width="17.5703125" style="2" customWidth="1"/>
    <col min="12800" max="13043" width="9.140625" style="2"/>
    <col min="13044" max="13044" width="3.7109375" style="2" customWidth="1"/>
    <col min="13045" max="13045" width="96.85546875" style="2" customWidth="1"/>
    <col min="13046" max="13046" width="30.85546875" style="2" customWidth="1"/>
    <col min="13047" max="13047" width="12.5703125" style="2" customWidth="1"/>
    <col min="13048" max="13048" width="5.140625" style="2" customWidth="1"/>
    <col min="13049" max="13049" width="9.140625" style="2"/>
    <col min="13050" max="13050" width="4.85546875" style="2" customWidth="1"/>
    <col min="13051" max="13051" width="30.5703125" style="2" customWidth="1"/>
    <col min="13052" max="13052" width="33.85546875" style="2" customWidth="1"/>
    <col min="13053" max="13053" width="5.140625" style="2" customWidth="1"/>
    <col min="13054" max="13055" width="17.5703125" style="2" customWidth="1"/>
    <col min="13056" max="13299" width="9.140625" style="2"/>
    <col min="13300" max="13300" width="3.7109375" style="2" customWidth="1"/>
    <col min="13301" max="13301" width="96.85546875" style="2" customWidth="1"/>
    <col min="13302" max="13302" width="30.85546875" style="2" customWidth="1"/>
    <col min="13303" max="13303" width="12.5703125" style="2" customWidth="1"/>
    <col min="13304" max="13304" width="5.140625" style="2" customWidth="1"/>
    <col min="13305" max="13305" width="9.140625" style="2"/>
    <col min="13306" max="13306" width="4.85546875" style="2" customWidth="1"/>
    <col min="13307" max="13307" width="30.5703125" style="2" customWidth="1"/>
    <col min="13308" max="13308" width="33.85546875" style="2" customWidth="1"/>
    <col min="13309" max="13309" width="5.140625" style="2" customWidth="1"/>
    <col min="13310" max="13311" width="17.5703125" style="2" customWidth="1"/>
    <col min="13312" max="13555" width="9.140625" style="2"/>
    <col min="13556" max="13556" width="3.7109375" style="2" customWidth="1"/>
    <col min="13557" max="13557" width="96.85546875" style="2" customWidth="1"/>
    <col min="13558" max="13558" width="30.85546875" style="2" customWidth="1"/>
    <col min="13559" max="13559" width="12.5703125" style="2" customWidth="1"/>
    <col min="13560" max="13560" width="5.140625" style="2" customWidth="1"/>
    <col min="13561" max="13561" width="9.140625" style="2"/>
    <col min="13562" max="13562" width="4.85546875" style="2" customWidth="1"/>
    <col min="13563" max="13563" width="30.5703125" style="2" customWidth="1"/>
    <col min="13564" max="13564" width="33.85546875" style="2" customWidth="1"/>
    <col min="13565" max="13565" width="5.140625" style="2" customWidth="1"/>
    <col min="13566" max="13567" width="17.5703125" style="2" customWidth="1"/>
    <col min="13568" max="13811" width="9.140625" style="2"/>
    <col min="13812" max="13812" width="3.7109375" style="2" customWidth="1"/>
    <col min="13813" max="13813" width="96.85546875" style="2" customWidth="1"/>
    <col min="13814" max="13814" width="30.85546875" style="2" customWidth="1"/>
    <col min="13815" max="13815" width="12.5703125" style="2" customWidth="1"/>
    <col min="13816" max="13816" width="5.140625" style="2" customWidth="1"/>
    <col min="13817" max="13817" width="9.140625" style="2"/>
    <col min="13818" max="13818" width="4.85546875" style="2" customWidth="1"/>
    <col min="13819" max="13819" width="30.5703125" style="2" customWidth="1"/>
    <col min="13820" max="13820" width="33.85546875" style="2" customWidth="1"/>
    <col min="13821" max="13821" width="5.140625" style="2" customWidth="1"/>
    <col min="13822" max="13823" width="17.5703125" style="2" customWidth="1"/>
    <col min="13824" max="14067" width="9.140625" style="2"/>
    <col min="14068" max="14068" width="3.7109375" style="2" customWidth="1"/>
    <col min="14069" max="14069" width="96.85546875" style="2" customWidth="1"/>
    <col min="14070" max="14070" width="30.85546875" style="2" customWidth="1"/>
    <col min="14071" max="14071" width="12.5703125" style="2" customWidth="1"/>
    <col min="14072" max="14072" width="5.140625" style="2" customWidth="1"/>
    <col min="14073" max="14073" width="9.140625" style="2"/>
    <col min="14074" max="14074" width="4.85546875" style="2" customWidth="1"/>
    <col min="14075" max="14075" width="30.5703125" style="2" customWidth="1"/>
    <col min="14076" max="14076" width="33.85546875" style="2" customWidth="1"/>
    <col min="14077" max="14077" width="5.140625" style="2" customWidth="1"/>
    <col min="14078" max="14079" width="17.5703125" style="2" customWidth="1"/>
    <col min="14080" max="14323" width="9.140625" style="2"/>
    <col min="14324" max="14324" width="3.7109375" style="2" customWidth="1"/>
    <col min="14325" max="14325" width="96.85546875" style="2" customWidth="1"/>
    <col min="14326" max="14326" width="30.85546875" style="2" customWidth="1"/>
    <col min="14327" max="14327" width="12.5703125" style="2" customWidth="1"/>
    <col min="14328" max="14328" width="5.140625" style="2" customWidth="1"/>
    <col min="14329" max="14329" width="9.140625" style="2"/>
    <col min="14330" max="14330" width="4.85546875" style="2" customWidth="1"/>
    <col min="14331" max="14331" width="30.5703125" style="2" customWidth="1"/>
    <col min="14332" max="14332" width="33.85546875" style="2" customWidth="1"/>
    <col min="14333" max="14333" width="5.140625" style="2" customWidth="1"/>
    <col min="14334" max="14335" width="17.5703125" style="2" customWidth="1"/>
    <col min="14336" max="14579" width="9.140625" style="2"/>
    <col min="14580" max="14580" width="3.7109375" style="2" customWidth="1"/>
    <col min="14581" max="14581" width="96.85546875" style="2" customWidth="1"/>
    <col min="14582" max="14582" width="30.85546875" style="2" customWidth="1"/>
    <col min="14583" max="14583" width="12.5703125" style="2" customWidth="1"/>
    <col min="14584" max="14584" width="5.140625" style="2" customWidth="1"/>
    <col min="14585" max="14585" width="9.140625" style="2"/>
    <col min="14586" max="14586" width="4.85546875" style="2" customWidth="1"/>
    <col min="14587" max="14587" width="30.5703125" style="2" customWidth="1"/>
    <col min="14588" max="14588" width="33.85546875" style="2" customWidth="1"/>
    <col min="14589" max="14589" width="5.140625" style="2" customWidth="1"/>
    <col min="14590" max="14591" width="17.5703125" style="2" customWidth="1"/>
    <col min="14592" max="14835" width="9.140625" style="2"/>
    <col min="14836" max="14836" width="3.7109375" style="2" customWidth="1"/>
    <col min="14837" max="14837" width="96.85546875" style="2" customWidth="1"/>
    <col min="14838" max="14838" width="30.85546875" style="2" customWidth="1"/>
    <col min="14839" max="14839" width="12.5703125" style="2" customWidth="1"/>
    <col min="14840" max="14840" width="5.140625" style="2" customWidth="1"/>
    <col min="14841" max="14841" width="9.140625" style="2"/>
    <col min="14842" max="14842" width="4.85546875" style="2" customWidth="1"/>
    <col min="14843" max="14843" width="30.5703125" style="2" customWidth="1"/>
    <col min="14844" max="14844" width="33.85546875" style="2" customWidth="1"/>
    <col min="14845" max="14845" width="5.140625" style="2" customWidth="1"/>
    <col min="14846" max="14847" width="17.5703125" style="2" customWidth="1"/>
    <col min="14848" max="15091" width="9.140625" style="2"/>
    <col min="15092" max="15092" width="3.7109375" style="2" customWidth="1"/>
    <col min="15093" max="15093" width="96.85546875" style="2" customWidth="1"/>
    <col min="15094" max="15094" width="30.85546875" style="2" customWidth="1"/>
    <col min="15095" max="15095" width="12.5703125" style="2" customWidth="1"/>
    <col min="15096" max="15096" width="5.140625" style="2" customWidth="1"/>
    <col min="15097" max="15097" width="9.140625" style="2"/>
    <col min="15098" max="15098" width="4.85546875" style="2" customWidth="1"/>
    <col min="15099" max="15099" width="30.5703125" style="2" customWidth="1"/>
    <col min="15100" max="15100" width="33.85546875" style="2" customWidth="1"/>
    <col min="15101" max="15101" width="5.140625" style="2" customWidth="1"/>
    <col min="15102" max="15103" width="17.5703125" style="2" customWidth="1"/>
    <col min="15104" max="15347" width="9.140625" style="2"/>
    <col min="15348" max="15348" width="3.7109375" style="2" customWidth="1"/>
    <col min="15349" max="15349" width="96.85546875" style="2" customWidth="1"/>
    <col min="15350" max="15350" width="30.85546875" style="2" customWidth="1"/>
    <col min="15351" max="15351" width="12.5703125" style="2" customWidth="1"/>
    <col min="15352" max="15352" width="5.140625" style="2" customWidth="1"/>
    <col min="15353" max="15353" width="9.140625" style="2"/>
    <col min="15354" max="15354" width="4.85546875" style="2" customWidth="1"/>
    <col min="15355" max="15355" width="30.5703125" style="2" customWidth="1"/>
    <col min="15356" max="15356" width="33.85546875" style="2" customWidth="1"/>
    <col min="15357" max="15357" width="5.140625" style="2" customWidth="1"/>
    <col min="15358" max="15359" width="17.5703125" style="2" customWidth="1"/>
    <col min="15360" max="15603" width="9.140625" style="2"/>
    <col min="15604" max="15604" width="3.7109375" style="2" customWidth="1"/>
    <col min="15605" max="15605" width="96.85546875" style="2" customWidth="1"/>
    <col min="15606" max="15606" width="30.85546875" style="2" customWidth="1"/>
    <col min="15607" max="15607" width="12.5703125" style="2" customWidth="1"/>
    <col min="15608" max="15608" width="5.140625" style="2" customWidth="1"/>
    <col min="15609" max="15609" width="9.140625" style="2"/>
    <col min="15610" max="15610" width="4.85546875" style="2" customWidth="1"/>
    <col min="15611" max="15611" width="30.5703125" style="2" customWidth="1"/>
    <col min="15612" max="15612" width="33.85546875" style="2" customWidth="1"/>
    <col min="15613" max="15613" width="5.140625" style="2" customWidth="1"/>
    <col min="15614" max="15615" width="17.5703125" style="2" customWidth="1"/>
    <col min="15616" max="15859" width="9.140625" style="2"/>
    <col min="15860" max="15860" width="3.7109375" style="2" customWidth="1"/>
    <col min="15861" max="15861" width="96.85546875" style="2" customWidth="1"/>
    <col min="15862" max="15862" width="30.85546875" style="2" customWidth="1"/>
    <col min="15863" max="15863" width="12.5703125" style="2" customWidth="1"/>
    <col min="15864" max="15864" width="5.140625" style="2" customWidth="1"/>
    <col min="15865" max="15865" width="9.140625" style="2"/>
    <col min="15866" max="15866" width="4.85546875" style="2" customWidth="1"/>
    <col min="15867" max="15867" width="30.5703125" style="2" customWidth="1"/>
    <col min="15868" max="15868" width="33.85546875" style="2" customWidth="1"/>
    <col min="15869" max="15869" width="5.140625" style="2" customWidth="1"/>
    <col min="15870" max="15871" width="17.5703125" style="2" customWidth="1"/>
    <col min="15872" max="16115" width="9.140625" style="2"/>
    <col min="16116" max="16116" width="3.7109375" style="2" customWidth="1"/>
    <col min="16117" max="16117" width="96.85546875" style="2" customWidth="1"/>
    <col min="16118" max="16118" width="30.85546875" style="2" customWidth="1"/>
    <col min="16119" max="16119" width="12.5703125" style="2" customWidth="1"/>
    <col min="16120" max="16120" width="5.140625" style="2" customWidth="1"/>
    <col min="16121" max="16121" width="9.140625" style="2"/>
    <col min="16122" max="16122" width="4.85546875" style="2" customWidth="1"/>
    <col min="16123" max="16123" width="30.5703125" style="2" customWidth="1"/>
    <col min="16124" max="16124" width="33.85546875" style="2" customWidth="1"/>
    <col min="16125" max="16125" width="5.140625" style="2" customWidth="1"/>
    <col min="16126" max="16127" width="17.5703125" style="2" customWidth="1"/>
    <col min="16128" max="16384" width="9.140625" style="2"/>
  </cols>
  <sheetData>
    <row r="1" spans="1:3" ht="48" customHeight="1" x14ac:dyDescent="0.2">
      <c r="A1" s="3"/>
      <c r="B1" s="143" t="s">
        <v>227</v>
      </c>
      <c r="C1" s="143"/>
    </row>
    <row r="2" spans="1:3" x14ac:dyDescent="0.2">
      <c r="A2" s="3"/>
      <c r="B2" s="4" t="s">
        <v>1</v>
      </c>
      <c r="C2" s="5">
        <v>46052</v>
      </c>
    </row>
    <row r="3" spans="1:3" x14ac:dyDescent="0.2">
      <c r="A3" s="3"/>
      <c r="B3" s="117" t="s">
        <v>2</v>
      </c>
      <c r="C3" s="7"/>
    </row>
    <row r="4" spans="1:3" ht="21" customHeight="1" x14ac:dyDescent="0.2">
      <c r="A4" s="8"/>
      <c r="B4" s="9" t="str">
        <f>[30]И1!D13</f>
        <v>Субъект Российской Федерации</v>
      </c>
      <c r="C4" s="10" t="str">
        <f>[30]И1!E13</f>
        <v>Новосибирская область</v>
      </c>
    </row>
    <row r="5" spans="1:3" ht="37.5" customHeight="1" x14ac:dyDescent="0.2">
      <c r="A5" s="8"/>
      <c r="B5" s="9" t="str">
        <f>[30]И1!D14</f>
        <v>Тип муниципального образования (выберите из списка)</v>
      </c>
      <c r="C5" s="10" t="str">
        <f>[31]И1!E14</f>
        <v xml:space="preserve">село Тальменка, Искитимский муниципальный район </v>
      </c>
    </row>
    <row r="6" spans="1:3" x14ac:dyDescent="0.2">
      <c r="A6" s="8"/>
      <c r="B6" s="9" t="str">
        <f>IF([30]И1!E15="","",[30]И1!D15)</f>
        <v/>
      </c>
      <c r="C6" s="7">
        <f>IF([30]И1!E15="","",[30]И1!E15)</f>
        <v>0</v>
      </c>
    </row>
    <row r="7" spans="1:3" x14ac:dyDescent="0.2">
      <c r="A7" s="8"/>
      <c r="B7" s="9" t="str">
        <f>[30]И1!D16</f>
        <v>Код ОКТМО</v>
      </c>
      <c r="C7" s="11" t="str">
        <f>[31]И1!E16</f>
        <v>(50615428101)</v>
      </c>
    </row>
    <row r="8" spans="1:3" x14ac:dyDescent="0.2">
      <c r="A8" s="8"/>
      <c r="B8" s="12" t="str">
        <f>[30]И1!D17</f>
        <v>Система теплоснабжения</v>
      </c>
      <c r="C8" s="13">
        <f>[30]И1!E17</f>
        <v>0</v>
      </c>
    </row>
    <row r="9" spans="1:3" x14ac:dyDescent="0.2">
      <c r="A9" s="8"/>
      <c r="B9" s="9" t="str">
        <f>[30]И1!D8</f>
        <v>Период регулирования (i)-й</v>
      </c>
      <c r="C9" s="14">
        <f>[30]И1!E8</f>
        <v>2026</v>
      </c>
    </row>
    <row r="10" spans="1:3" x14ac:dyDescent="0.2">
      <c r="A10" s="8"/>
      <c r="B10" s="9" t="str">
        <f>[30]И1!D9</f>
        <v>Период регулирования (i-1)-й</v>
      </c>
      <c r="C10" s="14">
        <f>[30]И1!E9</f>
        <v>2025</v>
      </c>
    </row>
    <row r="11" spans="1:3" x14ac:dyDescent="0.2">
      <c r="A11" s="8"/>
      <c r="B11" s="9" t="str">
        <f>[30]И1!D10</f>
        <v>Период регулирования (i-2)-й</v>
      </c>
      <c r="C11" s="14">
        <f>[30]И1!E10</f>
        <v>2024</v>
      </c>
    </row>
    <row r="12" spans="1:3" x14ac:dyDescent="0.2">
      <c r="A12" s="8"/>
      <c r="B12" s="9" t="str">
        <f>[30]И1!D11</f>
        <v>Базовый год (б)</v>
      </c>
      <c r="C12" s="14">
        <f>[30]И1!E11</f>
        <v>2019</v>
      </c>
    </row>
    <row r="13" spans="1:3" x14ac:dyDescent="0.2">
      <c r="A13" s="8"/>
      <c r="B13" s="9" t="str">
        <f>[30]И1!D18</f>
        <v>Вид топлива, использование которого преобладает в системе теплоснабжения</v>
      </c>
      <c r="C13" s="15" t="str">
        <f>[30]И1!E18</f>
        <v>Газ</v>
      </c>
    </row>
    <row r="14" spans="1:3" ht="26.25" customHeight="1" thickBot="1" x14ac:dyDescent="0.25">
      <c r="A14" s="147" t="s">
        <v>3</v>
      </c>
      <c r="B14" s="147"/>
      <c r="C14" s="147"/>
    </row>
    <row r="15" spans="1:3" x14ac:dyDescent="0.2">
      <c r="A15" s="16" t="s">
        <v>4</v>
      </c>
      <c r="B15" s="30" t="s">
        <v>5</v>
      </c>
      <c r="C15" s="118" t="s">
        <v>6</v>
      </c>
    </row>
    <row r="16" spans="1:3" x14ac:dyDescent="0.2">
      <c r="A16" s="19">
        <v>1</v>
      </c>
      <c r="B16" s="119">
        <v>2</v>
      </c>
      <c r="C16" s="120">
        <v>3</v>
      </c>
    </row>
    <row r="17" spans="1:3" x14ac:dyDescent="0.2">
      <c r="A17" s="22">
        <v>1</v>
      </c>
      <c r="B17" s="23" t="s">
        <v>7</v>
      </c>
      <c r="C17" s="24">
        <f>SUM(C18:C23)</f>
        <v>4430.9172266484948</v>
      </c>
    </row>
    <row r="18" spans="1:3" ht="42.75" x14ac:dyDescent="0.2">
      <c r="A18" s="22" t="s">
        <v>8</v>
      </c>
      <c r="B18" s="25" t="s">
        <v>9</v>
      </c>
      <c r="C18" s="26">
        <f>[30]С1!F12</f>
        <v>1278.3072413778675</v>
      </c>
    </row>
    <row r="19" spans="1:3" ht="42.75" x14ac:dyDescent="0.2">
      <c r="A19" s="22" t="s">
        <v>10</v>
      </c>
      <c r="B19" s="25" t="s">
        <v>11</v>
      </c>
      <c r="C19" s="26">
        <f>[30]С2!F12</f>
        <v>2138.4809328120286</v>
      </c>
    </row>
    <row r="20" spans="1:3" ht="30" x14ac:dyDescent="0.2">
      <c r="A20" s="22" t="s">
        <v>12</v>
      </c>
      <c r="B20" s="25" t="s">
        <v>13</v>
      </c>
      <c r="C20" s="26">
        <f>[30]С3!F12</f>
        <v>648.30389958699197</v>
      </c>
    </row>
    <row r="21" spans="1:3" ht="42.75" x14ac:dyDescent="0.2">
      <c r="A21" s="22" t="s">
        <v>14</v>
      </c>
      <c r="B21" s="25" t="s">
        <v>228</v>
      </c>
      <c r="C21" s="26">
        <f>[30]С4!F12</f>
        <v>278.94442293732197</v>
      </c>
    </row>
    <row r="22" spans="1:3" ht="33" customHeight="1" x14ac:dyDescent="0.2">
      <c r="A22" s="22" t="s">
        <v>16</v>
      </c>
      <c r="B22" s="25" t="s">
        <v>229</v>
      </c>
      <c r="C22" s="26">
        <f>[30]С5!F12</f>
        <v>86.880729934284204</v>
      </c>
    </row>
    <row r="23" spans="1:3" ht="45.75" customHeight="1" thickBot="1" x14ac:dyDescent="0.25">
      <c r="A23" s="27" t="s">
        <v>18</v>
      </c>
      <c r="B23" s="140" t="s">
        <v>230</v>
      </c>
      <c r="C23" s="28">
        <f>[30]С6!F12</f>
        <v>0</v>
      </c>
    </row>
    <row r="24" spans="1:3" ht="13.5" thickBot="1" x14ac:dyDescent="0.25">
      <c r="A24" s="3"/>
      <c r="C24" s="7"/>
    </row>
    <row r="25" spans="1:3" x14ac:dyDescent="0.2">
      <c r="A25" s="16" t="s">
        <v>4</v>
      </c>
      <c r="B25" s="29" t="s">
        <v>5</v>
      </c>
      <c r="C25" s="30" t="s">
        <v>6</v>
      </c>
    </row>
    <row r="26" spans="1:3" x14ac:dyDescent="0.2">
      <c r="A26" s="19">
        <v>1</v>
      </c>
      <c r="B26" s="31">
        <v>2</v>
      </c>
      <c r="C26" s="32">
        <v>3</v>
      </c>
    </row>
    <row r="27" spans="1:3" ht="30" customHeight="1" x14ac:dyDescent="0.2">
      <c r="A27" s="22">
        <v>1</v>
      </c>
      <c r="B27" s="144" t="s">
        <v>20</v>
      </c>
      <c r="C27" s="144"/>
    </row>
    <row r="28" spans="1:3" x14ac:dyDescent="0.2">
      <c r="A28" s="22" t="s">
        <v>8</v>
      </c>
      <c r="B28" s="33" t="s">
        <v>231</v>
      </c>
      <c r="C28" s="34">
        <f>[30]С1.1!E16</f>
        <v>7900</v>
      </c>
    </row>
    <row r="29" spans="1:3" ht="42.75" x14ac:dyDescent="0.2">
      <c r="A29" s="22" t="s">
        <v>10</v>
      </c>
      <c r="B29" s="33" t="s">
        <v>232</v>
      </c>
      <c r="C29" s="34">
        <f>[30]С1.1!E32</f>
        <v>6710.12</v>
      </c>
    </row>
    <row r="30" spans="1:3" ht="128.25" customHeight="1" x14ac:dyDescent="0.2">
      <c r="A30" s="22" t="s">
        <v>233</v>
      </c>
      <c r="B30" s="33" t="s">
        <v>234</v>
      </c>
      <c r="C30" s="85" t="str">
        <f>[30]С1.1!E25</f>
        <v>ООО "Газпром межрегионгаз Новосибирск", ООО "Газпром газораспределение Томск" (с 17.02.2025 ООО "Газпром газораспределение Сибирь")</v>
      </c>
    </row>
    <row r="31" spans="1:3" ht="38.25" x14ac:dyDescent="0.2">
      <c r="A31" s="22" t="s">
        <v>235</v>
      </c>
      <c r="B31" s="33" t="str">
        <f>[30]С1.1!D26</f>
        <v>Среднеарифметическое значение между установленными предельными максимальным и минимальным уровнями оптовых цен, действовавшими на день окончания (i-2)-го расчетного периода регулирования в системе теплоснабжения, без НДС, руб./тыс. куб. м</v>
      </c>
      <c r="C31" s="34">
        <f>[30]С1.1!E26</f>
        <v>5670</v>
      </c>
    </row>
    <row r="32" spans="1:3" ht="46.5" customHeight="1" x14ac:dyDescent="0.2">
      <c r="A32" s="22" t="s">
        <v>236</v>
      </c>
      <c r="B32" s="33" t="str">
        <f>[30]С1.1!D27</f>
        <v>Тариф на услуги по транспортировке газа по газораспределительным сетям, действовавший на день окончания (i-2)-го расчетного периода регулирования в системе теплоснабжения, без НДС, руб./тыс. куб. м</v>
      </c>
      <c r="C32" s="34">
        <f>[30]С1.1!E27</f>
        <v>689.14</v>
      </c>
    </row>
    <row r="33" spans="1:3" ht="39" customHeight="1" x14ac:dyDescent="0.2">
      <c r="A33" s="22" t="s">
        <v>237</v>
      </c>
      <c r="B33" s="33" t="str">
        <f>[30]С1.1!D28</f>
        <v>Размер платы за снабженческо-сбытовые услуги, действовавший на день окончания (i-2)-го расчетного периода регулирования в системе теплоснабжения, без НДС, руб./тыс. куб. м</v>
      </c>
      <c r="C33" s="34">
        <f>[30]С1.1!E28</f>
        <v>144.72999999999999</v>
      </c>
    </row>
    <row r="34" spans="1:3" ht="90" customHeight="1" x14ac:dyDescent="0.2">
      <c r="A34" s="22" t="s">
        <v>238</v>
      </c>
      <c r="B34" s="33" t="str">
        <f>[30]С1.1!D29</f>
        <v>Специальная надбавка к тарифам на услуги по транспортировке газа по газораспределительным сетям, действовавшая на день окончания (i-2)-го расчетного периода регулирования в системе теплоснабжения, без НДС, руб./тыс. куб. м</v>
      </c>
      <c r="C34" s="34">
        <f>[30]С1.1!E29</f>
        <v>206.25</v>
      </c>
    </row>
    <row r="35" spans="1:3" ht="287.25" customHeight="1" x14ac:dyDescent="0.2">
      <c r="A35" s="22" t="s">
        <v>12</v>
      </c>
      <c r="B35" s="33" t="s">
        <v>23</v>
      </c>
      <c r="C35" s="35">
        <f>[30]С1.1!E20</f>
        <v>0.21299999999999999</v>
      </c>
    </row>
    <row r="36" spans="1:3" ht="298.5" customHeight="1" x14ac:dyDescent="0.2">
      <c r="A36" s="22" t="s">
        <v>14</v>
      </c>
      <c r="B36" s="33" t="s">
        <v>24</v>
      </c>
      <c r="C36" s="35">
        <f>[30]С1.1!E21</f>
        <v>9.6000000000000002E-2</v>
      </c>
    </row>
    <row r="37" spans="1:3" ht="30" x14ac:dyDescent="0.2">
      <c r="A37" s="22" t="s">
        <v>16</v>
      </c>
      <c r="B37" s="36" t="s">
        <v>239</v>
      </c>
      <c r="C37" s="121">
        <f>[30]С1!F13</f>
        <v>156.1</v>
      </c>
    </row>
    <row r="38" spans="1:3" x14ac:dyDescent="0.2">
      <c r="A38" s="22" t="s">
        <v>18</v>
      </c>
      <c r="B38" s="36" t="s">
        <v>26</v>
      </c>
      <c r="C38" s="38">
        <f>[30]С1!F16</f>
        <v>7000</v>
      </c>
    </row>
    <row r="39" spans="1:3" ht="14.25" x14ac:dyDescent="0.2">
      <c r="A39" s="122" t="s">
        <v>27</v>
      </c>
      <c r="B39" s="39" t="s">
        <v>240</v>
      </c>
      <c r="C39" s="40">
        <f>[30]С1!F17</f>
        <v>1.1285714285714286</v>
      </c>
    </row>
    <row r="40" spans="1:3" ht="15.75" x14ac:dyDescent="0.2">
      <c r="A40" s="123" t="s">
        <v>29</v>
      </c>
      <c r="B40" s="42" t="s">
        <v>30</v>
      </c>
      <c r="C40" s="40">
        <f>[30]С1!F20</f>
        <v>22.307053372799995</v>
      </c>
    </row>
    <row r="41" spans="1:3" ht="15.75" x14ac:dyDescent="0.2">
      <c r="A41" s="123" t="s">
        <v>31</v>
      </c>
      <c r="B41" s="43" t="s">
        <v>32</v>
      </c>
      <c r="C41" s="40">
        <f>[30]С1!F21</f>
        <v>21.531904799999996</v>
      </c>
    </row>
    <row r="42" spans="1:3" ht="14.25" x14ac:dyDescent="0.2">
      <c r="A42" s="123" t="s">
        <v>33</v>
      </c>
      <c r="B42" s="44" t="s">
        <v>34</v>
      </c>
      <c r="C42" s="40">
        <f>[30]С1!F22</f>
        <v>1.036</v>
      </c>
    </row>
    <row r="43" spans="1:3" ht="53.25" thickBot="1" x14ac:dyDescent="0.25">
      <c r="A43" s="27" t="s">
        <v>35</v>
      </c>
      <c r="B43" s="45" t="s">
        <v>36</v>
      </c>
      <c r="C43" s="46" t="str">
        <f>[30]С1!F23</f>
        <v>-</v>
      </c>
    </row>
    <row r="44" spans="1:3" ht="13.5" thickBot="1" x14ac:dyDescent="0.25">
      <c r="A44" s="47"/>
      <c r="B44" s="75"/>
      <c r="C44" s="15"/>
    </row>
    <row r="45" spans="1:3" ht="30" customHeight="1" x14ac:dyDescent="0.2">
      <c r="A45" s="50" t="s">
        <v>37</v>
      </c>
      <c r="B45" s="145" t="s">
        <v>38</v>
      </c>
      <c r="C45" s="145"/>
    </row>
    <row r="46" spans="1:3" ht="25.5" x14ac:dyDescent="0.2">
      <c r="A46" s="22" t="s">
        <v>39</v>
      </c>
      <c r="B46" s="36" t="s">
        <v>40</v>
      </c>
      <c r="C46" s="51" t="str">
        <f>[30]С2.1!E12</f>
        <v>V</v>
      </c>
    </row>
    <row r="47" spans="1:3" ht="25.5" x14ac:dyDescent="0.2">
      <c r="A47" s="22" t="s">
        <v>41</v>
      </c>
      <c r="B47" s="33" t="s">
        <v>42</v>
      </c>
      <c r="C47" s="51" t="str">
        <f>[30]С2.1!E13</f>
        <v>6 и менее баллов</v>
      </c>
    </row>
    <row r="48" spans="1:3" ht="25.5" x14ac:dyDescent="0.2">
      <c r="A48" s="22" t="s">
        <v>43</v>
      </c>
      <c r="B48" s="33" t="s">
        <v>241</v>
      </c>
      <c r="C48" s="51" t="str">
        <f>[30]С2.1!E14</f>
        <v>до 200</v>
      </c>
    </row>
    <row r="49" spans="1:3" ht="25.5" x14ac:dyDescent="0.2">
      <c r="A49" s="22" t="s">
        <v>45</v>
      </c>
      <c r="B49" s="33" t="s">
        <v>242</v>
      </c>
      <c r="C49" s="52" t="str">
        <f>[30]С2.1!E15</f>
        <v>нет</v>
      </c>
    </row>
    <row r="50" spans="1:3" ht="30" x14ac:dyDescent="0.2">
      <c r="A50" s="22" t="s">
        <v>47</v>
      </c>
      <c r="B50" s="33" t="s">
        <v>48</v>
      </c>
      <c r="C50" s="34">
        <f>[30]С2!F18</f>
        <v>40220.845230503684</v>
      </c>
    </row>
    <row r="51" spans="1:3" ht="30" x14ac:dyDescent="0.2">
      <c r="A51" s="22" t="s">
        <v>49</v>
      </c>
      <c r="B51" s="53" t="s">
        <v>50</v>
      </c>
      <c r="C51" s="34">
        <f>IF([30]С2!F19&gt;0,[30]С2!F19,[30]С2!F20)</f>
        <v>23441.524932855718</v>
      </c>
    </row>
    <row r="52" spans="1:3" ht="163.5" customHeight="1" x14ac:dyDescent="0.2">
      <c r="A52" s="22" t="s">
        <v>51</v>
      </c>
      <c r="B52" s="54" t="s">
        <v>52</v>
      </c>
      <c r="C52" s="34">
        <f>[30]С2.1!E20</f>
        <v>-37</v>
      </c>
    </row>
    <row r="53" spans="1:3" ht="42.75" customHeight="1" x14ac:dyDescent="0.2">
      <c r="A53" s="22" t="s">
        <v>53</v>
      </c>
      <c r="B53" s="54" t="s">
        <v>54</v>
      </c>
      <c r="C53" s="34" t="str">
        <f>[30]С2.1!E23</f>
        <v>нет</v>
      </c>
    </row>
    <row r="54" spans="1:3" ht="38.25" x14ac:dyDescent="0.2">
      <c r="A54" s="22" t="s">
        <v>55</v>
      </c>
      <c r="B54" s="55" t="s">
        <v>56</v>
      </c>
      <c r="C54" s="34">
        <f>[30]С2.2!E10</f>
        <v>1287</v>
      </c>
    </row>
    <row r="55" spans="1:3" ht="25.5" x14ac:dyDescent="0.2">
      <c r="A55" s="22" t="s">
        <v>57</v>
      </c>
      <c r="B55" s="56" t="s">
        <v>58</v>
      </c>
      <c r="C55" s="34">
        <f>[30]С2.2!E12</f>
        <v>5.97</v>
      </c>
    </row>
    <row r="56" spans="1:3" ht="52.5" x14ac:dyDescent="0.2">
      <c r="A56" s="22" t="s">
        <v>59</v>
      </c>
      <c r="B56" s="57" t="s">
        <v>60</v>
      </c>
      <c r="C56" s="34">
        <f>[30]С2.2!E13</f>
        <v>1</v>
      </c>
    </row>
    <row r="57" spans="1:3" ht="27.75" x14ac:dyDescent="0.2">
      <c r="A57" s="22" t="s">
        <v>61</v>
      </c>
      <c r="B57" s="56" t="s">
        <v>62</v>
      </c>
      <c r="C57" s="34">
        <f>[30]С2.2!E14</f>
        <v>12104</v>
      </c>
    </row>
    <row r="58" spans="1:3" ht="109.5" customHeight="1" x14ac:dyDescent="0.2">
      <c r="A58" s="22" t="s">
        <v>63</v>
      </c>
      <c r="B58" s="57" t="s">
        <v>64</v>
      </c>
      <c r="C58" s="35">
        <f>[30]С2.2!E15</f>
        <v>4.8000000000000001E-2</v>
      </c>
    </row>
    <row r="59" spans="1:3" ht="104.25" customHeight="1" x14ac:dyDescent="0.2">
      <c r="A59" s="22" t="s">
        <v>65</v>
      </c>
      <c r="B59" s="57" t="s">
        <v>66</v>
      </c>
      <c r="C59" s="124">
        <f>[30]С2.2!E16</f>
        <v>1</v>
      </c>
    </row>
    <row r="60" spans="1:3" ht="15.75" x14ac:dyDescent="0.2">
      <c r="A60" s="22" t="s">
        <v>67</v>
      </c>
      <c r="B60" s="58" t="s">
        <v>68</v>
      </c>
      <c r="C60" s="34">
        <f>[30]С2!F21</f>
        <v>1</v>
      </c>
    </row>
    <row r="61" spans="1:3" ht="30" x14ac:dyDescent="0.2">
      <c r="A61" s="59" t="s">
        <v>69</v>
      </c>
      <c r="B61" s="33" t="s">
        <v>243</v>
      </c>
      <c r="C61" s="34">
        <f>[30]С2!F13</f>
        <v>119259.45174981897</v>
      </c>
    </row>
    <row r="62" spans="1:3" ht="30" x14ac:dyDescent="0.2">
      <c r="A62" s="59" t="s">
        <v>71</v>
      </c>
      <c r="B62" s="60" t="s">
        <v>244</v>
      </c>
      <c r="C62" s="34">
        <f>[30]С2!F14</f>
        <v>64899</v>
      </c>
    </row>
    <row r="63" spans="1:3" ht="15.75" x14ac:dyDescent="0.2">
      <c r="A63" s="59" t="s">
        <v>73</v>
      </c>
      <c r="B63" s="60" t="s">
        <v>74</v>
      </c>
      <c r="C63" s="40">
        <f>[30]С2!F15</f>
        <v>1.071</v>
      </c>
    </row>
    <row r="64" spans="1:3" ht="15.75" x14ac:dyDescent="0.2">
      <c r="A64" s="59" t="s">
        <v>75</v>
      </c>
      <c r="B64" s="60" t="s">
        <v>76</v>
      </c>
      <c r="C64" s="125">
        <f>[30]С2!F16</f>
        <v>1</v>
      </c>
    </row>
    <row r="65" spans="1:3" ht="17.25" x14ac:dyDescent="0.2">
      <c r="A65" s="59" t="s">
        <v>77</v>
      </c>
      <c r="B65" s="60" t="s">
        <v>78</v>
      </c>
      <c r="C65" s="126">
        <f>[30]С2!F17</f>
        <v>1</v>
      </c>
    </row>
    <row r="66" spans="1:3" s="63" customFormat="1" ht="14.25" x14ac:dyDescent="0.2">
      <c r="A66" s="59" t="s">
        <v>79</v>
      </c>
      <c r="B66" s="61" t="s">
        <v>80</v>
      </c>
      <c r="C66" s="62">
        <f>[30]С2!F35</f>
        <v>10</v>
      </c>
    </row>
    <row r="67" spans="1:3" ht="30" x14ac:dyDescent="0.2">
      <c r="A67" s="59" t="s">
        <v>81</v>
      </c>
      <c r="B67" s="64" t="s">
        <v>82</v>
      </c>
      <c r="C67" s="34">
        <f>[30]С2!F28</f>
        <v>379.2714742785962</v>
      </c>
    </row>
    <row r="68" spans="1:3" ht="274.5" customHeight="1" x14ac:dyDescent="0.2">
      <c r="A68" s="59" t="s">
        <v>83</v>
      </c>
      <c r="B68" s="53" t="s">
        <v>245</v>
      </c>
      <c r="C68" s="40">
        <f>[30]С2!F29</f>
        <v>0.44209422600000003</v>
      </c>
    </row>
    <row r="69" spans="1:3" ht="17.25" x14ac:dyDescent="0.2">
      <c r="A69" s="59" t="s">
        <v>85</v>
      </c>
      <c r="B69" s="58" t="s">
        <v>246</v>
      </c>
      <c r="C69" s="62">
        <f>[30]С2!F30</f>
        <v>500</v>
      </c>
    </row>
    <row r="70" spans="1:3" ht="42.75" x14ac:dyDescent="0.2">
      <c r="A70" s="59" t="s">
        <v>87</v>
      </c>
      <c r="B70" s="33" t="s">
        <v>247</v>
      </c>
      <c r="C70" s="34">
        <f>[30]С2!F22</f>
        <v>24548.869037237404</v>
      </c>
    </row>
    <row r="71" spans="1:3" ht="30" x14ac:dyDescent="0.2">
      <c r="A71" s="59" t="s">
        <v>89</v>
      </c>
      <c r="B71" s="60" t="s">
        <v>248</v>
      </c>
      <c r="C71" s="34">
        <f>[30]С2!F23</f>
        <v>21</v>
      </c>
    </row>
    <row r="72" spans="1:3" ht="30" x14ac:dyDescent="0.2">
      <c r="A72" s="59" t="s">
        <v>91</v>
      </c>
      <c r="B72" s="53" t="s">
        <v>92</v>
      </c>
      <c r="C72" s="34">
        <f>[30]С2.1!E28</f>
        <v>5515.9310416666667</v>
      </c>
    </row>
    <row r="73" spans="1:3" ht="38.25" x14ac:dyDescent="0.2">
      <c r="A73" s="59" t="s">
        <v>93</v>
      </c>
      <c r="B73" s="65" t="s">
        <v>94</v>
      </c>
      <c r="C73" s="52" t="str">
        <f>[30]С2.3!E21</f>
        <v>МУП г. Новосибирска "Горводоканал"</v>
      </c>
    </row>
    <row r="74" spans="1:3" ht="25.5" x14ac:dyDescent="0.2">
      <c r="A74" s="59" t="s">
        <v>95</v>
      </c>
      <c r="B74" s="66" t="s">
        <v>96</v>
      </c>
      <c r="C74" s="67">
        <f>[30]С2.3!E11</f>
        <v>5.45</v>
      </c>
    </row>
    <row r="75" spans="1:3" ht="25.5" x14ac:dyDescent="0.2">
      <c r="A75" s="59" t="s">
        <v>97</v>
      </c>
      <c r="B75" s="66" t="s">
        <v>98</v>
      </c>
      <c r="C75" s="62">
        <f>[30]С2.3!E13</f>
        <v>300</v>
      </c>
    </row>
    <row r="76" spans="1:3" ht="336" customHeight="1" x14ac:dyDescent="0.2">
      <c r="A76" s="59" t="s">
        <v>99</v>
      </c>
      <c r="B76" s="65" t="s">
        <v>100</v>
      </c>
      <c r="C76" s="68">
        <f>IF([30]С2.3!E22&gt;0,[30]С2.3!E22,[30]С2.3!E14)</f>
        <v>20170.833333333332</v>
      </c>
    </row>
    <row r="77" spans="1:3" ht="38.25" x14ac:dyDescent="0.2">
      <c r="A77" s="59" t="s">
        <v>101</v>
      </c>
      <c r="B77" s="65" t="s">
        <v>102</v>
      </c>
      <c r="C77" s="68">
        <f>IF([30]С2.3!E23&gt;0,[30]С2.3!E23,[30]С2.3!E15)</f>
        <v>18020</v>
      </c>
    </row>
    <row r="78" spans="1:3" ht="30" x14ac:dyDescent="0.2">
      <c r="A78" s="59" t="s">
        <v>103</v>
      </c>
      <c r="B78" s="53" t="s">
        <v>104</v>
      </c>
      <c r="C78" s="34">
        <f>[30]С2.1!E29</f>
        <v>5878.6480833333326</v>
      </c>
    </row>
    <row r="79" spans="1:3" ht="38.25" x14ac:dyDescent="0.2">
      <c r="A79" s="59" t="s">
        <v>105</v>
      </c>
      <c r="B79" s="65" t="s">
        <v>106</v>
      </c>
      <c r="C79" s="52" t="str">
        <f>[30]С2.3!E25</f>
        <v>МУП г. Новосибирска "Горводоканал"</v>
      </c>
    </row>
    <row r="80" spans="1:3" ht="25.5" x14ac:dyDescent="0.2">
      <c r="A80" s="59" t="s">
        <v>107</v>
      </c>
      <c r="B80" s="66" t="s">
        <v>108</v>
      </c>
      <c r="C80" s="67">
        <f>[30]С2.3!E12</f>
        <v>0.2</v>
      </c>
    </row>
    <row r="81" spans="1:3" ht="25.5" x14ac:dyDescent="0.2">
      <c r="A81" s="59" t="s">
        <v>109</v>
      </c>
      <c r="B81" s="66" t="s">
        <v>98</v>
      </c>
      <c r="C81" s="62">
        <f>[30]С2.3!E13</f>
        <v>300</v>
      </c>
    </row>
    <row r="82" spans="1:3" ht="330" customHeight="1" x14ac:dyDescent="0.2">
      <c r="A82" s="59" t="s">
        <v>110</v>
      </c>
      <c r="B82" s="69" t="s">
        <v>111</v>
      </c>
      <c r="C82" s="68">
        <f>IF([30]С2.3!E26&gt;0,[30]С2.3!E26,[30]С2.3!E16)</f>
        <v>38240.416666666664</v>
      </c>
    </row>
    <row r="83" spans="1:3" ht="322.5" customHeight="1" x14ac:dyDescent="0.2">
      <c r="A83" s="59" t="s">
        <v>112</v>
      </c>
      <c r="B83" s="69" t="s">
        <v>113</v>
      </c>
      <c r="C83" s="68">
        <f>IF([30]С2.3!E27&gt;0,[30]С2.3!E27,[30]С2.3!E17)</f>
        <v>19570</v>
      </c>
    </row>
    <row r="84" spans="1:3" ht="30" x14ac:dyDescent="0.2">
      <c r="A84" s="59" t="s">
        <v>249</v>
      </c>
      <c r="B84" s="60" t="s">
        <v>250</v>
      </c>
      <c r="C84" s="68">
        <f>IF([30]С2.1!E19&gt;0,[30]С2.1!E19,[30]С2!F26)</f>
        <v>2892</v>
      </c>
    </row>
    <row r="85" spans="1:3" ht="17.25" x14ac:dyDescent="0.2">
      <c r="A85" s="59" t="s">
        <v>114</v>
      </c>
      <c r="B85" s="33" t="s">
        <v>115</v>
      </c>
      <c r="C85" s="35">
        <f>[30]С2!F31</f>
        <v>0.21369165990259753</v>
      </c>
    </row>
    <row r="86" spans="1:3" ht="30" x14ac:dyDescent="0.2">
      <c r="A86" s="59" t="s">
        <v>116</v>
      </c>
      <c r="B86" s="53" t="s">
        <v>117</v>
      </c>
      <c r="C86" s="70">
        <f>[30]С2!F32</f>
        <v>0.20047619047619047</v>
      </c>
    </row>
    <row r="87" spans="1:3" ht="17.25" x14ac:dyDescent="0.2">
      <c r="A87" s="59" t="s">
        <v>118</v>
      </c>
      <c r="B87" s="71" t="s">
        <v>119</v>
      </c>
      <c r="C87" s="35">
        <f>[30]С2!F33</f>
        <v>0.13880000000000001</v>
      </c>
    </row>
    <row r="88" spans="1:3" s="63" customFormat="1" ht="18" thickBot="1" x14ac:dyDescent="0.25">
      <c r="A88" s="72" t="s">
        <v>120</v>
      </c>
      <c r="B88" s="73" t="s">
        <v>121</v>
      </c>
      <c r="C88" s="74">
        <f>[30]С2!F34</f>
        <v>0.12640000000000001</v>
      </c>
    </row>
    <row r="89" spans="1:3" ht="13.5" thickBot="1" x14ac:dyDescent="0.25">
      <c r="A89" s="47"/>
      <c r="B89" s="75"/>
      <c r="C89" s="15"/>
    </row>
    <row r="90" spans="1:3" s="63" customFormat="1" ht="30" customHeight="1" x14ac:dyDescent="0.2">
      <c r="A90" s="76" t="s">
        <v>122</v>
      </c>
      <c r="B90" s="145" t="s">
        <v>123</v>
      </c>
      <c r="C90" s="145"/>
    </row>
    <row r="91" spans="1:3" s="63" customFormat="1" ht="30" x14ac:dyDescent="0.2">
      <c r="A91" s="77" t="s">
        <v>124</v>
      </c>
      <c r="B91" s="33" t="s">
        <v>125</v>
      </c>
      <c r="C91" s="34">
        <f>[30]С3!F14</f>
        <v>11258.985598028818</v>
      </c>
    </row>
    <row r="92" spans="1:3" s="63" customFormat="1" ht="42.75" x14ac:dyDescent="0.2">
      <c r="A92" s="77" t="s">
        <v>126</v>
      </c>
      <c r="B92" s="53" t="s">
        <v>127</v>
      </c>
      <c r="C92" s="78">
        <f>[30]С3!F15</f>
        <v>0.25</v>
      </c>
    </row>
    <row r="93" spans="1:3" s="63" customFormat="1" ht="14.25" x14ac:dyDescent="0.2">
      <c r="A93" s="77" t="s">
        <v>128</v>
      </c>
      <c r="B93" s="79" t="s">
        <v>129</v>
      </c>
      <c r="C93" s="62">
        <f>[30]С3!F18</f>
        <v>15</v>
      </c>
    </row>
    <row r="94" spans="1:3" s="63" customFormat="1" ht="17.25" x14ac:dyDescent="0.2">
      <c r="A94" s="77" t="s">
        <v>130</v>
      </c>
      <c r="B94" s="33" t="s">
        <v>131</v>
      </c>
      <c r="C94" s="34">
        <f>[30]С3!F19</f>
        <v>2699.0944349242141</v>
      </c>
    </row>
    <row r="95" spans="1:3" s="63" customFormat="1" ht="55.5" x14ac:dyDescent="0.2">
      <c r="A95" s="77" t="s">
        <v>132</v>
      </c>
      <c r="B95" s="53" t="s">
        <v>133</v>
      </c>
      <c r="C95" s="80">
        <f>[30]С3!F20</f>
        <v>2.1999999999999999E-2</v>
      </c>
    </row>
    <row r="96" spans="1:3" s="63" customFormat="1" ht="14.25" x14ac:dyDescent="0.2">
      <c r="A96" s="77" t="s">
        <v>134</v>
      </c>
      <c r="B96" s="58" t="s">
        <v>80</v>
      </c>
      <c r="C96" s="62">
        <f>[30]С3!F21</f>
        <v>10</v>
      </c>
    </row>
    <row r="97" spans="1:3" s="63" customFormat="1" ht="17.25" x14ac:dyDescent="0.2">
      <c r="A97" s="77" t="s">
        <v>135</v>
      </c>
      <c r="B97" s="33" t="s">
        <v>136</v>
      </c>
      <c r="C97" s="34">
        <f>[30]С3!F22</f>
        <v>1.1378144228357887</v>
      </c>
    </row>
    <row r="98" spans="1:3" s="63" customFormat="1" ht="161.25" customHeight="1" x14ac:dyDescent="0.2">
      <c r="A98" s="77" t="s">
        <v>137</v>
      </c>
      <c r="B98" s="53" t="s">
        <v>138</v>
      </c>
      <c r="C98" s="80">
        <f>[30]С3!F23</f>
        <v>3.0000000000000001E-3</v>
      </c>
    </row>
    <row r="99" spans="1:3" s="63" customFormat="1" ht="30.75" thickBot="1" x14ac:dyDescent="0.25">
      <c r="A99" s="81" t="s">
        <v>139</v>
      </c>
      <c r="B99" s="82" t="s">
        <v>82</v>
      </c>
      <c r="C99" s="83">
        <f>[30]С3!F24</f>
        <v>379.2714742785962</v>
      </c>
    </row>
    <row r="100" spans="1:3" ht="13.5" thickBot="1" x14ac:dyDescent="0.25">
      <c r="A100" s="47"/>
      <c r="B100" s="75"/>
      <c r="C100" s="15"/>
    </row>
    <row r="101" spans="1:3" ht="30" customHeight="1" x14ac:dyDescent="0.2">
      <c r="A101" s="84" t="s">
        <v>141</v>
      </c>
      <c r="B101" s="145" t="s">
        <v>142</v>
      </c>
      <c r="C101" s="145"/>
    </row>
    <row r="102" spans="1:3" ht="30" x14ac:dyDescent="0.2">
      <c r="A102" s="59" t="s">
        <v>143</v>
      </c>
      <c r="B102" s="33" t="s">
        <v>251</v>
      </c>
      <c r="C102" s="34">
        <f>[30]С4!F16</f>
        <v>832.33500000000004</v>
      </c>
    </row>
    <row r="103" spans="1:3" ht="30" x14ac:dyDescent="0.2">
      <c r="A103" s="59" t="s">
        <v>145</v>
      </c>
      <c r="B103" s="58" t="s">
        <v>252</v>
      </c>
      <c r="C103" s="34">
        <f>[30]С4!F17</f>
        <v>43385</v>
      </c>
    </row>
    <row r="104" spans="1:3" ht="17.25" x14ac:dyDescent="0.2">
      <c r="A104" s="59" t="s">
        <v>147</v>
      </c>
      <c r="B104" s="58" t="s">
        <v>148</v>
      </c>
      <c r="C104" s="40">
        <f>[30]С4!F18</f>
        <v>1.4999999999999999E-2</v>
      </c>
    </row>
    <row r="105" spans="1:3" ht="30" x14ac:dyDescent="0.2">
      <c r="A105" s="59" t="s">
        <v>149</v>
      </c>
      <c r="B105" s="58" t="s">
        <v>150</v>
      </c>
      <c r="C105" s="34">
        <f>[30]С4!F19</f>
        <v>12104</v>
      </c>
    </row>
    <row r="106" spans="1:3" ht="31.5" x14ac:dyDescent="0.2">
      <c r="A106" s="59" t="s">
        <v>151</v>
      </c>
      <c r="B106" s="58" t="s">
        <v>152</v>
      </c>
      <c r="C106" s="40">
        <f>[30]С4!F20</f>
        <v>1.4999999999999999E-2</v>
      </c>
    </row>
    <row r="107" spans="1:3" ht="30" x14ac:dyDescent="0.2">
      <c r="A107" s="59" t="s">
        <v>153</v>
      </c>
      <c r="B107" s="33" t="s">
        <v>253</v>
      </c>
      <c r="C107" s="34">
        <f>[30]С4!F21</f>
        <v>1221.9019409821399</v>
      </c>
    </row>
    <row r="108" spans="1:3" ht="45.6" customHeight="1" x14ac:dyDescent="0.2">
      <c r="A108" s="59" t="s">
        <v>155</v>
      </c>
      <c r="B108" s="53" t="s">
        <v>156</v>
      </c>
      <c r="C108" s="85" t="str">
        <f>IF([30]С4.2!F8="да",[30]С4.2!D21,[30]С4.2!D15)</f>
        <v>АО "Новосибирскэнергосбыт"</v>
      </c>
    </row>
    <row r="109" spans="1:3" ht="68.25" customHeight="1" x14ac:dyDescent="0.2">
      <c r="A109" s="59" t="s">
        <v>157</v>
      </c>
      <c r="B109" s="53" t="s">
        <v>158</v>
      </c>
      <c r="C109" s="34">
        <f>[30]С4!F22</f>
        <v>3.6112641666666665</v>
      </c>
    </row>
    <row r="110" spans="1:3" ht="30" x14ac:dyDescent="0.2">
      <c r="A110" s="59" t="s">
        <v>159</v>
      </c>
      <c r="B110" s="58" t="s">
        <v>254</v>
      </c>
      <c r="C110" s="62">
        <f>[30]С4!F23</f>
        <v>110</v>
      </c>
    </row>
    <row r="111" spans="1:3" ht="14.25" x14ac:dyDescent="0.2">
      <c r="A111" s="59" t="s">
        <v>161</v>
      </c>
      <c r="B111" s="53" t="s">
        <v>162</v>
      </c>
      <c r="C111" s="34">
        <f>[30]С4!F24</f>
        <v>8497.1999999999989</v>
      </c>
    </row>
    <row r="112" spans="1:3" ht="14.25" x14ac:dyDescent="0.2">
      <c r="A112" s="59" t="s">
        <v>163</v>
      </c>
      <c r="B112" s="58" t="s">
        <v>164</v>
      </c>
      <c r="C112" s="40">
        <f>[30]С4!F25</f>
        <v>0.36199999999999999</v>
      </c>
    </row>
    <row r="113" spans="1:3" ht="17.25" x14ac:dyDescent="0.2">
      <c r="A113" s="59" t="s">
        <v>165</v>
      </c>
      <c r="B113" s="33" t="s">
        <v>166</v>
      </c>
      <c r="C113" s="34">
        <f>[30]С4!F26</f>
        <v>45.755149999999993</v>
      </c>
    </row>
    <row r="114" spans="1:3" ht="25.5" x14ac:dyDescent="0.2">
      <c r="A114" s="59" t="s">
        <v>167</v>
      </c>
      <c r="B114" s="53" t="s">
        <v>94</v>
      </c>
      <c r="C114" s="85">
        <f>[30]С4.3!E16</f>
        <v>0</v>
      </c>
    </row>
    <row r="115" spans="1:3" ht="360" customHeight="1" x14ac:dyDescent="0.2">
      <c r="A115" s="59" t="s">
        <v>168</v>
      </c>
      <c r="B115" s="53" t="s">
        <v>169</v>
      </c>
      <c r="C115" s="34">
        <f>[30]С4.3!E17</f>
        <v>23.13</v>
      </c>
    </row>
    <row r="116" spans="1:3" ht="38.25" x14ac:dyDescent="0.2">
      <c r="A116" s="59" t="s">
        <v>170</v>
      </c>
      <c r="B116" s="53" t="s">
        <v>106</v>
      </c>
      <c r="C116" s="85">
        <f>[30]С4.3!E18</f>
        <v>0</v>
      </c>
    </row>
    <row r="117" spans="1:3" ht="374.25" customHeight="1" x14ac:dyDescent="0.2">
      <c r="A117" s="59" t="s">
        <v>171</v>
      </c>
      <c r="B117" s="53" t="s">
        <v>172</v>
      </c>
      <c r="C117" s="34">
        <f>[30]С4.3!E19</f>
        <v>14.63</v>
      </c>
    </row>
    <row r="118" spans="1:3" x14ac:dyDescent="0.2">
      <c r="A118" s="59" t="s">
        <v>173</v>
      </c>
      <c r="B118" s="58" t="s">
        <v>174</v>
      </c>
      <c r="C118" s="62">
        <f>[30]С4.3!E11</f>
        <v>1871</v>
      </c>
    </row>
    <row r="119" spans="1:3" x14ac:dyDescent="0.2">
      <c r="A119" s="59" t="s">
        <v>175</v>
      </c>
      <c r="B119" s="58" t="s">
        <v>176</v>
      </c>
      <c r="C119" s="52">
        <f>[30]С4.3!E12</f>
        <v>61</v>
      </c>
    </row>
    <row r="120" spans="1:3" x14ac:dyDescent="0.2">
      <c r="A120" s="59" t="s">
        <v>177</v>
      </c>
      <c r="B120" s="58" t="s">
        <v>178</v>
      </c>
      <c r="C120" s="52">
        <f>[30]С4.3!E13</f>
        <v>73</v>
      </c>
    </row>
    <row r="121" spans="1:3" ht="30" x14ac:dyDescent="0.2">
      <c r="A121" s="59" t="s">
        <v>179</v>
      </c>
      <c r="B121" s="33" t="s">
        <v>255</v>
      </c>
      <c r="C121" s="34">
        <f>[30]С4!F27</f>
        <v>904.62444244124072</v>
      </c>
    </row>
    <row r="122" spans="1:3" ht="25.5" x14ac:dyDescent="0.2">
      <c r="A122" s="59" t="s">
        <v>181</v>
      </c>
      <c r="B122" s="53" t="s">
        <v>256</v>
      </c>
      <c r="C122" s="34">
        <f>[30]С4!F28</f>
        <v>694.79603874135228</v>
      </c>
    </row>
    <row r="123" spans="1:3" ht="42.75" x14ac:dyDescent="0.2">
      <c r="A123" s="59" t="s">
        <v>183</v>
      </c>
      <c r="B123" s="53" t="s">
        <v>184</v>
      </c>
      <c r="C123" s="34">
        <f>[30]С4!F29</f>
        <v>209.82840369988838</v>
      </c>
    </row>
    <row r="124" spans="1:3" ht="30.75" thickBot="1" x14ac:dyDescent="0.25">
      <c r="A124" s="72" t="s">
        <v>185</v>
      </c>
      <c r="B124" s="90" t="s">
        <v>186</v>
      </c>
      <c r="C124" s="83">
        <f>[30]С4!F30</f>
        <v>850.89950860241879</v>
      </c>
    </row>
    <row r="125" spans="1:3" s="89" customFormat="1" ht="13.5" thickBot="1" x14ac:dyDescent="0.25">
      <c r="A125" s="47"/>
      <c r="B125" s="75"/>
      <c r="C125" s="15"/>
    </row>
    <row r="126" spans="1:3" s="63" customFormat="1" ht="30" customHeight="1" x14ac:dyDescent="0.2">
      <c r="A126" s="76" t="s">
        <v>195</v>
      </c>
      <c r="B126" s="145" t="s">
        <v>196</v>
      </c>
      <c r="C126" s="145"/>
    </row>
    <row r="127" spans="1:3" ht="30.6" customHeight="1" thickBot="1" x14ac:dyDescent="0.25">
      <c r="A127" s="27" t="s">
        <v>197</v>
      </c>
      <c r="B127" s="90" t="s">
        <v>198</v>
      </c>
      <c r="C127" s="83">
        <f>[30]С5!F17</f>
        <v>0.02</v>
      </c>
    </row>
    <row r="128" spans="1:3" s="89" customFormat="1" ht="13.5" thickBot="1" x14ac:dyDescent="0.25">
      <c r="A128" s="47"/>
      <c r="B128" s="75"/>
      <c r="C128" s="15"/>
    </row>
    <row r="129" spans="1:3" ht="42.75" customHeight="1" x14ac:dyDescent="0.2">
      <c r="A129" s="84" t="s">
        <v>199</v>
      </c>
      <c r="B129" s="145" t="s">
        <v>200</v>
      </c>
      <c r="C129" s="145"/>
    </row>
    <row r="130" spans="1:3" ht="68.25" x14ac:dyDescent="0.2">
      <c r="A130" s="59" t="s">
        <v>201</v>
      </c>
      <c r="B130" s="91" t="s">
        <v>202</v>
      </c>
      <c r="C130" s="34" t="str">
        <f>IF([30]С6.1!E11="нет",[30]С6!F13,"")</f>
        <v/>
      </c>
    </row>
    <row r="131" spans="1:3" ht="42.75" x14ac:dyDescent="0.2">
      <c r="A131" s="59" t="s">
        <v>204</v>
      </c>
      <c r="B131" s="86" t="s">
        <v>205</v>
      </c>
      <c r="C131" s="92" t="str">
        <f>IF([30]С6.1!E12="нет",[30]С6.1!E17,"")</f>
        <v/>
      </c>
    </row>
    <row r="132" spans="1:3" ht="68.25" x14ac:dyDescent="0.2">
      <c r="A132" s="59" t="s">
        <v>206</v>
      </c>
      <c r="B132" s="91" t="s">
        <v>207</v>
      </c>
      <c r="C132" s="127" t="str">
        <f>IF([30]С6.1!E18="нет",[30]С6!F19,"")</f>
        <v/>
      </c>
    </row>
    <row r="133" spans="1:3" ht="55.5" x14ac:dyDescent="0.2">
      <c r="A133" s="59" t="s">
        <v>208</v>
      </c>
      <c r="B133" s="86" t="s">
        <v>209</v>
      </c>
      <c r="C133" s="35" t="str">
        <f>IF([30]С6.1!E18="нет",[30]С6.1!E19,"")</f>
        <v/>
      </c>
    </row>
    <row r="134" spans="1:3" ht="61.5" customHeight="1" x14ac:dyDescent="0.2">
      <c r="A134" s="59" t="s">
        <v>210</v>
      </c>
      <c r="B134" s="86" t="s">
        <v>257</v>
      </c>
      <c r="C134" s="35" t="str">
        <f>IF([30]С6.1!E18="нет",[30]С6.1!E22,"")</f>
        <v/>
      </c>
    </row>
    <row r="135" spans="1:3" ht="69" thickBot="1" x14ac:dyDescent="0.25">
      <c r="A135" s="72" t="s">
        <v>212</v>
      </c>
      <c r="B135" s="98" t="s">
        <v>213</v>
      </c>
      <c r="C135" s="74" t="str">
        <f>IF([30]С6.1!E18="нет",[30]С6.1!E23,"")</f>
        <v/>
      </c>
    </row>
    <row r="136" spans="1:3" s="89" customFormat="1" ht="13.5" thickBot="1" x14ac:dyDescent="0.25">
      <c r="A136" s="47"/>
      <c r="B136" s="75"/>
      <c r="C136" s="15"/>
    </row>
    <row r="137" spans="1:3" ht="15.75" x14ac:dyDescent="0.2">
      <c r="A137" s="84" t="s">
        <v>214</v>
      </c>
      <c r="B137" s="99" t="s">
        <v>215</v>
      </c>
      <c r="C137" s="100">
        <f>[30]С2!F39</f>
        <v>21.531904799999996</v>
      </c>
    </row>
    <row r="138" spans="1:3" ht="14.25" x14ac:dyDescent="0.2">
      <c r="A138" s="59" t="s">
        <v>216</v>
      </c>
      <c r="B138" s="58" t="s">
        <v>217</v>
      </c>
      <c r="C138" s="34">
        <f>[30]С2!F40</f>
        <v>7</v>
      </c>
    </row>
    <row r="139" spans="1:3" ht="17.25" x14ac:dyDescent="0.2">
      <c r="A139" s="59" t="s">
        <v>218</v>
      </c>
      <c r="B139" s="58" t="s">
        <v>219</v>
      </c>
      <c r="C139" s="34">
        <f>[30]С2!F42</f>
        <v>0.97</v>
      </c>
    </row>
    <row r="140" spans="1:3" ht="15" thickBot="1" x14ac:dyDescent="0.25">
      <c r="A140" s="72" t="s">
        <v>220</v>
      </c>
      <c r="B140" s="73" t="s">
        <v>221</v>
      </c>
      <c r="C140" s="46">
        <f>[30]С2!F44</f>
        <v>0.36199999999999999</v>
      </c>
    </row>
    <row r="141" spans="1:3" s="89" customFormat="1" ht="13.5" thickBot="1" x14ac:dyDescent="0.25">
      <c r="A141" s="47"/>
      <c r="B141" s="75"/>
      <c r="C141" s="15"/>
    </row>
    <row r="142" spans="1:3" ht="17.25" x14ac:dyDescent="0.2">
      <c r="A142" s="84" t="s">
        <v>222</v>
      </c>
      <c r="B142" s="103" t="s">
        <v>258</v>
      </c>
      <c r="C142" s="128">
        <f>[30]С2!F37</f>
        <v>1.7157947422665329</v>
      </c>
    </row>
    <row r="143" spans="1:3" ht="17.25" customHeight="1" thickBot="1" x14ac:dyDescent="0.25">
      <c r="A143" s="72" t="s">
        <v>224</v>
      </c>
      <c r="B143" s="141" t="s">
        <v>225</v>
      </c>
      <c r="C143" s="141"/>
    </row>
    <row r="144" spans="1:3" x14ac:dyDescent="0.2">
      <c r="A144" s="105"/>
      <c r="B144" s="129" t="s">
        <v>226</v>
      </c>
      <c r="C144" s="130"/>
    </row>
    <row r="145" spans="1:3" x14ac:dyDescent="0.2">
      <c r="A145" s="105"/>
      <c r="B145" s="131">
        <v>2020</v>
      </c>
      <c r="C145" s="132">
        <f>[30]С2.5!$E$11</f>
        <v>-2.9000000000000026E-2</v>
      </c>
    </row>
    <row r="146" spans="1:3" x14ac:dyDescent="0.2">
      <c r="B146" s="131">
        <f>B145+1</f>
        <v>2021</v>
      </c>
      <c r="C146" s="133">
        <f>[30]С2.5!$F$11</f>
        <v>0.245</v>
      </c>
    </row>
    <row r="147" spans="1:3" x14ac:dyDescent="0.2">
      <c r="B147" s="131">
        <f t="shared" ref="B147:B210" si="0">B146+1</f>
        <v>2022</v>
      </c>
      <c r="C147" s="134">
        <f>[30]С2.5!$G$11</f>
        <v>0.114</v>
      </c>
    </row>
    <row r="148" spans="1:3" x14ac:dyDescent="0.2">
      <c r="B148" s="110">
        <f t="shared" si="0"/>
        <v>2023</v>
      </c>
      <c r="C148" s="135">
        <f>[30]С2.5!$H$11</f>
        <v>0.04</v>
      </c>
    </row>
    <row r="149" spans="1:3" x14ac:dyDescent="0.2">
      <c r="B149" s="110">
        <f t="shared" si="0"/>
        <v>2024</v>
      </c>
      <c r="C149" s="135">
        <f>[30]С2.5!$I$11</f>
        <v>0.121</v>
      </c>
    </row>
    <row r="150" spans="1:3" x14ac:dyDescent="0.2">
      <c r="B150" s="110">
        <f t="shared" si="0"/>
        <v>2025</v>
      </c>
      <c r="C150" s="135">
        <f>[30]С2.5!$J$11</f>
        <v>0.03</v>
      </c>
    </row>
    <row r="151" spans="1:3" ht="13.5" thickBot="1" x14ac:dyDescent="0.25">
      <c r="B151" s="110">
        <f t="shared" si="0"/>
        <v>2026</v>
      </c>
      <c r="C151" s="135">
        <f>[30]С2.5!$K$11</f>
        <v>6.0999999999999999E-2</v>
      </c>
    </row>
    <row r="152" spans="1:3" ht="13.5" hidden="1" thickBot="1" x14ac:dyDescent="0.25">
      <c r="B152" s="110">
        <f t="shared" si="0"/>
        <v>2027</v>
      </c>
      <c r="C152" s="135">
        <f>[30]С2.5!$L$11</f>
        <v>0</v>
      </c>
    </row>
    <row r="153" spans="1:3" ht="13.5" hidden="1" thickBot="1" x14ac:dyDescent="0.25">
      <c r="B153" s="110">
        <f t="shared" si="0"/>
        <v>2028</v>
      </c>
      <c r="C153" s="135">
        <f>[30]С2.5!$M$11</f>
        <v>0</v>
      </c>
    </row>
    <row r="154" spans="1:3" ht="13.5" hidden="1" thickBot="1" x14ac:dyDescent="0.25">
      <c r="B154" s="110">
        <f t="shared" si="0"/>
        <v>2029</v>
      </c>
      <c r="C154" s="135">
        <f>[30]С2.5!$N$11</f>
        <v>0</v>
      </c>
    </row>
    <row r="155" spans="1:3" ht="13.5" hidden="1" thickBot="1" x14ac:dyDescent="0.25">
      <c r="B155" s="110">
        <f t="shared" si="0"/>
        <v>2030</v>
      </c>
      <c r="C155" s="135">
        <f>[30]С2.5!$O$11</f>
        <v>0</v>
      </c>
    </row>
    <row r="156" spans="1:3" ht="13.5" hidden="1" thickBot="1" x14ac:dyDescent="0.25">
      <c r="B156" s="110">
        <f t="shared" si="0"/>
        <v>2031</v>
      </c>
      <c r="C156" s="135">
        <f>[30]С2.5!$P$11</f>
        <v>0</v>
      </c>
    </row>
    <row r="157" spans="1:3" ht="13.5" hidden="1" thickBot="1" x14ac:dyDescent="0.25">
      <c r="B157" s="110">
        <f t="shared" si="0"/>
        <v>2032</v>
      </c>
      <c r="C157" s="135">
        <f>[30]С2.5!$Q$11</f>
        <v>0</v>
      </c>
    </row>
    <row r="158" spans="1:3" ht="13.5" hidden="1" thickBot="1" x14ac:dyDescent="0.25">
      <c r="B158" s="110">
        <f t="shared" si="0"/>
        <v>2033</v>
      </c>
      <c r="C158" s="135">
        <f>[30]С2.5!$R$11</f>
        <v>0</v>
      </c>
    </row>
    <row r="159" spans="1:3" ht="13.5" hidden="1" thickBot="1" x14ac:dyDescent="0.25">
      <c r="B159" s="110">
        <f t="shared" si="0"/>
        <v>2034</v>
      </c>
      <c r="C159" s="135">
        <f>[30]С2.5!$S$11</f>
        <v>0</v>
      </c>
    </row>
    <row r="160" spans="1:3" ht="13.5" hidden="1" thickBot="1" x14ac:dyDescent="0.25">
      <c r="B160" s="110">
        <f t="shared" si="0"/>
        <v>2035</v>
      </c>
      <c r="C160" s="135">
        <f>[30]С2.5!$T$11</f>
        <v>0</v>
      </c>
    </row>
    <row r="161" spans="2:3" ht="13.5" hidden="1" thickBot="1" x14ac:dyDescent="0.25">
      <c r="B161" s="110">
        <f t="shared" si="0"/>
        <v>2036</v>
      </c>
      <c r="C161" s="135">
        <f>[30]С2.5!$U$11</f>
        <v>0</v>
      </c>
    </row>
    <row r="162" spans="2:3" ht="13.5" hidden="1" thickBot="1" x14ac:dyDescent="0.25">
      <c r="B162" s="110">
        <f t="shared" si="0"/>
        <v>2037</v>
      </c>
      <c r="C162" s="135">
        <f>[30]С2.5!$V$11</f>
        <v>0</v>
      </c>
    </row>
    <row r="163" spans="2:3" ht="13.5" hidden="1" thickBot="1" x14ac:dyDescent="0.25">
      <c r="B163" s="110">
        <f t="shared" si="0"/>
        <v>2038</v>
      </c>
      <c r="C163" s="135">
        <f>[30]С2.5!$W$11</f>
        <v>0</v>
      </c>
    </row>
    <row r="164" spans="2:3" ht="13.5" hidden="1" thickBot="1" x14ac:dyDescent="0.25">
      <c r="B164" s="110">
        <f t="shared" si="0"/>
        <v>2039</v>
      </c>
      <c r="C164" s="135">
        <f>[30]С2.5!$X$11</f>
        <v>0</v>
      </c>
    </row>
    <row r="165" spans="2:3" ht="13.5" hidden="1" thickBot="1" x14ac:dyDescent="0.25">
      <c r="B165" s="110">
        <f t="shared" si="0"/>
        <v>2040</v>
      </c>
      <c r="C165" s="135">
        <f>[30]С2.5!$Y$11</f>
        <v>0</v>
      </c>
    </row>
    <row r="166" spans="2:3" ht="13.5" hidden="1" thickBot="1" x14ac:dyDescent="0.25">
      <c r="B166" s="110">
        <f t="shared" si="0"/>
        <v>2041</v>
      </c>
      <c r="C166" s="135">
        <f>[30]С2.5!$Z$11</f>
        <v>0</v>
      </c>
    </row>
    <row r="167" spans="2:3" ht="13.5" hidden="1" thickBot="1" x14ac:dyDescent="0.25">
      <c r="B167" s="110">
        <f t="shared" si="0"/>
        <v>2042</v>
      </c>
      <c r="C167" s="135">
        <f>[30]С2.5!$AA$11</f>
        <v>0</v>
      </c>
    </row>
    <row r="168" spans="2:3" ht="13.5" hidden="1" thickBot="1" x14ac:dyDescent="0.25">
      <c r="B168" s="110">
        <f t="shared" si="0"/>
        <v>2043</v>
      </c>
      <c r="C168" s="135">
        <f>[30]С2.5!$AB$11</f>
        <v>0</v>
      </c>
    </row>
    <row r="169" spans="2:3" ht="13.5" hidden="1" thickBot="1" x14ac:dyDescent="0.25">
      <c r="B169" s="110">
        <f t="shared" si="0"/>
        <v>2044</v>
      </c>
      <c r="C169" s="135">
        <f>[30]С2.5!$AC$11</f>
        <v>0</v>
      </c>
    </row>
    <row r="170" spans="2:3" ht="13.5" hidden="1" thickBot="1" x14ac:dyDescent="0.25">
      <c r="B170" s="110">
        <f t="shared" si="0"/>
        <v>2045</v>
      </c>
      <c r="C170" s="135">
        <f>[30]С2.5!$AD$11</f>
        <v>0</v>
      </c>
    </row>
    <row r="171" spans="2:3" ht="13.5" hidden="1" thickBot="1" x14ac:dyDescent="0.25">
      <c r="B171" s="110">
        <f t="shared" si="0"/>
        <v>2046</v>
      </c>
      <c r="C171" s="135">
        <f>[30]С2.5!$AE$11</f>
        <v>0</v>
      </c>
    </row>
    <row r="172" spans="2:3" ht="13.5" hidden="1" thickBot="1" x14ac:dyDescent="0.25">
      <c r="B172" s="110">
        <f t="shared" si="0"/>
        <v>2047</v>
      </c>
      <c r="C172" s="135">
        <f>[30]С2.5!$AF$11</f>
        <v>0</v>
      </c>
    </row>
    <row r="173" spans="2:3" ht="13.5" hidden="1" thickBot="1" x14ac:dyDescent="0.25">
      <c r="B173" s="110">
        <f t="shared" si="0"/>
        <v>2048</v>
      </c>
      <c r="C173" s="135">
        <f>[30]С2.5!$AG$11</f>
        <v>0</v>
      </c>
    </row>
    <row r="174" spans="2:3" ht="13.5" hidden="1" thickBot="1" x14ac:dyDescent="0.25">
      <c r="B174" s="110">
        <f t="shared" si="0"/>
        <v>2049</v>
      </c>
      <c r="C174" s="135">
        <f>[30]С2.5!$AH$11</f>
        <v>0</v>
      </c>
    </row>
    <row r="175" spans="2:3" ht="13.5" hidden="1" thickBot="1" x14ac:dyDescent="0.25">
      <c r="B175" s="110">
        <f t="shared" si="0"/>
        <v>2050</v>
      </c>
      <c r="C175" s="135">
        <f>[30]С2.5!$AI$11</f>
        <v>0</v>
      </c>
    </row>
    <row r="176" spans="2:3" ht="13.5" hidden="1" thickBot="1" x14ac:dyDescent="0.25">
      <c r="B176" s="110">
        <f t="shared" si="0"/>
        <v>2051</v>
      </c>
      <c r="C176" s="135">
        <f>[30]С2.5!$AJ$11</f>
        <v>0</v>
      </c>
    </row>
    <row r="177" spans="2:3" ht="13.5" hidden="1" thickBot="1" x14ac:dyDescent="0.25">
      <c r="B177" s="110">
        <f t="shared" si="0"/>
        <v>2052</v>
      </c>
      <c r="C177" s="135">
        <f>[30]С2.5!$AK$11</f>
        <v>0</v>
      </c>
    </row>
    <row r="178" spans="2:3" ht="13.5" hidden="1" thickBot="1" x14ac:dyDescent="0.25">
      <c r="B178" s="110">
        <f t="shared" si="0"/>
        <v>2053</v>
      </c>
      <c r="C178" s="135">
        <f>[30]С2.5!$AL$11</f>
        <v>0</v>
      </c>
    </row>
    <row r="179" spans="2:3" ht="13.5" hidden="1" thickBot="1" x14ac:dyDescent="0.25">
      <c r="B179" s="110">
        <f t="shared" si="0"/>
        <v>2054</v>
      </c>
      <c r="C179" s="135">
        <f>[30]С2.5!$AM$11</f>
        <v>0</v>
      </c>
    </row>
    <row r="180" spans="2:3" ht="13.5" hidden="1" thickBot="1" x14ac:dyDescent="0.25">
      <c r="B180" s="110">
        <f t="shared" si="0"/>
        <v>2055</v>
      </c>
      <c r="C180" s="135">
        <f>[30]С2.5!$AN$11</f>
        <v>0</v>
      </c>
    </row>
    <row r="181" spans="2:3" ht="13.5" hidden="1" thickBot="1" x14ac:dyDescent="0.25">
      <c r="B181" s="110">
        <f t="shared" si="0"/>
        <v>2056</v>
      </c>
      <c r="C181" s="135">
        <f>[30]С2.5!$AO$11</f>
        <v>0</v>
      </c>
    </row>
    <row r="182" spans="2:3" ht="13.5" hidden="1" thickBot="1" x14ac:dyDescent="0.25">
      <c r="B182" s="110">
        <f t="shared" si="0"/>
        <v>2057</v>
      </c>
      <c r="C182" s="135">
        <f>[30]С2.5!$AP$11</f>
        <v>0</v>
      </c>
    </row>
    <row r="183" spans="2:3" ht="13.5" hidden="1" thickBot="1" x14ac:dyDescent="0.25">
      <c r="B183" s="110">
        <f t="shared" si="0"/>
        <v>2058</v>
      </c>
      <c r="C183" s="135">
        <f>[30]С2.5!$AQ$11</f>
        <v>0</v>
      </c>
    </row>
    <row r="184" spans="2:3" ht="13.5" hidden="1" thickBot="1" x14ac:dyDescent="0.25">
      <c r="B184" s="110">
        <f t="shared" si="0"/>
        <v>2059</v>
      </c>
      <c r="C184" s="135">
        <f>[30]С2.5!$AR$11</f>
        <v>0</v>
      </c>
    </row>
    <row r="185" spans="2:3" ht="13.5" hidden="1" thickBot="1" x14ac:dyDescent="0.25">
      <c r="B185" s="110">
        <f t="shared" si="0"/>
        <v>2060</v>
      </c>
      <c r="C185" s="135">
        <f>[30]С2.5!$AS$11</f>
        <v>0</v>
      </c>
    </row>
    <row r="186" spans="2:3" ht="13.5" hidden="1" thickBot="1" x14ac:dyDescent="0.25">
      <c r="B186" s="110">
        <f t="shared" si="0"/>
        <v>2061</v>
      </c>
      <c r="C186" s="135">
        <f>[30]С2.5!$AT$11</f>
        <v>0</v>
      </c>
    </row>
    <row r="187" spans="2:3" ht="13.5" hidden="1" thickBot="1" x14ac:dyDescent="0.25">
      <c r="B187" s="110">
        <f t="shared" si="0"/>
        <v>2062</v>
      </c>
      <c r="C187" s="135">
        <f>[30]С2.5!$AU$11</f>
        <v>0</v>
      </c>
    </row>
    <row r="188" spans="2:3" ht="13.5" hidden="1" thickBot="1" x14ac:dyDescent="0.25">
      <c r="B188" s="110">
        <f t="shared" si="0"/>
        <v>2063</v>
      </c>
      <c r="C188" s="135">
        <f>[30]С2.5!$AV$11</f>
        <v>0</v>
      </c>
    </row>
    <row r="189" spans="2:3" ht="13.5" hidden="1" thickBot="1" x14ac:dyDescent="0.25">
      <c r="B189" s="110">
        <f t="shared" si="0"/>
        <v>2064</v>
      </c>
      <c r="C189" s="135">
        <f>[30]С2.5!$AW$11</f>
        <v>0</v>
      </c>
    </row>
    <row r="190" spans="2:3" ht="13.5" hidden="1" thickBot="1" x14ac:dyDescent="0.25">
      <c r="B190" s="110">
        <f t="shared" si="0"/>
        <v>2065</v>
      </c>
      <c r="C190" s="135">
        <f>[30]С2.5!$AX$11</f>
        <v>0</v>
      </c>
    </row>
    <row r="191" spans="2:3" ht="13.5" hidden="1" thickBot="1" x14ac:dyDescent="0.25">
      <c r="B191" s="110">
        <f t="shared" si="0"/>
        <v>2066</v>
      </c>
      <c r="C191" s="135">
        <f>[30]С2.5!$AY$11</f>
        <v>0</v>
      </c>
    </row>
    <row r="192" spans="2:3" ht="13.5" hidden="1" thickBot="1" x14ac:dyDescent="0.25">
      <c r="B192" s="110">
        <f t="shared" si="0"/>
        <v>2067</v>
      </c>
      <c r="C192" s="135">
        <f>[30]С2.5!$AZ$11</f>
        <v>0</v>
      </c>
    </row>
    <row r="193" spans="2:3" ht="13.5" hidden="1" thickBot="1" x14ac:dyDescent="0.25">
      <c r="B193" s="110">
        <f t="shared" si="0"/>
        <v>2068</v>
      </c>
      <c r="C193" s="135">
        <f>[30]С2.5!$BA$11</f>
        <v>0</v>
      </c>
    </row>
    <row r="194" spans="2:3" ht="13.5" hidden="1" thickBot="1" x14ac:dyDescent="0.25">
      <c r="B194" s="110">
        <f t="shared" si="0"/>
        <v>2069</v>
      </c>
      <c r="C194" s="135">
        <f>[30]С2.5!$BB$11</f>
        <v>0</v>
      </c>
    </row>
    <row r="195" spans="2:3" ht="13.5" hidden="1" thickBot="1" x14ac:dyDescent="0.25">
      <c r="B195" s="110">
        <f t="shared" si="0"/>
        <v>2070</v>
      </c>
      <c r="C195" s="135">
        <f>[30]С2.5!$BC$11</f>
        <v>0</v>
      </c>
    </row>
    <row r="196" spans="2:3" ht="13.5" hidden="1" thickBot="1" x14ac:dyDescent="0.25">
      <c r="B196" s="110">
        <f t="shared" si="0"/>
        <v>2071</v>
      </c>
      <c r="C196" s="135">
        <f>[30]С2.5!$BD$11</f>
        <v>0</v>
      </c>
    </row>
    <row r="197" spans="2:3" ht="13.5" hidden="1" thickBot="1" x14ac:dyDescent="0.25">
      <c r="B197" s="110">
        <f t="shared" si="0"/>
        <v>2072</v>
      </c>
      <c r="C197" s="135">
        <f>[30]С2.5!$BE$11</f>
        <v>0</v>
      </c>
    </row>
    <row r="198" spans="2:3" ht="13.5" hidden="1" thickBot="1" x14ac:dyDescent="0.25">
      <c r="B198" s="110">
        <f t="shared" si="0"/>
        <v>2073</v>
      </c>
      <c r="C198" s="135">
        <f>[30]С2.5!$BF$11</f>
        <v>0</v>
      </c>
    </row>
    <row r="199" spans="2:3" ht="13.5" hidden="1" thickBot="1" x14ac:dyDescent="0.25">
      <c r="B199" s="110">
        <f t="shared" si="0"/>
        <v>2074</v>
      </c>
      <c r="C199" s="135">
        <f>[30]С2.5!$BG$11</f>
        <v>0</v>
      </c>
    </row>
    <row r="200" spans="2:3" ht="13.5" hidden="1" thickBot="1" x14ac:dyDescent="0.25">
      <c r="B200" s="110">
        <f t="shared" si="0"/>
        <v>2075</v>
      </c>
      <c r="C200" s="135">
        <f>[30]С2.5!$BH$11</f>
        <v>0</v>
      </c>
    </row>
    <row r="201" spans="2:3" ht="13.5" hidden="1" thickBot="1" x14ac:dyDescent="0.25">
      <c r="B201" s="110">
        <f t="shared" si="0"/>
        <v>2076</v>
      </c>
      <c r="C201" s="135">
        <f>[30]С2.5!$BI$11</f>
        <v>0</v>
      </c>
    </row>
    <row r="202" spans="2:3" ht="13.5" hidden="1" thickBot="1" x14ac:dyDescent="0.25">
      <c r="B202" s="110">
        <f t="shared" si="0"/>
        <v>2077</v>
      </c>
      <c r="C202" s="135">
        <f>[30]С2.5!$BJ$11</f>
        <v>0</v>
      </c>
    </row>
    <row r="203" spans="2:3" ht="13.5" hidden="1" thickBot="1" x14ac:dyDescent="0.25">
      <c r="B203" s="110">
        <f t="shared" si="0"/>
        <v>2078</v>
      </c>
      <c r="C203" s="135">
        <f>[30]С2.5!$BK$11</f>
        <v>0</v>
      </c>
    </row>
    <row r="204" spans="2:3" ht="13.5" hidden="1" thickBot="1" x14ac:dyDescent="0.25">
      <c r="B204" s="110">
        <f t="shared" si="0"/>
        <v>2079</v>
      </c>
      <c r="C204" s="135">
        <f>[30]С2.5!$BL$11</f>
        <v>0</v>
      </c>
    </row>
    <row r="205" spans="2:3" ht="13.5" hidden="1" thickBot="1" x14ac:dyDescent="0.25">
      <c r="B205" s="110">
        <f t="shared" si="0"/>
        <v>2080</v>
      </c>
      <c r="C205" s="135">
        <f>[30]С2.5!$BM$11</f>
        <v>0</v>
      </c>
    </row>
    <row r="206" spans="2:3" ht="13.5" hidden="1" thickBot="1" x14ac:dyDescent="0.25">
      <c r="B206" s="110">
        <f t="shared" si="0"/>
        <v>2081</v>
      </c>
      <c r="C206" s="135">
        <f>[30]С2.5!$BN$11</f>
        <v>0</v>
      </c>
    </row>
    <row r="207" spans="2:3" ht="13.5" hidden="1" thickBot="1" x14ac:dyDescent="0.25">
      <c r="B207" s="110">
        <f t="shared" si="0"/>
        <v>2082</v>
      </c>
      <c r="C207" s="135">
        <f>[30]С2.5!$BO$11</f>
        <v>0</v>
      </c>
    </row>
    <row r="208" spans="2:3" ht="13.5" hidden="1" thickBot="1" x14ac:dyDescent="0.25">
      <c r="B208" s="110">
        <f t="shared" si="0"/>
        <v>2083</v>
      </c>
      <c r="C208" s="135">
        <f>[30]С2.5!$BP$11</f>
        <v>0</v>
      </c>
    </row>
    <row r="209" spans="2:3" ht="13.5" hidden="1" thickBot="1" x14ac:dyDescent="0.25">
      <c r="B209" s="110">
        <f t="shared" si="0"/>
        <v>2084</v>
      </c>
      <c r="C209" s="135">
        <f>[30]С2.5!$BQ$11</f>
        <v>0</v>
      </c>
    </row>
    <row r="210" spans="2:3" ht="13.5" hidden="1" thickBot="1" x14ac:dyDescent="0.25">
      <c r="B210" s="110">
        <f t="shared" si="0"/>
        <v>2085</v>
      </c>
      <c r="C210" s="135">
        <f>[30]С2.5!$BR$11</f>
        <v>0</v>
      </c>
    </row>
    <row r="211" spans="2:3" ht="13.5" hidden="1" thickBot="1" x14ac:dyDescent="0.25">
      <c r="B211" s="110">
        <f t="shared" ref="B211:B224" si="1">B210+1</f>
        <v>2086</v>
      </c>
      <c r="C211" s="135">
        <f>[30]С2.5!$BS$11</f>
        <v>0</v>
      </c>
    </row>
    <row r="212" spans="2:3" ht="13.5" hidden="1" thickBot="1" x14ac:dyDescent="0.25">
      <c r="B212" s="110">
        <f t="shared" si="1"/>
        <v>2087</v>
      </c>
      <c r="C212" s="135">
        <f>[30]С2.5!$BT$11</f>
        <v>0</v>
      </c>
    </row>
    <row r="213" spans="2:3" ht="13.5" hidden="1" thickBot="1" x14ac:dyDescent="0.25">
      <c r="B213" s="110">
        <f t="shared" si="1"/>
        <v>2088</v>
      </c>
      <c r="C213" s="135">
        <f>[30]С2.5!$BU$11</f>
        <v>0</v>
      </c>
    </row>
    <row r="214" spans="2:3" ht="13.5" hidden="1" thickBot="1" x14ac:dyDescent="0.25">
      <c r="B214" s="110">
        <f t="shared" si="1"/>
        <v>2089</v>
      </c>
      <c r="C214" s="135">
        <f>[30]С2.5!$BV$11</f>
        <v>0</v>
      </c>
    </row>
    <row r="215" spans="2:3" ht="13.5" hidden="1" thickBot="1" x14ac:dyDescent="0.25">
      <c r="B215" s="110">
        <f t="shared" si="1"/>
        <v>2090</v>
      </c>
      <c r="C215" s="135">
        <f>[30]С2.5!$BW$11</f>
        <v>0</v>
      </c>
    </row>
    <row r="216" spans="2:3" ht="13.5" hidden="1" thickBot="1" x14ac:dyDescent="0.25">
      <c r="B216" s="110">
        <f t="shared" si="1"/>
        <v>2091</v>
      </c>
      <c r="C216" s="135">
        <f>[30]С2.5!$BX$11</f>
        <v>0</v>
      </c>
    </row>
    <row r="217" spans="2:3" ht="13.5" hidden="1" thickBot="1" x14ac:dyDescent="0.25">
      <c r="B217" s="110">
        <f t="shared" si="1"/>
        <v>2092</v>
      </c>
      <c r="C217" s="135">
        <f>[30]С2.5!$BY$11</f>
        <v>0</v>
      </c>
    </row>
    <row r="218" spans="2:3" ht="13.5" hidden="1" thickBot="1" x14ac:dyDescent="0.25">
      <c r="B218" s="110">
        <f t="shared" si="1"/>
        <v>2093</v>
      </c>
      <c r="C218" s="135">
        <f>[30]С2.5!$BZ$11</f>
        <v>0</v>
      </c>
    </row>
    <row r="219" spans="2:3" ht="13.5" hidden="1" thickBot="1" x14ac:dyDescent="0.25">
      <c r="B219" s="110">
        <f t="shared" si="1"/>
        <v>2094</v>
      </c>
      <c r="C219" s="135">
        <f>[30]С2.5!$CA$11</f>
        <v>0</v>
      </c>
    </row>
    <row r="220" spans="2:3" ht="13.5" hidden="1" thickBot="1" x14ac:dyDescent="0.25">
      <c r="B220" s="110">
        <f t="shared" si="1"/>
        <v>2095</v>
      </c>
      <c r="C220" s="135">
        <f>[30]С2.5!$CB$11</f>
        <v>0</v>
      </c>
    </row>
    <row r="221" spans="2:3" ht="13.5" hidden="1" thickBot="1" x14ac:dyDescent="0.25">
      <c r="B221" s="110">
        <f t="shared" si="1"/>
        <v>2096</v>
      </c>
      <c r="C221" s="135">
        <f>[30]С2.5!$CC$11</f>
        <v>0</v>
      </c>
    </row>
    <row r="222" spans="2:3" ht="13.5" hidden="1" thickBot="1" x14ac:dyDescent="0.25">
      <c r="B222" s="110">
        <f t="shared" si="1"/>
        <v>2097</v>
      </c>
      <c r="C222" s="135">
        <f>[30]С2.5!$CD$11</f>
        <v>0</v>
      </c>
    </row>
    <row r="223" spans="2:3" ht="13.5" hidden="1" thickBot="1" x14ac:dyDescent="0.25">
      <c r="B223" s="110">
        <f t="shared" si="1"/>
        <v>2098</v>
      </c>
      <c r="C223" s="135">
        <f>[30]С2.5!$CE$11</f>
        <v>0</v>
      </c>
    </row>
    <row r="224" spans="2:3" ht="13.5" hidden="1" thickBot="1" x14ac:dyDescent="0.25">
      <c r="B224" s="110">
        <f t="shared" si="1"/>
        <v>2099</v>
      </c>
      <c r="C224" s="135">
        <f>[30]С2.5!$CF$11</f>
        <v>0</v>
      </c>
    </row>
    <row r="225" spans="2:3" ht="13.5" hidden="1" thickBot="1" x14ac:dyDescent="0.25">
      <c r="B225" s="112">
        <f>B162+1</f>
        <v>2038</v>
      </c>
      <c r="C225" s="136" t="e">
        <f>[30]С2.5!#REF!</f>
        <v>#REF!</v>
      </c>
    </row>
    <row r="226" spans="2:3" x14ac:dyDescent="0.2">
      <c r="B226" s="137"/>
      <c r="C226" s="138"/>
    </row>
  </sheetData>
  <mergeCells count="9">
    <mergeCell ref="B1:C1"/>
    <mergeCell ref="B27:C27"/>
    <mergeCell ref="A14:C14"/>
    <mergeCell ref="B143:C143"/>
    <mergeCell ref="B45:C45"/>
    <mergeCell ref="B90:C90"/>
    <mergeCell ref="B101:C101"/>
    <mergeCell ref="B126:C126"/>
    <mergeCell ref="B129:C129"/>
  </mergeCells>
  <hyperlinks>
    <hyperlink ref="C4" location="С2.1!D25" display="Вернуться к заполнению исходных данных"/>
    <hyperlink ref="C18" location="С2!A1" display="Перейти на лист расчета составляющей, обеспечивающей возврат капитальных затрат"/>
    <hyperlink ref="C19" location="И3!A1" display="Перейти на лист &quot;Итог&quot;"/>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26"/>
  <sheetViews>
    <sheetView workbookViewId="0">
      <selection activeCell="C7" sqref="C7"/>
    </sheetView>
  </sheetViews>
  <sheetFormatPr defaultRowHeight="12.75" x14ac:dyDescent="0.2"/>
  <cols>
    <col min="1" max="1" width="9.140625" style="2" customWidth="1"/>
    <col min="2" max="2" width="100.5703125" style="2" customWidth="1"/>
    <col min="3" max="3" width="20.85546875" style="7" customWidth="1"/>
    <col min="4" max="244" width="9.140625" style="2"/>
    <col min="245" max="245" width="3.5703125" style="2" customWidth="1"/>
    <col min="246" max="246" width="96.85546875" style="2" customWidth="1"/>
    <col min="247" max="247" width="30.85546875" style="2" customWidth="1"/>
    <col min="248" max="248" width="12.5703125" style="2" customWidth="1"/>
    <col min="249" max="249" width="5.140625" style="2" customWidth="1"/>
    <col min="250" max="250" width="9.140625" style="2"/>
    <col min="251" max="251" width="4.85546875" style="2" customWidth="1"/>
    <col min="252" max="252" width="30.5703125" style="2" customWidth="1"/>
    <col min="253" max="253" width="33.85546875" style="2" customWidth="1"/>
    <col min="254" max="254" width="5.140625" style="2" customWidth="1"/>
    <col min="255" max="256" width="17.5703125" style="2" customWidth="1"/>
    <col min="257" max="500" width="9.140625" style="2"/>
    <col min="501" max="501" width="3.5703125" style="2" customWidth="1"/>
    <col min="502" max="502" width="96.85546875" style="2" customWidth="1"/>
    <col min="503" max="503" width="30.85546875" style="2" customWidth="1"/>
    <col min="504" max="504" width="12.5703125" style="2" customWidth="1"/>
    <col min="505" max="505" width="5.140625" style="2" customWidth="1"/>
    <col min="506" max="506" width="9.140625" style="2"/>
    <col min="507" max="507" width="4.85546875" style="2" customWidth="1"/>
    <col min="508" max="508" width="30.5703125" style="2" customWidth="1"/>
    <col min="509" max="509" width="33.85546875" style="2" customWidth="1"/>
    <col min="510" max="510" width="5.140625" style="2" customWidth="1"/>
    <col min="511" max="512" width="17.5703125" style="2" customWidth="1"/>
    <col min="513" max="756" width="9.140625" style="2"/>
    <col min="757" max="757" width="3.5703125" style="2" customWidth="1"/>
    <col min="758" max="758" width="96.85546875" style="2" customWidth="1"/>
    <col min="759" max="759" width="30.85546875" style="2" customWidth="1"/>
    <col min="760" max="760" width="12.5703125" style="2" customWidth="1"/>
    <col min="761" max="761" width="5.140625" style="2" customWidth="1"/>
    <col min="762" max="762" width="9.140625" style="2"/>
    <col min="763" max="763" width="4.85546875" style="2" customWidth="1"/>
    <col min="764" max="764" width="30.5703125" style="2" customWidth="1"/>
    <col min="765" max="765" width="33.85546875" style="2" customWidth="1"/>
    <col min="766" max="766" width="5.140625" style="2" customWidth="1"/>
    <col min="767" max="768" width="17.5703125" style="2" customWidth="1"/>
    <col min="769" max="1012" width="9.140625" style="2"/>
    <col min="1013" max="1013" width="3.5703125" style="2" customWidth="1"/>
    <col min="1014" max="1014" width="96.85546875" style="2" customWidth="1"/>
    <col min="1015" max="1015" width="30.85546875" style="2" customWidth="1"/>
    <col min="1016" max="1016" width="12.5703125" style="2" customWidth="1"/>
    <col min="1017" max="1017" width="5.140625" style="2" customWidth="1"/>
    <col min="1018" max="1018" width="9.140625" style="2"/>
    <col min="1019" max="1019" width="4.85546875" style="2" customWidth="1"/>
    <col min="1020" max="1020" width="30.5703125" style="2" customWidth="1"/>
    <col min="1021" max="1021" width="33.85546875" style="2" customWidth="1"/>
    <col min="1022" max="1022" width="5.140625" style="2" customWidth="1"/>
    <col min="1023" max="1024" width="17.5703125" style="2" customWidth="1"/>
    <col min="1025" max="1268" width="9.140625" style="2"/>
    <col min="1269" max="1269" width="3.5703125" style="2" customWidth="1"/>
    <col min="1270" max="1270" width="96.85546875" style="2" customWidth="1"/>
    <col min="1271" max="1271" width="30.85546875" style="2" customWidth="1"/>
    <col min="1272" max="1272" width="12.5703125" style="2" customWidth="1"/>
    <col min="1273" max="1273" width="5.140625" style="2" customWidth="1"/>
    <col min="1274" max="1274" width="9.140625" style="2"/>
    <col min="1275" max="1275" width="4.85546875" style="2" customWidth="1"/>
    <col min="1276" max="1276" width="30.5703125" style="2" customWidth="1"/>
    <col min="1277" max="1277" width="33.85546875" style="2" customWidth="1"/>
    <col min="1278" max="1278" width="5.140625" style="2" customWidth="1"/>
    <col min="1279" max="1280" width="17.5703125" style="2" customWidth="1"/>
    <col min="1281" max="1524" width="9.140625" style="2"/>
    <col min="1525" max="1525" width="3.5703125" style="2" customWidth="1"/>
    <col min="1526" max="1526" width="96.85546875" style="2" customWidth="1"/>
    <col min="1527" max="1527" width="30.85546875" style="2" customWidth="1"/>
    <col min="1528" max="1528" width="12.5703125" style="2" customWidth="1"/>
    <col min="1529" max="1529" width="5.140625" style="2" customWidth="1"/>
    <col min="1530" max="1530" width="9.140625" style="2"/>
    <col min="1531" max="1531" width="4.85546875" style="2" customWidth="1"/>
    <col min="1532" max="1532" width="30.5703125" style="2" customWidth="1"/>
    <col min="1533" max="1533" width="33.85546875" style="2" customWidth="1"/>
    <col min="1534" max="1534" width="5.140625" style="2" customWidth="1"/>
    <col min="1535" max="1536" width="17.5703125" style="2" customWidth="1"/>
    <col min="1537" max="1780" width="9.140625" style="2"/>
    <col min="1781" max="1781" width="3.5703125" style="2" customWidth="1"/>
    <col min="1782" max="1782" width="96.85546875" style="2" customWidth="1"/>
    <col min="1783" max="1783" width="30.85546875" style="2" customWidth="1"/>
    <col min="1784" max="1784" width="12.5703125" style="2" customWidth="1"/>
    <col min="1785" max="1785" width="5.140625" style="2" customWidth="1"/>
    <col min="1786" max="1786" width="9.140625" style="2"/>
    <col min="1787" max="1787" width="4.85546875" style="2" customWidth="1"/>
    <col min="1788" max="1788" width="30.5703125" style="2" customWidth="1"/>
    <col min="1789" max="1789" width="33.85546875" style="2" customWidth="1"/>
    <col min="1790" max="1790" width="5.140625" style="2" customWidth="1"/>
    <col min="1791" max="1792" width="17.5703125" style="2" customWidth="1"/>
    <col min="1793" max="2036" width="9.140625" style="2"/>
    <col min="2037" max="2037" width="3.5703125" style="2" customWidth="1"/>
    <col min="2038" max="2038" width="96.85546875" style="2" customWidth="1"/>
    <col min="2039" max="2039" width="30.85546875" style="2" customWidth="1"/>
    <col min="2040" max="2040" width="12.5703125" style="2" customWidth="1"/>
    <col min="2041" max="2041" width="5.140625" style="2" customWidth="1"/>
    <col min="2042" max="2042" width="9.140625" style="2"/>
    <col min="2043" max="2043" width="4.85546875" style="2" customWidth="1"/>
    <col min="2044" max="2044" width="30.5703125" style="2" customWidth="1"/>
    <col min="2045" max="2045" width="33.85546875" style="2" customWidth="1"/>
    <col min="2046" max="2046" width="5.140625" style="2" customWidth="1"/>
    <col min="2047" max="2048" width="17.5703125" style="2" customWidth="1"/>
    <col min="2049" max="2292" width="9.140625" style="2"/>
    <col min="2293" max="2293" width="3.5703125" style="2" customWidth="1"/>
    <col min="2294" max="2294" width="96.85546875" style="2" customWidth="1"/>
    <col min="2295" max="2295" width="30.85546875" style="2" customWidth="1"/>
    <col min="2296" max="2296" width="12.5703125" style="2" customWidth="1"/>
    <col min="2297" max="2297" width="5.140625" style="2" customWidth="1"/>
    <col min="2298" max="2298" width="9.140625" style="2"/>
    <col min="2299" max="2299" width="4.85546875" style="2" customWidth="1"/>
    <col min="2300" max="2300" width="30.5703125" style="2" customWidth="1"/>
    <col min="2301" max="2301" width="33.85546875" style="2" customWidth="1"/>
    <col min="2302" max="2302" width="5.140625" style="2" customWidth="1"/>
    <col min="2303" max="2304" width="17.5703125" style="2" customWidth="1"/>
    <col min="2305" max="2548" width="9.140625" style="2"/>
    <col min="2549" max="2549" width="3.5703125" style="2" customWidth="1"/>
    <col min="2550" max="2550" width="96.85546875" style="2" customWidth="1"/>
    <col min="2551" max="2551" width="30.85546875" style="2" customWidth="1"/>
    <col min="2552" max="2552" width="12.5703125" style="2" customWidth="1"/>
    <col min="2553" max="2553" width="5.140625" style="2" customWidth="1"/>
    <col min="2554" max="2554" width="9.140625" style="2"/>
    <col min="2555" max="2555" width="4.85546875" style="2" customWidth="1"/>
    <col min="2556" max="2556" width="30.5703125" style="2" customWidth="1"/>
    <col min="2557" max="2557" width="33.85546875" style="2" customWidth="1"/>
    <col min="2558" max="2558" width="5.140625" style="2" customWidth="1"/>
    <col min="2559" max="2560" width="17.5703125" style="2" customWidth="1"/>
    <col min="2561" max="2804" width="9.140625" style="2"/>
    <col min="2805" max="2805" width="3.5703125" style="2" customWidth="1"/>
    <col min="2806" max="2806" width="96.85546875" style="2" customWidth="1"/>
    <col min="2807" max="2807" width="30.85546875" style="2" customWidth="1"/>
    <col min="2808" max="2808" width="12.5703125" style="2" customWidth="1"/>
    <col min="2809" max="2809" width="5.140625" style="2" customWidth="1"/>
    <col min="2810" max="2810" width="9.140625" style="2"/>
    <col min="2811" max="2811" width="4.85546875" style="2" customWidth="1"/>
    <col min="2812" max="2812" width="30.5703125" style="2" customWidth="1"/>
    <col min="2813" max="2813" width="33.85546875" style="2" customWidth="1"/>
    <col min="2814" max="2814" width="5.140625" style="2" customWidth="1"/>
    <col min="2815" max="2816" width="17.5703125" style="2" customWidth="1"/>
    <col min="2817" max="3060" width="9.140625" style="2"/>
    <col min="3061" max="3061" width="3.5703125" style="2" customWidth="1"/>
    <col min="3062" max="3062" width="96.85546875" style="2" customWidth="1"/>
    <col min="3063" max="3063" width="30.85546875" style="2" customWidth="1"/>
    <col min="3064" max="3064" width="12.5703125" style="2" customWidth="1"/>
    <col min="3065" max="3065" width="5.140625" style="2" customWidth="1"/>
    <col min="3066" max="3066" width="9.140625" style="2"/>
    <col min="3067" max="3067" width="4.85546875" style="2" customWidth="1"/>
    <col min="3068" max="3068" width="30.5703125" style="2" customWidth="1"/>
    <col min="3069" max="3069" width="33.85546875" style="2" customWidth="1"/>
    <col min="3070" max="3070" width="5.140625" style="2" customWidth="1"/>
    <col min="3071" max="3072" width="17.5703125" style="2" customWidth="1"/>
    <col min="3073" max="3316" width="9.140625" style="2"/>
    <col min="3317" max="3317" width="3.5703125" style="2" customWidth="1"/>
    <col min="3318" max="3318" width="96.85546875" style="2" customWidth="1"/>
    <col min="3319" max="3319" width="30.85546875" style="2" customWidth="1"/>
    <col min="3320" max="3320" width="12.5703125" style="2" customWidth="1"/>
    <col min="3321" max="3321" width="5.140625" style="2" customWidth="1"/>
    <col min="3322" max="3322" width="9.140625" style="2"/>
    <col min="3323" max="3323" width="4.85546875" style="2" customWidth="1"/>
    <col min="3324" max="3324" width="30.5703125" style="2" customWidth="1"/>
    <col min="3325" max="3325" width="33.85546875" style="2" customWidth="1"/>
    <col min="3326" max="3326" width="5.140625" style="2" customWidth="1"/>
    <col min="3327" max="3328" width="17.5703125" style="2" customWidth="1"/>
    <col min="3329" max="3572" width="9.140625" style="2"/>
    <col min="3573" max="3573" width="3.5703125" style="2" customWidth="1"/>
    <col min="3574" max="3574" width="96.85546875" style="2" customWidth="1"/>
    <col min="3575" max="3575" width="30.85546875" style="2" customWidth="1"/>
    <col min="3576" max="3576" width="12.5703125" style="2" customWidth="1"/>
    <col min="3577" max="3577" width="5.140625" style="2" customWidth="1"/>
    <col min="3578" max="3578" width="9.140625" style="2"/>
    <col min="3579" max="3579" width="4.85546875" style="2" customWidth="1"/>
    <col min="3580" max="3580" width="30.5703125" style="2" customWidth="1"/>
    <col min="3581" max="3581" width="33.85546875" style="2" customWidth="1"/>
    <col min="3582" max="3582" width="5.140625" style="2" customWidth="1"/>
    <col min="3583" max="3584" width="17.5703125" style="2" customWidth="1"/>
    <col min="3585" max="3828" width="9.140625" style="2"/>
    <col min="3829" max="3829" width="3.5703125" style="2" customWidth="1"/>
    <col min="3830" max="3830" width="96.85546875" style="2" customWidth="1"/>
    <col min="3831" max="3831" width="30.85546875" style="2" customWidth="1"/>
    <col min="3832" max="3832" width="12.5703125" style="2" customWidth="1"/>
    <col min="3833" max="3833" width="5.140625" style="2" customWidth="1"/>
    <col min="3834" max="3834" width="9.140625" style="2"/>
    <col min="3835" max="3835" width="4.85546875" style="2" customWidth="1"/>
    <col min="3836" max="3836" width="30.5703125" style="2" customWidth="1"/>
    <col min="3837" max="3837" width="33.85546875" style="2" customWidth="1"/>
    <col min="3838" max="3838" width="5.140625" style="2" customWidth="1"/>
    <col min="3839" max="3840" width="17.5703125" style="2" customWidth="1"/>
    <col min="3841" max="4084" width="9.140625" style="2"/>
    <col min="4085" max="4085" width="3.5703125" style="2" customWidth="1"/>
    <col min="4086" max="4086" width="96.85546875" style="2" customWidth="1"/>
    <col min="4087" max="4087" width="30.85546875" style="2" customWidth="1"/>
    <col min="4088" max="4088" width="12.5703125" style="2" customWidth="1"/>
    <col min="4089" max="4089" width="5.140625" style="2" customWidth="1"/>
    <col min="4090" max="4090" width="9.140625" style="2"/>
    <col min="4091" max="4091" width="4.85546875" style="2" customWidth="1"/>
    <col min="4092" max="4092" width="30.5703125" style="2" customWidth="1"/>
    <col min="4093" max="4093" width="33.85546875" style="2" customWidth="1"/>
    <col min="4094" max="4094" width="5.140625" style="2" customWidth="1"/>
    <col min="4095" max="4096" width="17.5703125" style="2" customWidth="1"/>
    <col min="4097" max="4340" width="9.140625" style="2"/>
    <col min="4341" max="4341" width="3.5703125" style="2" customWidth="1"/>
    <col min="4342" max="4342" width="96.85546875" style="2" customWidth="1"/>
    <col min="4343" max="4343" width="30.85546875" style="2" customWidth="1"/>
    <col min="4344" max="4344" width="12.5703125" style="2" customWidth="1"/>
    <col min="4345" max="4345" width="5.140625" style="2" customWidth="1"/>
    <col min="4346" max="4346" width="9.140625" style="2"/>
    <col min="4347" max="4347" width="4.85546875" style="2" customWidth="1"/>
    <col min="4348" max="4348" width="30.5703125" style="2" customWidth="1"/>
    <col min="4349" max="4349" width="33.85546875" style="2" customWidth="1"/>
    <col min="4350" max="4350" width="5.140625" style="2" customWidth="1"/>
    <col min="4351" max="4352" width="17.5703125" style="2" customWidth="1"/>
    <col min="4353" max="4596" width="9.140625" style="2"/>
    <col min="4597" max="4597" width="3.5703125" style="2" customWidth="1"/>
    <col min="4598" max="4598" width="96.85546875" style="2" customWidth="1"/>
    <col min="4599" max="4599" width="30.85546875" style="2" customWidth="1"/>
    <col min="4600" max="4600" width="12.5703125" style="2" customWidth="1"/>
    <col min="4601" max="4601" width="5.140625" style="2" customWidth="1"/>
    <col min="4602" max="4602" width="9.140625" style="2"/>
    <col min="4603" max="4603" width="4.85546875" style="2" customWidth="1"/>
    <col min="4604" max="4604" width="30.5703125" style="2" customWidth="1"/>
    <col min="4605" max="4605" width="33.85546875" style="2" customWidth="1"/>
    <col min="4606" max="4606" width="5.140625" style="2" customWidth="1"/>
    <col min="4607" max="4608" width="17.5703125" style="2" customWidth="1"/>
    <col min="4609" max="4852" width="9.140625" style="2"/>
    <col min="4853" max="4853" width="3.5703125" style="2" customWidth="1"/>
    <col min="4854" max="4854" width="96.85546875" style="2" customWidth="1"/>
    <col min="4855" max="4855" width="30.85546875" style="2" customWidth="1"/>
    <col min="4856" max="4856" width="12.5703125" style="2" customWidth="1"/>
    <col min="4857" max="4857" width="5.140625" style="2" customWidth="1"/>
    <col min="4858" max="4858" width="9.140625" style="2"/>
    <col min="4859" max="4859" width="4.85546875" style="2" customWidth="1"/>
    <col min="4860" max="4860" width="30.5703125" style="2" customWidth="1"/>
    <col min="4861" max="4861" width="33.85546875" style="2" customWidth="1"/>
    <col min="4862" max="4862" width="5.140625" style="2" customWidth="1"/>
    <col min="4863" max="4864" width="17.5703125" style="2" customWidth="1"/>
    <col min="4865" max="5108" width="9.140625" style="2"/>
    <col min="5109" max="5109" width="3.5703125" style="2" customWidth="1"/>
    <col min="5110" max="5110" width="96.85546875" style="2" customWidth="1"/>
    <col min="5111" max="5111" width="30.85546875" style="2" customWidth="1"/>
    <col min="5112" max="5112" width="12.5703125" style="2" customWidth="1"/>
    <col min="5113" max="5113" width="5.140625" style="2" customWidth="1"/>
    <col min="5114" max="5114" width="9.140625" style="2"/>
    <col min="5115" max="5115" width="4.85546875" style="2" customWidth="1"/>
    <col min="5116" max="5116" width="30.5703125" style="2" customWidth="1"/>
    <col min="5117" max="5117" width="33.85546875" style="2" customWidth="1"/>
    <col min="5118" max="5118" width="5.140625" style="2" customWidth="1"/>
    <col min="5119" max="5120" width="17.5703125" style="2" customWidth="1"/>
    <col min="5121" max="5364" width="9.140625" style="2"/>
    <col min="5365" max="5365" width="3.5703125" style="2" customWidth="1"/>
    <col min="5366" max="5366" width="96.85546875" style="2" customWidth="1"/>
    <col min="5367" max="5367" width="30.85546875" style="2" customWidth="1"/>
    <col min="5368" max="5368" width="12.5703125" style="2" customWidth="1"/>
    <col min="5369" max="5369" width="5.140625" style="2" customWidth="1"/>
    <col min="5370" max="5370" width="9.140625" style="2"/>
    <col min="5371" max="5371" width="4.85546875" style="2" customWidth="1"/>
    <col min="5372" max="5372" width="30.5703125" style="2" customWidth="1"/>
    <col min="5373" max="5373" width="33.85546875" style="2" customWidth="1"/>
    <col min="5374" max="5374" width="5.140625" style="2" customWidth="1"/>
    <col min="5375" max="5376" width="17.5703125" style="2" customWidth="1"/>
    <col min="5377" max="5620" width="9.140625" style="2"/>
    <col min="5621" max="5621" width="3.5703125" style="2" customWidth="1"/>
    <col min="5622" max="5622" width="96.85546875" style="2" customWidth="1"/>
    <col min="5623" max="5623" width="30.85546875" style="2" customWidth="1"/>
    <col min="5624" max="5624" width="12.5703125" style="2" customWidth="1"/>
    <col min="5625" max="5625" width="5.140625" style="2" customWidth="1"/>
    <col min="5626" max="5626" width="9.140625" style="2"/>
    <col min="5627" max="5627" width="4.85546875" style="2" customWidth="1"/>
    <col min="5628" max="5628" width="30.5703125" style="2" customWidth="1"/>
    <col min="5629" max="5629" width="33.85546875" style="2" customWidth="1"/>
    <col min="5630" max="5630" width="5.140625" style="2" customWidth="1"/>
    <col min="5631" max="5632" width="17.5703125" style="2" customWidth="1"/>
    <col min="5633" max="5876" width="9.140625" style="2"/>
    <col min="5877" max="5877" width="3.5703125" style="2" customWidth="1"/>
    <col min="5878" max="5878" width="96.85546875" style="2" customWidth="1"/>
    <col min="5879" max="5879" width="30.85546875" style="2" customWidth="1"/>
    <col min="5880" max="5880" width="12.5703125" style="2" customWidth="1"/>
    <col min="5881" max="5881" width="5.140625" style="2" customWidth="1"/>
    <col min="5882" max="5882" width="9.140625" style="2"/>
    <col min="5883" max="5883" width="4.85546875" style="2" customWidth="1"/>
    <col min="5884" max="5884" width="30.5703125" style="2" customWidth="1"/>
    <col min="5885" max="5885" width="33.85546875" style="2" customWidth="1"/>
    <col min="5886" max="5886" width="5.140625" style="2" customWidth="1"/>
    <col min="5887" max="5888" width="17.5703125" style="2" customWidth="1"/>
    <col min="5889" max="6132" width="9.140625" style="2"/>
    <col min="6133" max="6133" width="3.5703125" style="2" customWidth="1"/>
    <col min="6134" max="6134" width="96.85546875" style="2" customWidth="1"/>
    <col min="6135" max="6135" width="30.85546875" style="2" customWidth="1"/>
    <col min="6136" max="6136" width="12.5703125" style="2" customWidth="1"/>
    <col min="6137" max="6137" width="5.140625" style="2" customWidth="1"/>
    <col min="6138" max="6138" width="9.140625" style="2"/>
    <col min="6139" max="6139" width="4.85546875" style="2" customWidth="1"/>
    <col min="6140" max="6140" width="30.5703125" style="2" customWidth="1"/>
    <col min="6141" max="6141" width="33.85546875" style="2" customWidth="1"/>
    <col min="6142" max="6142" width="5.140625" style="2" customWidth="1"/>
    <col min="6143" max="6144" width="17.5703125" style="2" customWidth="1"/>
    <col min="6145" max="6388" width="9.140625" style="2"/>
    <col min="6389" max="6389" width="3.5703125" style="2" customWidth="1"/>
    <col min="6390" max="6390" width="96.85546875" style="2" customWidth="1"/>
    <col min="6391" max="6391" width="30.85546875" style="2" customWidth="1"/>
    <col min="6392" max="6392" width="12.5703125" style="2" customWidth="1"/>
    <col min="6393" max="6393" width="5.140625" style="2" customWidth="1"/>
    <col min="6394" max="6394" width="9.140625" style="2"/>
    <col min="6395" max="6395" width="4.85546875" style="2" customWidth="1"/>
    <col min="6396" max="6396" width="30.5703125" style="2" customWidth="1"/>
    <col min="6397" max="6397" width="33.85546875" style="2" customWidth="1"/>
    <col min="6398" max="6398" width="5.140625" style="2" customWidth="1"/>
    <col min="6399" max="6400" width="17.5703125" style="2" customWidth="1"/>
    <col min="6401" max="6644" width="9.140625" style="2"/>
    <col min="6645" max="6645" width="3.5703125" style="2" customWidth="1"/>
    <col min="6646" max="6646" width="96.85546875" style="2" customWidth="1"/>
    <col min="6647" max="6647" width="30.85546875" style="2" customWidth="1"/>
    <col min="6648" max="6648" width="12.5703125" style="2" customWidth="1"/>
    <col min="6649" max="6649" width="5.140625" style="2" customWidth="1"/>
    <col min="6650" max="6650" width="9.140625" style="2"/>
    <col min="6651" max="6651" width="4.85546875" style="2" customWidth="1"/>
    <col min="6652" max="6652" width="30.5703125" style="2" customWidth="1"/>
    <col min="6653" max="6653" width="33.85546875" style="2" customWidth="1"/>
    <col min="6654" max="6654" width="5.140625" style="2" customWidth="1"/>
    <col min="6655" max="6656" width="17.5703125" style="2" customWidth="1"/>
    <col min="6657" max="6900" width="9.140625" style="2"/>
    <col min="6901" max="6901" width="3.5703125" style="2" customWidth="1"/>
    <col min="6902" max="6902" width="96.85546875" style="2" customWidth="1"/>
    <col min="6903" max="6903" width="30.85546875" style="2" customWidth="1"/>
    <col min="6904" max="6904" width="12.5703125" style="2" customWidth="1"/>
    <col min="6905" max="6905" width="5.140625" style="2" customWidth="1"/>
    <col min="6906" max="6906" width="9.140625" style="2"/>
    <col min="6907" max="6907" width="4.85546875" style="2" customWidth="1"/>
    <col min="6908" max="6908" width="30.5703125" style="2" customWidth="1"/>
    <col min="6909" max="6909" width="33.85546875" style="2" customWidth="1"/>
    <col min="6910" max="6910" width="5.140625" style="2" customWidth="1"/>
    <col min="6911" max="6912" width="17.5703125" style="2" customWidth="1"/>
    <col min="6913" max="7156" width="9.140625" style="2"/>
    <col min="7157" max="7157" width="3.5703125" style="2" customWidth="1"/>
    <col min="7158" max="7158" width="96.85546875" style="2" customWidth="1"/>
    <col min="7159" max="7159" width="30.85546875" style="2" customWidth="1"/>
    <col min="7160" max="7160" width="12.5703125" style="2" customWidth="1"/>
    <col min="7161" max="7161" width="5.140625" style="2" customWidth="1"/>
    <col min="7162" max="7162" width="9.140625" style="2"/>
    <col min="7163" max="7163" width="4.85546875" style="2" customWidth="1"/>
    <col min="7164" max="7164" width="30.5703125" style="2" customWidth="1"/>
    <col min="7165" max="7165" width="33.85546875" style="2" customWidth="1"/>
    <col min="7166" max="7166" width="5.140625" style="2" customWidth="1"/>
    <col min="7167" max="7168" width="17.5703125" style="2" customWidth="1"/>
    <col min="7169" max="7412" width="9.140625" style="2"/>
    <col min="7413" max="7413" width="3.5703125" style="2" customWidth="1"/>
    <col min="7414" max="7414" width="96.85546875" style="2" customWidth="1"/>
    <col min="7415" max="7415" width="30.85546875" style="2" customWidth="1"/>
    <col min="7416" max="7416" width="12.5703125" style="2" customWidth="1"/>
    <col min="7417" max="7417" width="5.140625" style="2" customWidth="1"/>
    <col min="7418" max="7418" width="9.140625" style="2"/>
    <col min="7419" max="7419" width="4.85546875" style="2" customWidth="1"/>
    <col min="7420" max="7420" width="30.5703125" style="2" customWidth="1"/>
    <col min="7421" max="7421" width="33.85546875" style="2" customWidth="1"/>
    <col min="7422" max="7422" width="5.140625" style="2" customWidth="1"/>
    <col min="7423" max="7424" width="17.5703125" style="2" customWidth="1"/>
    <col min="7425" max="7668" width="9.140625" style="2"/>
    <col min="7669" max="7669" width="3.5703125" style="2" customWidth="1"/>
    <col min="7670" max="7670" width="96.85546875" style="2" customWidth="1"/>
    <col min="7671" max="7671" width="30.85546875" style="2" customWidth="1"/>
    <col min="7672" max="7672" width="12.5703125" style="2" customWidth="1"/>
    <col min="7673" max="7673" width="5.140625" style="2" customWidth="1"/>
    <col min="7674" max="7674" width="9.140625" style="2"/>
    <col min="7675" max="7675" width="4.85546875" style="2" customWidth="1"/>
    <col min="7676" max="7676" width="30.5703125" style="2" customWidth="1"/>
    <col min="7677" max="7677" width="33.85546875" style="2" customWidth="1"/>
    <col min="7678" max="7678" width="5.140625" style="2" customWidth="1"/>
    <col min="7679" max="7680" width="17.5703125" style="2" customWidth="1"/>
    <col min="7681" max="7924" width="9.140625" style="2"/>
    <col min="7925" max="7925" width="3.5703125" style="2" customWidth="1"/>
    <col min="7926" max="7926" width="96.85546875" style="2" customWidth="1"/>
    <col min="7927" max="7927" width="30.85546875" style="2" customWidth="1"/>
    <col min="7928" max="7928" width="12.5703125" style="2" customWidth="1"/>
    <col min="7929" max="7929" width="5.140625" style="2" customWidth="1"/>
    <col min="7930" max="7930" width="9.140625" style="2"/>
    <col min="7931" max="7931" width="4.85546875" style="2" customWidth="1"/>
    <col min="7932" max="7932" width="30.5703125" style="2" customWidth="1"/>
    <col min="7933" max="7933" width="33.85546875" style="2" customWidth="1"/>
    <col min="7934" max="7934" width="5.140625" style="2" customWidth="1"/>
    <col min="7935" max="7936" width="17.5703125" style="2" customWidth="1"/>
    <col min="7937" max="8180" width="9.140625" style="2"/>
    <col min="8181" max="8181" width="3.5703125" style="2" customWidth="1"/>
    <col min="8182" max="8182" width="96.85546875" style="2" customWidth="1"/>
    <col min="8183" max="8183" width="30.85546875" style="2" customWidth="1"/>
    <col min="8184" max="8184" width="12.5703125" style="2" customWidth="1"/>
    <col min="8185" max="8185" width="5.140625" style="2" customWidth="1"/>
    <col min="8186" max="8186" width="9.140625" style="2"/>
    <col min="8187" max="8187" width="4.85546875" style="2" customWidth="1"/>
    <col min="8188" max="8188" width="30.5703125" style="2" customWidth="1"/>
    <col min="8189" max="8189" width="33.85546875" style="2" customWidth="1"/>
    <col min="8190" max="8190" width="5.140625" style="2" customWidth="1"/>
    <col min="8191" max="8192" width="17.5703125" style="2" customWidth="1"/>
    <col min="8193" max="8436" width="9.140625" style="2"/>
    <col min="8437" max="8437" width="3.5703125" style="2" customWidth="1"/>
    <col min="8438" max="8438" width="96.85546875" style="2" customWidth="1"/>
    <col min="8439" max="8439" width="30.85546875" style="2" customWidth="1"/>
    <col min="8440" max="8440" width="12.5703125" style="2" customWidth="1"/>
    <col min="8441" max="8441" width="5.140625" style="2" customWidth="1"/>
    <col min="8442" max="8442" width="9.140625" style="2"/>
    <col min="8443" max="8443" width="4.85546875" style="2" customWidth="1"/>
    <col min="8444" max="8444" width="30.5703125" style="2" customWidth="1"/>
    <col min="8445" max="8445" width="33.85546875" style="2" customWidth="1"/>
    <col min="8446" max="8446" width="5.140625" style="2" customWidth="1"/>
    <col min="8447" max="8448" width="17.5703125" style="2" customWidth="1"/>
    <col min="8449" max="8692" width="9.140625" style="2"/>
    <col min="8693" max="8693" width="3.5703125" style="2" customWidth="1"/>
    <col min="8694" max="8694" width="96.85546875" style="2" customWidth="1"/>
    <col min="8695" max="8695" width="30.85546875" style="2" customWidth="1"/>
    <col min="8696" max="8696" width="12.5703125" style="2" customWidth="1"/>
    <col min="8697" max="8697" width="5.140625" style="2" customWidth="1"/>
    <col min="8698" max="8698" width="9.140625" style="2"/>
    <col min="8699" max="8699" width="4.85546875" style="2" customWidth="1"/>
    <col min="8700" max="8700" width="30.5703125" style="2" customWidth="1"/>
    <col min="8701" max="8701" width="33.85546875" style="2" customWidth="1"/>
    <col min="8702" max="8702" width="5.140625" style="2" customWidth="1"/>
    <col min="8703" max="8704" width="17.5703125" style="2" customWidth="1"/>
    <col min="8705" max="8948" width="9.140625" style="2"/>
    <col min="8949" max="8949" width="3.5703125" style="2" customWidth="1"/>
    <col min="8950" max="8950" width="96.85546875" style="2" customWidth="1"/>
    <col min="8951" max="8951" width="30.85546875" style="2" customWidth="1"/>
    <col min="8952" max="8952" width="12.5703125" style="2" customWidth="1"/>
    <col min="8953" max="8953" width="5.140625" style="2" customWidth="1"/>
    <col min="8954" max="8954" width="9.140625" style="2"/>
    <col min="8955" max="8955" width="4.85546875" style="2" customWidth="1"/>
    <col min="8956" max="8956" width="30.5703125" style="2" customWidth="1"/>
    <col min="8957" max="8957" width="33.85546875" style="2" customWidth="1"/>
    <col min="8958" max="8958" width="5.140625" style="2" customWidth="1"/>
    <col min="8959" max="8960" width="17.5703125" style="2" customWidth="1"/>
    <col min="8961" max="9204" width="9.140625" style="2"/>
    <col min="9205" max="9205" width="3.5703125" style="2" customWidth="1"/>
    <col min="9206" max="9206" width="96.85546875" style="2" customWidth="1"/>
    <col min="9207" max="9207" width="30.85546875" style="2" customWidth="1"/>
    <col min="9208" max="9208" width="12.5703125" style="2" customWidth="1"/>
    <col min="9209" max="9209" width="5.140625" style="2" customWidth="1"/>
    <col min="9210" max="9210" width="9.140625" style="2"/>
    <col min="9211" max="9211" width="4.85546875" style="2" customWidth="1"/>
    <col min="9212" max="9212" width="30.5703125" style="2" customWidth="1"/>
    <col min="9213" max="9213" width="33.85546875" style="2" customWidth="1"/>
    <col min="9214" max="9214" width="5.140625" style="2" customWidth="1"/>
    <col min="9215" max="9216" width="17.5703125" style="2" customWidth="1"/>
    <col min="9217" max="9460" width="9.140625" style="2"/>
    <col min="9461" max="9461" width="3.5703125" style="2" customWidth="1"/>
    <col min="9462" max="9462" width="96.85546875" style="2" customWidth="1"/>
    <col min="9463" max="9463" width="30.85546875" style="2" customWidth="1"/>
    <col min="9464" max="9464" width="12.5703125" style="2" customWidth="1"/>
    <col min="9465" max="9465" width="5.140625" style="2" customWidth="1"/>
    <col min="9466" max="9466" width="9.140625" style="2"/>
    <col min="9467" max="9467" width="4.85546875" style="2" customWidth="1"/>
    <col min="9468" max="9468" width="30.5703125" style="2" customWidth="1"/>
    <col min="9469" max="9469" width="33.85546875" style="2" customWidth="1"/>
    <col min="9470" max="9470" width="5.140625" style="2" customWidth="1"/>
    <col min="9471" max="9472" width="17.5703125" style="2" customWidth="1"/>
    <col min="9473" max="9716" width="9.140625" style="2"/>
    <col min="9717" max="9717" width="3.5703125" style="2" customWidth="1"/>
    <col min="9718" max="9718" width="96.85546875" style="2" customWidth="1"/>
    <col min="9719" max="9719" width="30.85546875" style="2" customWidth="1"/>
    <col min="9720" max="9720" width="12.5703125" style="2" customWidth="1"/>
    <col min="9721" max="9721" width="5.140625" style="2" customWidth="1"/>
    <col min="9722" max="9722" width="9.140625" style="2"/>
    <col min="9723" max="9723" width="4.85546875" style="2" customWidth="1"/>
    <col min="9724" max="9724" width="30.5703125" style="2" customWidth="1"/>
    <col min="9725" max="9725" width="33.85546875" style="2" customWidth="1"/>
    <col min="9726" max="9726" width="5.140625" style="2" customWidth="1"/>
    <col min="9727" max="9728" width="17.5703125" style="2" customWidth="1"/>
    <col min="9729" max="9972" width="9.140625" style="2"/>
    <col min="9973" max="9973" width="3.5703125" style="2" customWidth="1"/>
    <col min="9974" max="9974" width="96.85546875" style="2" customWidth="1"/>
    <col min="9975" max="9975" width="30.85546875" style="2" customWidth="1"/>
    <col min="9976" max="9976" width="12.5703125" style="2" customWidth="1"/>
    <col min="9977" max="9977" width="5.140625" style="2" customWidth="1"/>
    <col min="9978" max="9978" width="9.140625" style="2"/>
    <col min="9979" max="9979" width="4.85546875" style="2" customWidth="1"/>
    <col min="9980" max="9980" width="30.5703125" style="2" customWidth="1"/>
    <col min="9981" max="9981" width="33.85546875" style="2" customWidth="1"/>
    <col min="9982" max="9982" width="5.140625" style="2" customWidth="1"/>
    <col min="9983" max="9984" width="17.5703125" style="2" customWidth="1"/>
    <col min="9985" max="10228" width="9.140625" style="2"/>
    <col min="10229" max="10229" width="3.5703125" style="2" customWidth="1"/>
    <col min="10230" max="10230" width="96.85546875" style="2" customWidth="1"/>
    <col min="10231" max="10231" width="30.85546875" style="2" customWidth="1"/>
    <col min="10232" max="10232" width="12.5703125" style="2" customWidth="1"/>
    <col min="10233" max="10233" width="5.140625" style="2" customWidth="1"/>
    <col min="10234" max="10234" width="9.140625" style="2"/>
    <col min="10235" max="10235" width="4.85546875" style="2" customWidth="1"/>
    <col min="10236" max="10236" width="30.5703125" style="2" customWidth="1"/>
    <col min="10237" max="10237" width="33.85546875" style="2" customWidth="1"/>
    <col min="10238" max="10238" width="5.140625" style="2" customWidth="1"/>
    <col min="10239" max="10240" width="17.5703125" style="2" customWidth="1"/>
    <col min="10241" max="10484" width="9.140625" style="2"/>
    <col min="10485" max="10485" width="3.5703125" style="2" customWidth="1"/>
    <col min="10486" max="10486" width="96.85546875" style="2" customWidth="1"/>
    <col min="10487" max="10487" width="30.85546875" style="2" customWidth="1"/>
    <col min="10488" max="10488" width="12.5703125" style="2" customWidth="1"/>
    <col min="10489" max="10489" width="5.140625" style="2" customWidth="1"/>
    <col min="10490" max="10490" width="9.140625" style="2"/>
    <col min="10491" max="10491" width="4.85546875" style="2" customWidth="1"/>
    <col min="10492" max="10492" width="30.5703125" style="2" customWidth="1"/>
    <col min="10493" max="10493" width="33.85546875" style="2" customWidth="1"/>
    <col min="10494" max="10494" width="5.140625" style="2" customWidth="1"/>
    <col min="10495" max="10496" width="17.5703125" style="2" customWidth="1"/>
    <col min="10497" max="10740" width="9.140625" style="2"/>
    <col min="10741" max="10741" width="3.5703125" style="2" customWidth="1"/>
    <col min="10742" max="10742" width="96.85546875" style="2" customWidth="1"/>
    <col min="10743" max="10743" width="30.85546875" style="2" customWidth="1"/>
    <col min="10744" max="10744" width="12.5703125" style="2" customWidth="1"/>
    <col min="10745" max="10745" width="5.140625" style="2" customWidth="1"/>
    <col min="10746" max="10746" width="9.140625" style="2"/>
    <col min="10747" max="10747" width="4.85546875" style="2" customWidth="1"/>
    <col min="10748" max="10748" width="30.5703125" style="2" customWidth="1"/>
    <col min="10749" max="10749" width="33.85546875" style="2" customWidth="1"/>
    <col min="10750" max="10750" width="5.140625" style="2" customWidth="1"/>
    <col min="10751" max="10752" width="17.5703125" style="2" customWidth="1"/>
    <col min="10753" max="10996" width="9.140625" style="2"/>
    <col min="10997" max="10997" width="3.5703125" style="2" customWidth="1"/>
    <col min="10998" max="10998" width="96.85546875" style="2" customWidth="1"/>
    <col min="10999" max="10999" width="30.85546875" style="2" customWidth="1"/>
    <col min="11000" max="11000" width="12.5703125" style="2" customWidth="1"/>
    <col min="11001" max="11001" width="5.140625" style="2" customWidth="1"/>
    <col min="11002" max="11002" width="9.140625" style="2"/>
    <col min="11003" max="11003" width="4.85546875" style="2" customWidth="1"/>
    <col min="11004" max="11004" width="30.5703125" style="2" customWidth="1"/>
    <col min="11005" max="11005" width="33.85546875" style="2" customWidth="1"/>
    <col min="11006" max="11006" width="5.140625" style="2" customWidth="1"/>
    <col min="11007" max="11008" width="17.5703125" style="2" customWidth="1"/>
    <col min="11009" max="11252" width="9.140625" style="2"/>
    <col min="11253" max="11253" width="3.5703125" style="2" customWidth="1"/>
    <col min="11254" max="11254" width="96.85546875" style="2" customWidth="1"/>
    <col min="11255" max="11255" width="30.85546875" style="2" customWidth="1"/>
    <col min="11256" max="11256" width="12.5703125" style="2" customWidth="1"/>
    <col min="11257" max="11257" width="5.140625" style="2" customWidth="1"/>
    <col min="11258" max="11258" width="9.140625" style="2"/>
    <col min="11259" max="11259" width="4.85546875" style="2" customWidth="1"/>
    <col min="11260" max="11260" width="30.5703125" style="2" customWidth="1"/>
    <col min="11261" max="11261" width="33.85546875" style="2" customWidth="1"/>
    <col min="11262" max="11262" width="5.140625" style="2" customWidth="1"/>
    <col min="11263" max="11264" width="17.5703125" style="2" customWidth="1"/>
    <col min="11265" max="11508" width="9.140625" style="2"/>
    <col min="11509" max="11509" width="3.5703125" style="2" customWidth="1"/>
    <col min="11510" max="11510" width="96.85546875" style="2" customWidth="1"/>
    <col min="11511" max="11511" width="30.85546875" style="2" customWidth="1"/>
    <col min="11512" max="11512" width="12.5703125" style="2" customWidth="1"/>
    <col min="11513" max="11513" width="5.140625" style="2" customWidth="1"/>
    <col min="11514" max="11514" width="9.140625" style="2"/>
    <col min="11515" max="11515" width="4.85546875" style="2" customWidth="1"/>
    <col min="11516" max="11516" width="30.5703125" style="2" customWidth="1"/>
    <col min="11517" max="11517" width="33.85546875" style="2" customWidth="1"/>
    <col min="11518" max="11518" width="5.140625" style="2" customWidth="1"/>
    <col min="11519" max="11520" width="17.5703125" style="2" customWidth="1"/>
    <col min="11521" max="11764" width="9.140625" style="2"/>
    <col min="11765" max="11765" width="3.5703125" style="2" customWidth="1"/>
    <col min="11766" max="11766" width="96.85546875" style="2" customWidth="1"/>
    <col min="11767" max="11767" width="30.85546875" style="2" customWidth="1"/>
    <col min="11768" max="11768" width="12.5703125" style="2" customWidth="1"/>
    <col min="11769" max="11769" width="5.140625" style="2" customWidth="1"/>
    <col min="11770" max="11770" width="9.140625" style="2"/>
    <col min="11771" max="11771" width="4.85546875" style="2" customWidth="1"/>
    <col min="11772" max="11772" width="30.5703125" style="2" customWidth="1"/>
    <col min="11773" max="11773" width="33.85546875" style="2" customWidth="1"/>
    <col min="11774" max="11774" width="5.140625" style="2" customWidth="1"/>
    <col min="11775" max="11776" width="17.5703125" style="2" customWidth="1"/>
    <col min="11777" max="12020" width="9.140625" style="2"/>
    <col min="12021" max="12021" width="3.5703125" style="2" customWidth="1"/>
    <col min="12022" max="12022" width="96.85546875" style="2" customWidth="1"/>
    <col min="12023" max="12023" width="30.85546875" style="2" customWidth="1"/>
    <col min="12024" max="12024" width="12.5703125" style="2" customWidth="1"/>
    <col min="12025" max="12025" width="5.140625" style="2" customWidth="1"/>
    <col min="12026" max="12026" width="9.140625" style="2"/>
    <col min="12027" max="12027" width="4.85546875" style="2" customWidth="1"/>
    <col min="12028" max="12028" width="30.5703125" style="2" customWidth="1"/>
    <col min="12029" max="12029" width="33.85546875" style="2" customWidth="1"/>
    <col min="12030" max="12030" width="5.140625" style="2" customWidth="1"/>
    <col min="12031" max="12032" width="17.5703125" style="2" customWidth="1"/>
    <col min="12033" max="12276" width="9.140625" style="2"/>
    <col min="12277" max="12277" width="3.5703125" style="2" customWidth="1"/>
    <col min="12278" max="12278" width="96.85546875" style="2" customWidth="1"/>
    <col min="12279" max="12279" width="30.85546875" style="2" customWidth="1"/>
    <col min="12280" max="12280" width="12.5703125" style="2" customWidth="1"/>
    <col min="12281" max="12281" width="5.140625" style="2" customWidth="1"/>
    <col min="12282" max="12282" width="9.140625" style="2"/>
    <col min="12283" max="12283" width="4.85546875" style="2" customWidth="1"/>
    <col min="12284" max="12284" width="30.5703125" style="2" customWidth="1"/>
    <col min="12285" max="12285" width="33.85546875" style="2" customWidth="1"/>
    <col min="12286" max="12286" width="5.140625" style="2" customWidth="1"/>
    <col min="12287" max="12288" width="17.5703125" style="2" customWidth="1"/>
    <col min="12289" max="12532" width="9.140625" style="2"/>
    <col min="12533" max="12533" width="3.5703125" style="2" customWidth="1"/>
    <col min="12534" max="12534" width="96.85546875" style="2" customWidth="1"/>
    <col min="12535" max="12535" width="30.85546875" style="2" customWidth="1"/>
    <col min="12536" max="12536" width="12.5703125" style="2" customWidth="1"/>
    <col min="12537" max="12537" width="5.140625" style="2" customWidth="1"/>
    <col min="12538" max="12538" width="9.140625" style="2"/>
    <col min="12539" max="12539" width="4.85546875" style="2" customWidth="1"/>
    <col min="12540" max="12540" width="30.5703125" style="2" customWidth="1"/>
    <col min="12541" max="12541" width="33.85546875" style="2" customWidth="1"/>
    <col min="12542" max="12542" width="5.140625" style="2" customWidth="1"/>
    <col min="12543" max="12544" width="17.5703125" style="2" customWidth="1"/>
    <col min="12545" max="12788" width="9.140625" style="2"/>
    <col min="12789" max="12789" width="3.5703125" style="2" customWidth="1"/>
    <col min="12790" max="12790" width="96.85546875" style="2" customWidth="1"/>
    <col min="12791" max="12791" width="30.85546875" style="2" customWidth="1"/>
    <col min="12792" max="12792" width="12.5703125" style="2" customWidth="1"/>
    <col min="12793" max="12793" width="5.140625" style="2" customWidth="1"/>
    <col min="12794" max="12794" width="9.140625" style="2"/>
    <col min="12795" max="12795" width="4.85546875" style="2" customWidth="1"/>
    <col min="12796" max="12796" width="30.5703125" style="2" customWidth="1"/>
    <col min="12797" max="12797" width="33.85546875" style="2" customWidth="1"/>
    <col min="12798" max="12798" width="5.140625" style="2" customWidth="1"/>
    <col min="12799" max="12800" width="17.5703125" style="2" customWidth="1"/>
    <col min="12801" max="13044" width="9.140625" style="2"/>
    <col min="13045" max="13045" width="3.5703125" style="2" customWidth="1"/>
    <col min="13046" max="13046" width="96.85546875" style="2" customWidth="1"/>
    <col min="13047" max="13047" width="30.85546875" style="2" customWidth="1"/>
    <col min="13048" max="13048" width="12.5703125" style="2" customWidth="1"/>
    <col min="13049" max="13049" width="5.140625" style="2" customWidth="1"/>
    <col min="13050" max="13050" width="9.140625" style="2"/>
    <col min="13051" max="13051" width="4.85546875" style="2" customWidth="1"/>
    <col min="13052" max="13052" width="30.5703125" style="2" customWidth="1"/>
    <col min="13053" max="13053" width="33.85546875" style="2" customWidth="1"/>
    <col min="13054" max="13054" width="5.140625" style="2" customWidth="1"/>
    <col min="13055" max="13056" width="17.5703125" style="2" customWidth="1"/>
    <col min="13057" max="13300" width="9.140625" style="2"/>
    <col min="13301" max="13301" width="3.5703125" style="2" customWidth="1"/>
    <col min="13302" max="13302" width="96.85546875" style="2" customWidth="1"/>
    <col min="13303" max="13303" width="30.85546875" style="2" customWidth="1"/>
    <col min="13304" max="13304" width="12.5703125" style="2" customWidth="1"/>
    <col min="13305" max="13305" width="5.140625" style="2" customWidth="1"/>
    <col min="13306" max="13306" width="9.140625" style="2"/>
    <col min="13307" max="13307" width="4.85546875" style="2" customWidth="1"/>
    <col min="13308" max="13308" width="30.5703125" style="2" customWidth="1"/>
    <col min="13309" max="13309" width="33.85546875" style="2" customWidth="1"/>
    <col min="13310" max="13310" width="5.140625" style="2" customWidth="1"/>
    <col min="13311" max="13312" width="17.5703125" style="2" customWidth="1"/>
    <col min="13313" max="13556" width="9.140625" style="2"/>
    <col min="13557" max="13557" width="3.5703125" style="2" customWidth="1"/>
    <col min="13558" max="13558" width="96.85546875" style="2" customWidth="1"/>
    <col min="13559" max="13559" width="30.85546875" style="2" customWidth="1"/>
    <col min="13560" max="13560" width="12.5703125" style="2" customWidth="1"/>
    <col min="13561" max="13561" width="5.140625" style="2" customWidth="1"/>
    <col min="13562" max="13562" width="9.140625" style="2"/>
    <col min="13563" max="13563" width="4.85546875" style="2" customWidth="1"/>
    <col min="13564" max="13564" width="30.5703125" style="2" customWidth="1"/>
    <col min="13565" max="13565" width="33.85546875" style="2" customWidth="1"/>
    <col min="13566" max="13566" width="5.140625" style="2" customWidth="1"/>
    <col min="13567" max="13568" width="17.5703125" style="2" customWidth="1"/>
    <col min="13569" max="13812" width="9.140625" style="2"/>
    <col min="13813" max="13813" width="3.5703125" style="2" customWidth="1"/>
    <col min="13814" max="13814" width="96.85546875" style="2" customWidth="1"/>
    <col min="13815" max="13815" width="30.85546875" style="2" customWidth="1"/>
    <col min="13816" max="13816" width="12.5703125" style="2" customWidth="1"/>
    <col min="13817" max="13817" width="5.140625" style="2" customWidth="1"/>
    <col min="13818" max="13818" width="9.140625" style="2"/>
    <col min="13819" max="13819" width="4.85546875" style="2" customWidth="1"/>
    <col min="13820" max="13820" width="30.5703125" style="2" customWidth="1"/>
    <col min="13821" max="13821" width="33.85546875" style="2" customWidth="1"/>
    <col min="13822" max="13822" width="5.140625" style="2" customWidth="1"/>
    <col min="13823" max="13824" width="17.5703125" style="2" customWidth="1"/>
    <col min="13825" max="14068" width="9.140625" style="2"/>
    <col min="14069" max="14069" width="3.5703125" style="2" customWidth="1"/>
    <col min="14070" max="14070" width="96.85546875" style="2" customWidth="1"/>
    <col min="14071" max="14071" width="30.85546875" style="2" customWidth="1"/>
    <col min="14072" max="14072" width="12.5703125" style="2" customWidth="1"/>
    <col min="14073" max="14073" width="5.140625" style="2" customWidth="1"/>
    <col min="14074" max="14074" width="9.140625" style="2"/>
    <col min="14075" max="14075" width="4.85546875" style="2" customWidth="1"/>
    <col min="14076" max="14076" width="30.5703125" style="2" customWidth="1"/>
    <col min="14077" max="14077" width="33.85546875" style="2" customWidth="1"/>
    <col min="14078" max="14078" width="5.140625" style="2" customWidth="1"/>
    <col min="14079" max="14080" width="17.5703125" style="2" customWidth="1"/>
    <col min="14081" max="14324" width="9.140625" style="2"/>
    <col min="14325" max="14325" width="3.5703125" style="2" customWidth="1"/>
    <col min="14326" max="14326" width="96.85546875" style="2" customWidth="1"/>
    <col min="14327" max="14327" width="30.85546875" style="2" customWidth="1"/>
    <col min="14328" max="14328" width="12.5703125" style="2" customWidth="1"/>
    <col min="14329" max="14329" width="5.140625" style="2" customWidth="1"/>
    <col min="14330" max="14330" width="9.140625" style="2"/>
    <col min="14331" max="14331" width="4.85546875" style="2" customWidth="1"/>
    <col min="14332" max="14332" width="30.5703125" style="2" customWidth="1"/>
    <col min="14333" max="14333" width="33.85546875" style="2" customWidth="1"/>
    <col min="14334" max="14334" width="5.140625" style="2" customWidth="1"/>
    <col min="14335" max="14336" width="17.5703125" style="2" customWidth="1"/>
    <col min="14337" max="14580" width="9.140625" style="2"/>
    <col min="14581" max="14581" width="3.5703125" style="2" customWidth="1"/>
    <col min="14582" max="14582" width="96.85546875" style="2" customWidth="1"/>
    <col min="14583" max="14583" width="30.85546875" style="2" customWidth="1"/>
    <col min="14584" max="14584" width="12.5703125" style="2" customWidth="1"/>
    <col min="14585" max="14585" width="5.140625" style="2" customWidth="1"/>
    <col min="14586" max="14586" width="9.140625" style="2"/>
    <col min="14587" max="14587" width="4.85546875" style="2" customWidth="1"/>
    <col min="14588" max="14588" width="30.5703125" style="2" customWidth="1"/>
    <col min="14589" max="14589" width="33.85546875" style="2" customWidth="1"/>
    <col min="14590" max="14590" width="5.140625" style="2" customWidth="1"/>
    <col min="14591" max="14592" width="17.5703125" style="2" customWidth="1"/>
    <col min="14593" max="14836" width="9.140625" style="2"/>
    <col min="14837" max="14837" width="3.5703125" style="2" customWidth="1"/>
    <col min="14838" max="14838" width="96.85546875" style="2" customWidth="1"/>
    <col min="14839" max="14839" width="30.85546875" style="2" customWidth="1"/>
    <col min="14840" max="14840" width="12.5703125" style="2" customWidth="1"/>
    <col min="14841" max="14841" width="5.140625" style="2" customWidth="1"/>
    <col min="14842" max="14842" width="9.140625" style="2"/>
    <col min="14843" max="14843" width="4.85546875" style="2" customWidth="1"/>
    <col min="14844" max="14844" width="30.5703125" style="2" customWidth="1"/>
    <col min="14845" max="14845" width="33.85546875" style="2" customWidth="1"/>
    <col min="14846" max="14846" width="5.140625" style="2" customWidth="1"/>
    <col min="14847" max="14848" width="17.5703125" style="2" customWidth="1"/>
    <col min="14849" max="15092" width="9.140625" style="2"/>
    <col min="15093" max="15093" width="3.5703125" style="2" customWidth="1"/>
    <col min="15094" max="15094" width="96.85546875" style="2" customWidth="1"/>
    <col min="15095" max="15095" width="30.85546875" style="2" customWidth="1"/>
    <col min="15096" max="15096" width="12.5703125" style="2" customWidth="1"/>
    <col min="15097" max="15097" width="5.140625" style="2" customWidth="1"/>
    <col min="15098" max="15098" width="9.140625" style="2"/>
    <col min="15099" max="15099" width="4.85546875" style="2" customWidth="1"/>
    <col min="15100" max="15100" width="30.5703125" style="2" customWidth="1"/>
    <col min="15101" max="15101" width="33.85546875" style="2" customWidth="1"/>
    <col min="15102" max="15102" width="5.140625" style="2" customWidth="1"/>
    <col min="15103" max="15104" width="17.5703125" style="2" customWidth="1"/>
    <col min="15105" max="15348" width="9.140625" style="2"/>
    <col min="15349" max="15349" width="3.5703125" style="2" customWidth="1"/>
    <col min="15350" max="15350" width="96.85546875" style="2" customWidth="1"/>
    <col min="15351" max="15351" width="30.85546875" style="2" customWidth="1"/>
    <col min="15352" max="15352" width="12.5703125" style="2" customWidth="1"/>
    <col min="15353" max="15353" width="5.140625" style="2" customWidth="1"/>
    <col min="15354" max="15354" width="9.140625" style="2"/>
    <col min="15355" max="15355" width="4.85546875" style="2" customWidth="1"/>
    <col min="15356" max="15356" width="30.5703125" style="2" customWidth="1"/>
    <col min="15357" max="15357" width="33.85546875" style="2" customWidth="1"/>
    <col min="15358" max="15358" width="5.140625" style="2" customWidth="1"/>
    <col min="15359" max="15360" width="17.5703125" style="2" customWidth="1"/>
    <col min="15361" max="15604" width="9.140625" style="2"/>
    <col min="15605" max="15605" width="3.5703125" style="2" customWidth="1"/>
    <col min="15606" max="15606" width="96.85546875" style="2" customWidth="1"/>
    <col min="15607" max="15607" width="30.85546875" style="2" customWidth="1"/>
    <col min="15608" max="15608" width="12.5703125" style="2" customWidth="1"/>
    <col min="15609" max="15609" width="5.140625" style="2" customWidth="1"/>
    <col min="15610" max="15610" width="9.140625" style="2"/>
    <col min="15611" max="15611" width="4.85546875" style="2" customWidth="1"/>
    <col min="15612" max="15612" width="30.5703125" style="2" customWidth="1"/>
    <col min="15613" max="15613" width="33.85546875" style="2" customWidth="1"/>
    <col min="15614" max="15614" width="5.140625" style="2" customWidth="1"/>
    <col min="15615" max="15616" width="17.5703125" style="2" customWidth="1"/>
    <col min="15617" max="15860" width="9.140625" style="2"/>
    <col min="15861" max="15861" width="3.5703125" style="2" customWidth="1"/>
    <col min="15862" max="15862" width="96.85546875" style="2" customWidth="1"/>
    <col min="15863" max="15863" width="30.85546875" style="2" customWidth="1"/>
    <col min="15864" max="15864" width="12.5703125" style="2" customWidth="1"/>
    <col min="15865" max="15865" width="5.140625" style="2" customWidth="1"/>
    <col min="15866" max="15866" width="9.140625" style="2"/>
    <col min="15867" max="15867" width="4.85546875" style="2" customWidth="1"/>
    <col min="15868" max="15868" width="30.5703125" style="2" customWidth="1"/>
    <col min="15869" max="15869" width="33.85546875" style="2" customWidth="1"/>
    <col min="15870" max="15870" width="5.140625" style="2" customWidth="1"/>
    <col min="15871" max="15872" width="17.5703125" style="2" customWidth="1"/>
    <col min="15873" max="16116" width="9.140625" style="2"/>
    <col min="16117" max="16117" width="3.5703125" style="2" customWidth="1"/>
    <col min="16118" max="16118" width="96.85546875" style="2" customWidth="1"/>
    <col min="16119" max="16119" width="30.85546875" style="2" customWidth="1"/>
    <col min="16120" max="16120" width="12.5703125" style="2" customWidth="1"/>
    <col min="16121" max="16121" width="5.140625" style="2" customWidth="1"/>
    <col min="16122" max="16122" width="9.140625" style="2"/>
    <col min="16123" max="16123" width="4.85546875" style="2" customWidth="1"/>
    <col min="16124" max="16124" width="30.5703125" style="2" customWidth="1"/>
    <col min="16125" max="16125" width="33.85546875" style="2" customWidth="1"/>
    <col min="16126" max="16126" width="5.140625" style="2" customWidth="1"/>
    <col min="16127" max="16128" width="17.5703125" style="2" customWidth="1"/>
    <col min="16129" max="16384" width="9.140625" style="2"/>
  </cols>
  <sheetData>
    <row r="1" spans="1:3" ht="48" customHeight="1" x14ac:dyDescent="0.2">
      <c r="A1" s="1"/>
      <c r="B1" s="143" t="s">
        <v>0</v>
      </c>
      <c r="C1" s="143"/>
    </row>
    <row r="2" spans="1:3" x14ac:dyDescent="0.2">
      <c r="A2" s="3"/>
      <c r="B2" s="4" t="s">
        <v>1</v>
      </c>
      <c r="C2" s="5">
        <v>46052</v>
      </c>
    </row>
    <row r="3" spans="1:3" x14ac:dyDescent="0.2">
      <c r="A3" s="3"/>
      <c r="B3" s="6" t="s">
        <v>2</v>
      </c>
    </row>
    <row r="4" spans="1:3" ht="25.5" x14ac:dyDescent="0.2">
      <c r="A4" s="8"/>
      <c r="B4" s="9" t="str">
        <f>[32]И1!D13</f>
        <v>Субъект Российской Федерации</v>
      </c>
      <c r="C4" s="10" t="str">
        <f>[32]И1!E13</f>
        <v>Новосибирская область</v>
      </c>
    </row>
    <row r="5" spans="1:3" ht="51.75" customHeight="1" x14ac:dyDescent="0.2">
      <c r="A5" s="8"/>
      <c r="B5" s="9" t="str">
        <f>[32]И1!D14</f>
        <v>Тип муниципального образования (выберите из списка)</v>
      </c>
      <c r="C5" s="10" t="str">
        <f>[33]И1!E14</f>
        <v>село Улыбино, Искитимский муниципальный район</v>
      </c>
    </row>
    <row r="6" spans="1:3" x14ac:dyDescent="0.2">
      <c r="A6" s="8"/>
      <c r="B6" s="9" t="str">
        <f>IF([32]И1!E15="","",[32]И1!D15)</f>
        <v/>
      </c>
      <c r="C6" s="10">
        <f>IF([32]И1!E15="","",[32]И1!E15)</f>
        <v>0</v>
      </c>
    </row>
    <row r="7" spans="1:3" x14ac:dyDescent="0.2">
      <c r="A7" s="8"/>
      <c r="B7" s="9" t="str">
        <f>[32]И1!D16</f>
        <v>Код ОКТМО</v>
      </c>
      <c r="C7" s="11" t="str">
        <f>[33]И1!E16</f>
        <v xml:space="preserve"> (50615431101)</v>
      </c>
    </row>
    <row r="8" spans="1:3" x14ac:dyDescent="0.2">
      <c r="A8" s="8"/>
      <c r="B8" s="12" t="str">
        <f>[32]И1!D17</f>
        <v>Система теплоснабжения</v>
      </c>
      <c r="C8" s="13">
        <f>[32]И1!E17</f>
        <v>0</v>
      </c>
    </row>
    <row r="9" spans="1:3" x14ac:dyDescent="0.2">
      <c r="A9" s="8"/>
      <c r="B9" s="9" t="str">
        <f>[32]И1!D8</f>
        <v>Период регулирования (i)-й</v>
      </c>
      <c r="C9" s="14">
        <f>[32]И1!E8</f>
        <v>2026</v>
      </c>
    </row>
    <row r="10" spans="1:3" x14ac:dyDescent="0.2">
      <c r="A10" s="8"/>
      <c r="B10" s="9" t="str">
        <f>[32]И1!D9</f>
        <v>Период регулирования (i-1)-й</v>
      </c>
      <c r="C10" s="14">
        <f>[32]И1!E9</f>
        <v>2025</v>
      </c>
    </row>
    <row r="11" spans="1:3" x14ac:dyDescent="0.2">
      <c r="A11" s="8"/>
      <c r="B11" s="9" t="str">
        <f>[32]И1!D10</f>
        <v>Период регулирования (i-2)-й</v>
      </c>
      <c r="C11" s="14">
        <f>[32]И1!E10</f>
        <v>2024</v>
      </c>
    </row>
    <row r="12" spans="1:3" x14ac:dyDescent="0.2">
      <c r="A12" s="8"/>
      <c r="B12" s="9" t="str">
        <f>[32]И1!D11</f>
        <v>Базовый год (б)</v>
      </c>
      <c r="C12" s="14">
        <f>[32]И1!E11</f>
        <v>2019</v>
      </c>
    </row>
    <row r="13" spans="1:3" x14ac:dyDescent="0.2">
      <c r="A13" s="8"/>
      <c r="B13" s="9" t="str">
        <f>[32]И1!D18</f>
        <v>Вид топлива, использование которого преобладает в системе теплоснабжения</v>
      </c>
      <c r="C13" s="15" t="str">
        <f>[32]С1.1!E13</f>
        <v>каменный уголь</v>
      </c>
    </row>
    <row r="14" spans="1:3" ht="31.7" customHeight="1" thickBot="1" x14ac:dyDescent="0.25">
      <c r="A14" s="142" t="s">
        <v>3</v>
      </c>
      <c r="B14" s="142"/>
      <c r="C14" s="142"/>
    </row>
    <row r="15" spans="1:3" x14ac:dyDescent="0.2">
      <c r="A15" s="16" t="s">
        <v>4</v>
      </c>
      <c r="B15" s="17" t="s">
        <v>5</v>
      </c>
      <c r="C15" s="18" t="s">
        <v>6</v>
      </c>
    </row>
    <row r="16" spans="1:3" x14ac:dyDescent="0.2">
      <c r="A16" s="19">
        <v>1</v>
      </c>
      <c r="B16" s="20">
        <v>2</v>
      </c>
      <c r="C16" s="21">
        <v>3</v>
      </c>
    </row>
    <row r="17" spans="1:3" x14ac:dyDescent="0.2">
      <c r="A17" s="22">
        <v>1</v>
      </c>
      <c r="B17" s="23" t="s">
        <v>7</v>
      </c>
      <c r="C17" s="24">
        <f>SUM(C18:C22)</f>
        <v>5769.244334746666</v>
      </c>
    </row>
    <row r="18" spans="1:3" ht="42.75" x14ac:dyDescent="0.2">
      <c r="A18" s="22" t="s">
        <v>8</v>
      </c>
      <c r="B18" s="25" t="s">
        <v>9</v>
      </c>
      <c r="C18" s="26">
        <f>[32]С1!F12</f>
        <v>1072.1735839339653</v>
      </c>
    </row>
    <row r="19" spans="1:3" ht="42.75" x14ac:dyDescent="0.2">
      <c r="A19" s="22" t="s">
        <v>10</v>
      </c>
      <c r="B19" s="25" t="s">
        <v>11</v>
      </c>
      <c r="C19" s="26">
        <f>[32]С2!F12</f>
        <v>3097.7824122172187</v>
      </c>
    </row>
    <row r="20" spans="1:3" ht="30" x14ac:dyDescent="0.2">
      <c r="A20" s="22" t="s">
        <v>12</v>
      </c>
      <c r="B20" s="25" t="s">
        <v>13</v>
      </c>
      <c r="C20" s="26">
        <f>[32]С3!F12</f>
        <v>940.47266370947932</v>
      </c>
    </row>
    <row r="21" spans="1:3" ht="42.75" x14ac:dyDescent="0.2">
      <c r="A21" s="22" t="s">
        <v>14</v>
      </c>
      <c r="B21" s="25" t="s">
        <v>15</v>
      </c>
      <c r="C21" s="26">
        <f>[32]С4!F12</f>
        <v>545.69323694979312</v>
      </c>
    </row>
    <row r="22" spans="1:3" ht="30" x14ac:dyDescent="0.2">
      <c r="A22" s="22" t="s">
        <v>16</v>
      </c>
      <c r="B22" s="25" t="s">
        <v>17</v>
      </c>
      <c r="C22" s="26">
        <f>[32]С5!F12</f>
        <v>113.12243793620914</v>
      </c>
    </row>
    <row r="23" spans="1:3" ht="43.5" thickBot="1" x14ac:dyDescent="0.25">
      <c r="A23" s="27" t="s">
        <v>18</v>
      </c>
      <c r="B23" s="140" t="s">
        <v>19</v>
      </c>
      <c r="C23" s="28" t="str">
        <f>[32]С6!F12</f>
        <v>-</v>
      </c>
    </row>
    <row r="24" spans="1:3" ht="13.5" thickBot="1" x14ac:dyDescent="0.25">
      <c r="A24" s="3"/>
    </row>
    <row r="25" spans="1:3" x14ac:dyDescent="0.2">
      <c r="A25" s="16" t="s">
        <v>4</v>
      </c>
      <c r="B25" s="29" t="s">
        <v>5</v>
      </c>
      <c r="C25" s="30" t="s">
        <v>6</v>
      </c>
    </row>
    <row r="26" spans="1:3" x14ac:dyDescent="0.2">
      <c r="A26" s="19">
        <v>1</v>
      </c>
      <c r="B26" s="31">
        <v>2</v>
      </c>
      <c r="C26" s="32">
        <v>3</v>
      </c>
    </row>
    <row r="27" spans="1:3" ht="39.75" customHeight="1" x14ac:dyDescent="0.2">
      <c r="A27" s="22">
        <v>1</v>
      </c>
      <c r="B27" s="144" t="s">
        <v>20</v>
      </c>
      <c r="C27" s="144"/>
    </row>
    <row r="28" spans="1:3" ht="128.25" customHeight="1" x14ac:dyDescent="0.2">
      <c r="A28" s="22" t="s">
        <v>8</v>
      </c>
      <c r="B28" s="33" t="s">
        <v>21</v>
      </c>
      <c r="C28" s="34">
        <f>[32]С1.1!E16</f>
        <v>5100</v>
      </c>
    </row>
    <row r="29" spans="1:3" ht="57.75" customHeight="1" x14ac:dyDescent="0.2">
      <c r="A29" s="22" t="s">
        <v>10</v>
      </c>
      <c r="B29" s="33" t="s">
        <v>22</v>
      </c>
      <c r="C29" s="34">
        <f>[32]С1.1!E27</f>
        <v>4611.09</v>
      </c>
    </row>
    <row r="30" spans="1:3" ht="261.75" customHeight="1" x14ac:dyDescent="0.2">
      <c r="A30" s="22" t="s">
        <v>12</v>
      </c>
      <c r="B30" s="33" t="s">
        <v>23</v>
      </c>
      <c r="C30" s="35">
        <f>[32]С1.1!E19</f>
        <v>-0.11899999999999999</v>
      </c>
    </row>
    <row r="31" spans="1:3" ht="17.25" x14ac:dyDescent="0.2">
      <c r="A31" s="22" t="s">
        <v>14</v>
      </c>
      <c r="B31" s="33" t="s">
        <v>24</v>
      </c>
      <c r="C31" s="35">
        <f>[32]С1.1!E20</f>
        <v>4.0000000000000001E-3</v>
      </c>
    </row>
    <row r="32" spans="1:3" ht="30" x14ac:dyDescent="0.2">
      <c r="A32" s="22" t="s">
        <v>16</v>
      </c>
      <c r="B32" s="36" t="s">
        <v>25</v>
      </c>
      <c r="C32" s="37">
        <f>[32]С1!F13</f>
        <v>176.4</v>
      </c>
    </row>
    <row r="33" spans="1:3" x14ac:dyDescent="0.2">
      <c r="A33" s="22" t="s">
        <v>18</v>
      </c>
      <c r="B33" s="36" t="s">
        <v>26</v>
      </c>
      <c r="C33" s="38">
        <f>[32]С1!F16</f>
        <v>7000</v>
      </c>
    </row>
    <row r="34" spans="1:3" ht="14.25" x14ac:dyDescent="0.2">
      <c r="A34" s="22" t="s">
        <v>27</v>
      </c>
      <c r="B34" s="39" t="s">
        <v>28</v>
      </c>
      <c r="C34" s="40">
        <f>[32]С1!F17</f>
        <v>0.72857142857142854</v>
      </c>
    </row>
    <row r="35" spans="1:3" ht="15.75" x14ac:dyDescent="0.2">
      <c r="A35" s="41" t="s">
        <v>29</v>
      </c>
      <c r="B35" s="42" t="s">
        <v>30</v>
      </c>
      <c r="C35" s="40">
        <f>[32]С1!F20</f>
        <v>21.588411179999994</v>
      </c>
    </row>
    <row r="36" spans="1:3" ht="15.75" x14ac:dyDescent="0.2">
      <c r="A36" s="41" t="s">
        <v>31</v>
      </c>
      <c r="B36" s="43" t="s">
        <v>32</v>
      </c>
      <c r="C36" s="40">
        <f>[32]С1!F21</f>
        <v>20.818139999999996</v>
      </c>
    </row>
    <row r="37" spans="1:3" ht="14.25" x14ac:dyDescent="0.2">
      <c r="A37" s="41" t="s">
        <v>33</v>
      </c>
      <c r="B37" s="44" t="s">
        <v>34</v>
      </c>
      <c r="C37" s="40">
        <f>[32]С1!F22</f>
        <v>1.0369999999999999</v>
      </c>
    </row>
    <row r="38" spans="1:3" ht="53.25" thickBot="1" x14ac:dyDescent="0.25">
      <c r="A38" s="27" t="s">
        <v>35</v>
      </c>
      <c r="B38" s="45" t="s">
        <v>36</v>
      </c>
      <c r="C38" s="46">
        <f>[32]С1!F23</f>
        <v>1.0469999999999999</v>
      </c>
    </row>
    <row r="39" spans="1:3" ht="13.5" thickBot="1" x14ac:dyDescent="0.25">
      <c r="A39" s="47"/>
      <c r="B39" s="48"/>
      <c r="C39" s="49"/>
    </row>
    <row r="40" spans="1:3" ht="30" customHeight="1" x14ac:dyDescent="0.2">
      <c r="A40" s="50" t="s">
        <v>37</v>
      </c>
      <c r="B40" s="145" t="s">
        <v>38</v>
      </c>
      <c r="C40" s="145"/>
    </row>
    <row r="41" spans="1:3" ht="25.5" x14ac:dyDescent="0.2">
      <c r="A41" s="22" t="s">
        <v>39</v>
      </c>
      <c r="B41" s="36" t="s">
        <v>40</v>
      </c>
      <c r="C41" s="51" t="str">
        <f>[32]С2.1!E12</f>
        <v>V</v>
      </c>
    </row>
    <row r="42" spans="1:3" ht="233.25" customHeight="1" x14ac:dyDescent="0.2">
      <c r="A42" s="22" t="s">
        <v>41</v>
      </c>
      <c r="B42" s="33" t="s">
        <v>42</v>
      </c>
      <c r="C42" s="51" t="str">
        <f>[32]С2.1!E13</f>
        <v>6 и менее баллов</v>
      </c>
    </row>
    <row r="43" spans="1:3" ht="144.75" customHeight="1" x14ac:dyDescent="0.2">
      <c r="A43" s="22" t="s">
        <v>43</v>
      </c>
      <c r="B43" s="33" t="s">
        <v>44</v>
      </c>
      <c r="C43" s="51" t="str">
        <f>[32]С2.1!E14</f>
        <v>от 200 до 500</v>
      </c>
    </row>
    <row r="44" spans="1:3" ht="25.5" x14ac:dyDescent="0.2">
      <c r="A44" s="22" t="s">
        <v>45</v>
      </c>
      <c r="B44" s="33" t="s">
        <v>46</v>
      </c>
      <c r="C44" s="52" t="str">
        <f>[32]С2.1!E15</f>
        <v>нет</v>
      </c>
    </row>
    <row r="45" spans="1:3" ht="30" x14ac:dyDescent="0.2">
      <c r="A45" s="22" t="s">
        <v>47</v>
      </c>
      <c r="B45" s="33" t="s">
        <v>48</v>
      </c>
      <c r="C45" s="34">
        <f>[32]С2!F18</f>
        <v>40220.845230503684</v>
      </c>
    </row>
    <row r="46" spans="1:3" ht="30" x14ac:dyDescent="0.2">
      <c r="A46" s="22" t="s">
        <v>49</v>
      </c>
      <c r="B46" s="53" t="s">
        <v>50</v>
      </c>
      <c r="C46" s="34">
        <f>IF([32]С2!F19&gt;0,[32]С2!F19,[32]С2!F20)</f>
        <v>23441.524932855718</v>
      </c>
    </row>
    <row r="47" spans="1:3" ht="46.5" customHeight="1" x14ac:dyDescent="0.2">
      <c r="A47" s="22" t="s">
        <v>51</v>
      </c>
      <c r="B47" s="54" t="s">
        <v>52</v>
      </c>
      <c r="C47" s="34">
        <f>[32]С2.1!E19</f>
        <v>-38</v>
      </c>
    </row>
    <row r="48" spans="1:3" ht="25.5" x14ac:dyDescent="0.2">
      <c r="A48" s="22" t="s">
        <v>53</v>
      </c>
      <c r="B48" s="54" t="s">
        <v>54</v>
      </c>
      <c r="C48" s="34" t="str">
        <f>[32]С2.1!E22</f>
        <v>нет</v>
      </c>
    </row>
    <row r="49" spans="1:3" ht="38.25" x14ac:dyDescent="0.2">
      <c r="A49" s="22" t="s">
        <v>55</v>
      </c>
      <c r="B49" s="55" t="s">
        <v>56</v>
      </c>
      <c r="C49" s="34">
        <f>[32]С2.2!E10</f>
        <v>1287</v>
      </c>
    </row>
    <row r="50" spans="1:3" ht="25.5" x14ac:dyDescent="0.2">
      <c r="A50" s="22" t="s">
        <v>57</v>
      </c>
      <c r="B50" s="56" t="s">
        <v>58</v>
      </c>
      <c r="C50" s="34">
        <f>[32]С2.2!E12</f>
        <v>5.97</v>
      </c>
    </row>
    <row r="51" spans="1:3" ht="52.5" x14ac:dyDescent="0.2">
      <c r="A51" s="22" t="s">
        <v>59</v>
      </c>
      <c r="B51" s="57" t="s">
        <v>60</v>
      </c>
      <c r="C51" s="34">
        <f>[32]С2.2!E13</f>
        <v>1</v>
      </c>
    </row>
    <row r="52" spans="1:3" ht="27.75" x14ac:dyDescent="0.2">
      <c r="A52" s="22" t="s">
        <v>61</v>
      </c>
      <c r="B52" s="56" t="s">
        <v>62</v>
      </c>
      <c r="C52" s="34">
        <f>[32]С2.2!E14</f>
        <v>12104</v>
      </c>
    </row>
    <row r="53" spans="1:3" ht="79.5" customHeight="1" x14ac:dyDescent="0.2">
      <c r="A53" s="22" t="s">
        <v>63</v>
      </c>
      <c r="B53" s="57" t="s">
        <v>64</v>
      </c>
      <c r="C53" s="35">
        <f>[32]С2.2!E15</f>
        <v>4.8000000000000001E-2</v>
      </c>
    </row>
    <row r="54" spans="1:3" x14ac:dyDescent="0.2">
      <c r="A54" s="22" t="s">
        <v>65</v>
      </c>
      <c r="B54" s="57" t="s">
        <v>66</v>
      </c>
      <c r="C54" s="34">
        <f>[32]С2.2!E16</f>
        <v>1</v>
      </c>
    </row>
    <row r="55" spans="1:3" ht="15.75" x14ac:dyDescent="0.2">
      <c r="A55" s="22" t="s">
        <v>67</v>
      </c>
      <c r="B55" s="58" t="s">
        <v>68</v>
      </c>
      <c r="C55" s="34">
        <f>[32]С2!F21</f>
        <v>1</v>
      </c>
    </row>
    <row r="56" spans="1:3" ht="30" x14ac:dyDescent="0.2">
      <c r="A56" s="59" t="s">
        <v>69</v>
      </c>
      <c r="B56" s="33" t="s">
        <v>70</v>
      </c>
      <c r="C56" s="34">
        <f>[32]С2!F13</f>
        <v>210571.60987470482</v>
      </c>
    </row>
    <row r="57" spans="1:3" ht="30" x14ac:dyDescent="0.2">
      <c r="A57" s="59" t="s">
        <v>71</v>
      </c>
      <c r="B57" s="58" t="s">
        <v>72</v>
      </c>
      <c r="C57" s="34">
        <f>[32]С2!F14</f>
        <v>113455</v>
      </c>
    </row>
    <row r="58" spans="1:3" ht="15.75" x14ac:dyDescent="0.2">
      <c r="A58" s="59" t="s">
        <v>73</v>
      </c>
      <c r="B58" s="60" t="s">
        <v>74</v>
      </c>
      <c r="C58" s="40">
        <f>[32]С2!F15</f>
        <v>1.071</v>
      </c>
    </row>
    <row r="59" spans="1:3" ht="15.75" x14ac:dyDescent="0.2">
      <c r="A59" s="59" t="s">
        <v>75</v>
      </c>
      <c r="B59" s="60" t="s">
        <v>76</v>
      </c>
      <c r="C59" s="40">
        <f>[32]С2!F16</f>
        <v>1</v>
      </c>
    </row>
    <row r="60" spans="1:3" ht="17.25" x14ac:dyDescent="0.2">
      <c r="A60" s="59" t="s">
        <v>77</v>
      </c>
      <c r="B60" s="58" t="s">
        <v>78</v>
      </c>
      <c r="C60" s="34">
        <f>[32]С2!F17</f>
        <v>1.01</v>
      </c>
    </row>
    <row r="61" spans="1:3" s="63" customFormat="1" ht="14.25" x14ac:dyDescent="0.2">
      <c r="A61" s="59" t="s">
        <v>79</v>
      </c>
      <c r="B61" s="61" t="s">
        <v>80</v>
      </c>
      <c r="C61" s="62">
        <f>[32]С2!F33</f>
        <v>10</v>
      </c>
    </row>
    <row r="62" spans="1:3" ht="30" x14ac:dyDescent="0.2">
      <c r="A62" s="59" t="s">
        <v>81</v>
      </c>
      <c r="B62" s="64" t="s">
        <v>82</v>
      </c>
      <c r="C62" s="34">
        <f>[32]С2!F26</f>
        <v>3185.880383940208</v>
      </c>
    </row>
    <row r="63" spans="1:3" ht="168" customHeight="1" x14ac:dyDescent="0.2">
      <c r="A63" s="59" t="s">
        <v>83</v>
      </c>
      <c r="B63" s="53" t="s">
        <v>84</v>
      </c>
      <c r="C63" s="34">
        <f>[32]С2!F27</f>
        <v>0.44209422600000003</v>
      </c>
    </row>
    <row r="64" spans="1:3" ht="17.25" x14ac:dyDescent="0.2">
      <c r="A64" s="59" t="s">
        <v>85</v>
      </c>
      <c r="B64" s="58" t="s">
        <v>86</v>
      </c>
      <c r="C64" s="62">
        <f>[32]С2!F28</f>
        <v>4200</v>
      </c>
    </row>
    <row r="65" spans="1:3" ht="42.75" x14ac:dyDescent="0.2">
      <c r="A65" s="59" t="s">
        <v>87</v>
      </c>
      <c r="B65" s="33" t="s">
        <v>88</v>
      </c>
      <c r="C65" s="34">
        <f>[32]С2!F22</f>
        <v>4298.6978080550834</v>
      </c>
    </row>
    <row r="66" spans="1:3" ht="30" x14ac:dyDescent="0.2">
      <c r="A66" s="59" t="s">
        <v>89</v>
      </c>
      <c r="B66" s="60" t="s">
        <v>90</v>
      </c>
      <c r="C66" s="34">
        <f>[32]С2!F23</f>
        <v>1990</v>
      </c>
    </row>
    <row r="67" spans="1:3" ht="30" x14ac:dyDescent="0.2">
      <c r="A67" s="59" t="s">
        <v>91</v>
      </c>
      <c r="B67" s="53" t="s">
        <v>92</v>
      </c>
      <c r="C67" s="34">
        <f>[32]С2.1!E27</f>
        <v>246.24401</v>
      </c>
    </row>
    <row r="68" spans="1:3" ht="73.5" customHeight="1" x14ac:dyDescent="0.2">
      <c r="A68" s="59" t="s">
        <v>93</v>
      </c>
      <c r="B68" s="65" t="s">
        <v>94</v>
      </c>
      <c r="C68" s="52" t="str">
        <f>[32]С2.3!E21</f>
        <v>Муниципальное унитарное предприятие города Куйбышева Куйбышевского района Новосибирской области "Горводоканал"</v>
      </c>
    </row>
    <row r="69" spans="1:3" ht="25.5" x14ac:dyDescent="0.2">
      <c r="A69" s="59" t="s">
        <v>95</v>
      </c>
      <c r="B69" s="66" t="s">
        <v>96</v>
      </c>
      <c r="C69" s="67">
        <f>[32]С2.3!E11</f>
        <v>9.89</v>
      </c>
    </row>
    <row r="70" spans="1:3" ht="25.5" x14ac:dyDescent="0.2">
      <c r="A70" s="59" t="s">
        <v>97</v>
      </c>
      <c r="B70" s="66" t="s">
        <v>98</v>
      </c>
      <c r="C70" s="62">
        <f>[32]С2.3!E13</f>
        <v>300</v>
      </c>
    </row>
    <row r="71" spans="1:3" ht="192.75" customHeight="1" x14ac:dyDescent="0.2">
      <c r="A71" s="59" t="s">
        <v>99</v>
      </c>
      <c r="B71" s="65" t="s">
        <v>100</v>
      </c>
      <c r="C71" s="68">
        <f>IF([32]С2.3!E22&gt;0,[32]С2.3!E22,[32]С2.3!E14)</f>
        <v>8809</v>
      </c>
    </row>
    <row r="72" spans="1:3" ht="192.75" customHeight="1" x14ac:dyDescent="0.2">
      <c r="A72" s="59" t="s">
        <v>101</v>
      </c>
      <c r="B72" s="65" t="s">
        <v>102</v>
      </c>
      <c r="C72" s="68">
        <f>IF([32]С2.3!E23&gt;0,[32]С2.3!E23,[32]С2.3!E15)</f>
        <v>530.41</v>
      </c>
    </row>
    <row r="73" spans="1:3" ht="30" x14ac:dyDescent="0.2">
      <c r="A73" s="59" t="s">
        <v>103</v>
      </c>
      <c r="B73" s="53" t="s">
        <v>104</v>
      </c>
      <c r="C73" s="34">
        <f>[32]С2.1!E28</f>
        <v>269.12432000000001</v>
      </c>
    </row>
    <row r="74" spans="1:3" ht="87" customHeight="1" x14ac:dyDescent="0.2">
      <c r="A74" s="59" t="s">
        <v>105</v>
      </c>
      <c r="B74" s="65" t="s">
        <v>106</v>
      </c>
      <c r="C74" s="52" t="str">
        <f>[32]С2.3!E25</f>
        <v>Муниципальное унитарное предприятие города Куйбышева Куйбышевского района Новосибирской области "Геострой"</v>
      </c>
    </row>
    <row r="75" spans="1:3" ht="25.5" x14ac:dyDescent="0.2">
      <c r="A75" s="59" t="s">
        <v>107</v>
      </c>
      <c r="B75" s="66" t="s">
        <v>108</v>
      </c>
      <c r="C75" s="67">
        <f>[32]С2.3!E12</f>
        <v>0.56000000000000005</v>
      </c>
    </row>
    <row r="76" spans="1:3" ht="25.5" x14ac:dyDescent="0.2">
      <c r="A76" s="59" t="s">
        <v>109</v>
      </c>
      <c r="B76" s="66" t="s">
        <v>98</v>
      </c>
      <c r="C76" s="62">
        <f>[32]С2.3!E13</f>
        <v>300</v>
      </c>
    </row>
    <row r="77" spans="1:3" ht="183" customHeight="1" x14ac:dyDescent="0.2">
      <c r="A77" s="59" t="s">
        <v>110</v>
      </c>
      <c r="B77" s="69" t="s">
        <v>111</v>
      </c>
      <c r="C77" s="68">
        <f>IF([32]С2.3!E26&gt;0,[32]С2.3!E26,[32]С2.3!E16)</f>
        <v>21397</v>
      </c>
    </row>
    <row r="78" spans="1:3" ht="186.75" customHeight="1" x14ac:dyDescent="0.2">
      <c r="A78" s="59" t="s">
        <v>112</v>
      </c>
      <c r="B78" s="69" t="s">
        <v>113</v>
      </c>
      <c r="C78" s="68">
        <f>IF([32]С2.3!E27&gt;0,[32]С2.3!E27,[32]С2.3!E17)</f>
        <v>857.14</v>
      </c>
    </row>
    <row r="79" spans="1:3" ht="17.25" x14ac:dyDescent="0.2">
      <c r="A79" s="59" t="s">
        <v>114</v>
      </c>
      <c r="B79" s="33" t="s">
        <v>115</v>
      </c>
      <c r="C79" s="35">
        <f>[32]С2!F29</f>
        <v>0.21369165990259753</v>
      </c>
    </row>
    <row r="80" spans="1:3" ht="30" x14ac:dyDescent="0.2">
      <c r="A80" s="59" t="s">
        <v>116</v>
      </c>
      <c r="B80" s="53" t="s">
        <v>117</v>
      </c>
      <c r="C80" s="70">
        <f>[32]С2!F30</f>
        <v>0.20047619047619047</v>
      </c>
    </row>
    <row r="81" spans="1:3" ht="17.25" x14ac:dyDescent="0.2">
      <c r="A81" s="59" t="s">
        <v>118</v>
      </c>
      <c r="B81" s="71" t="s">
        <v>119</v>
      </c>
      <c r="C81" s="35">
        <f>[32]С2!F31</f>
        <v>0.13880000000000001</v>
      </c>
    </row>
    <row r="82" spans="1:3" s="63" customFormat="1" ht="18" thickBot="1" x14ac:dyDescent="0.25">
      <c r="A82" s="72" t="s">
        <v>120</v>
      </c>
      <c r="B82" s="73" t="s">
        <v>121</v>
      </c>
      <c r="C82" s="74">
        <f>[32]С2!F32</f>
        <v>0.12640000000000001</v>
      </c>
    </row>
    <row r="83" spans="1:3" ht="13.5" thickBot="1" x14ac:dyDescent="0.25">
      <c r="A83" s="47"/>
      <c r="B83" s="75"/>
      <c r="C83" s="15"/>
    </row>
    <row r="84" spans="1:3" s="63" customFormat="1" ht="30" customHeight="1" x14ac:dyDescent="0.2">
      <c r="A84" s="76" t="s">
        <v>122</v>
      </c>
      <c r="B84" s="145" t="s">
        <v>123</v>
      </c>
      <c r="C84" s="145"/>
    </row>
    <row r="85" spans="1:3" s="63" customFormat="1" ht="30" x14ac:dyDescent="0.2">
      <c r="A85" s="77" t="s">
        <v>124</v>
      </c>
      <c r="B85" s="33" t="s">
        <v>125</v>
      </c>
      <c r="C85" s="34">
        <f>[32]С3!F14</f>
        <v>15827.997028730506</v>
      </c>
    </row>
    <row r="86" spans="1:3" s="63" customFormat="1" ht="42.75" x14ac:dyDescent="0.2">
      <c r="A86" s="77" t="s">
        <v>126</v>
      </c>
      <c r="B86" s="53" t="s">
        <v>127</v>
      </c>
      <c r="C86" s="78">
        <f>[32]С3!F15</f>
        <v>0.25</v>
      </c>
    </row>
    <row r="87" spans="1:3" s="63" customFormat="1" ht="14.25" x14ac:dyDescent="0.2">
      <c r="A87" s="77" t="s">
        <v>128</v>
      </c>
      <c r="B87" s="79" t="s">
        <v>129</v>
      </c>
      <c r="C87" s="62">
        <f>[32]С3!F18</f>
        <v>15</v>
      </c>
    </row>
    <row r="88" spans="1:3" s="63" customFormat="1" ht="17.25" x14ac:dyDescent="0.2">
      <c r="A88" s="77" t="s">
        <v>130</v>
      </c>
      <c r="B88" s="33" t="s">
        <v>131</v>
      </c>
      <c r="C88" s="34">
        <f>[32]С3!F19</f>
        <v>3741.3369093945325</v>
      </c>
    </row>
    <row r="89" spans="1:3" s="63" customFormat="1" ht="55.5" x14ac:dyDescent="0.2">
      <c r="A89" s="77" t="s">
        <v>132</v>
      </c>
      <c r="B89" s="53" t="s">
        <v>133</v>
      </c>
      <c r="C89" s="80">
        <f>[32]С3!F20</f>
        <v>2.1999999999999999E-2</v>
      </c>
    </row>
    <row r="90" spans="1:3" s="63" customFormat="1" ht="14.25" x14ac:dyDescent="0.2">
      <c r="A90" s="77" t="s">
        <v>134</v>
      </c>
      <c r="B90" s="58" t="s">
        <v>80</v>
      </c>
      <c r="C90" s="62">
        <f>[32]С3!F21</f>
        <v>10</v>
      </c>
    </row>
    <row r="91" spans="1:3" s="63" customFormat="1" ht="17.25" x14ac:dyDescent="0.2">
      <c r="A91" s="77" t="s">
        <v>135</v>
      </c>
      <c r="B91" s="33" t="s">
        <v>136</v>
      </c>
      <c r="C91" s="34">
        <f>[32]С3!F22</f>
        <v>9.5576411518206239</v>
      </c>
    </row>
    <row r="92" spans="1:3" s="63" customFormat="1" ht="57" customHeight="1" x14ac:dyDescent="0.2">
      <c r="A92" s="77" t="s">
        <v>137</v>
      </c>
      <c r="B92" s="53" t="s">
        <v>138</v>
      </c>
      <c r="C92" s="80">
        <f>[32]С3!F23</f>
        <v>3.0000000000000001E-3</v>
      </c>
    </row>
    <row r="93" spans="1:3" s="63" customFormat="1" ht="27.75" thickBot="1" x14ac:dyDescent="0.25">
      <c r="A93" s="81" t="s">
        <v>139</v>
      </c>
      <c r="B93" s="82" t="s">
        <v>140</v>
      </c>
      <c r="C93" s="83">
        <f>[32]С3!F24</f>
        <v>3185.880383940208</v>
      </c>
    </row>
    <row r="94" spans="1:3" ht="13.5" thickBot="1" x14ac:dyDescent="0.25">
      <c r="A94" s="47"/>
      <c r="B94" s="75"/>
      <c r="C94" s="15"/>
    </row>
    <row r="95" spans="1:3" ht="30" customHeight="1" x14ac:dyDescent="0.2">
      <c r="A95" s="84" t="s">
        <v>141</v>
      </c>
      <c r="B95" s="145" t="s">
        <v>142</v>
      </c>
      <c r="C95" s="145"/>
    </row>
    <row r="96" spans="1:3" ht="30" x14ac:dyDescent="0.2">
      <c r="A96" s="59" t="s">
        <v>143</v>
      </c>
      <c r="B96" s="33" t="s">
        <v>144</v>
      </c>
      <c r="C96" s="34">
        <f>[32]С4!F16</f>
        <v>1652.5</v>
      </c>
    </row>
    <row r="97" spans="1:3" ht="30" x14ac:dyDescent="0.2">
      <c r="A97" s="59" t="s">
        <v>145</v>
      </c>
      <c r="B97" s="58" t="s">
        <v>146</v>
      </c>
      <c r="C97" s="34">
        <f>[32]С4!F17</f>
        <v>73547</v>
      </c>
    </row>
    <row r="98" spans="1:3" ht="17.25" x14ac:dyDescent="0.2">
      <c r="A98" s="59" t="s">
        <v>147</v>
      </c>
      <c r="B98" s="58" t="s">
        <v>148</v>
      </c>
      <c r="C98" s="40">
        <f>[32]С4!F18</f>
        <v>0.02</v>
      </c>
    </row>
    <row r="99" spans="1:3" ht="30" x14ac:dyDescent="0.2">
      <c r="A99" s="59" t="s">
        <v>149</v>
      </c>
      <c r="B99" s="58" t="s">
        <v>150</v>
      </c>
      <c r="C99" s="34">
        <f>[32]С4!F19</f>
        <v>12104</v>
      </c>
    </row>
    <row r="100" spans="1:3" ht="31.5" x14ac:dyDescent="0.2">
      <c r="A100" s="59" t="s">
        <v>151</v>
      </c>
      <c r="B100" s="58" t="s">
        <v>152</v>
      </c>
      <c r="C100" s="40">
        <f>[32]С4!F20</f>
        <v>1.4999999999999999E-2</v>
      </c>
    </row>
    <row r="101" spans="1:3" ht="30" x14ac:dyDescent="0.2">
      <c r="A101" s="59" t="s">
        <v>153</v>
      </c>
      <c r="B101" s="33" t="s">
        <v>154</v>
      </c>
      <c r="C101" s="34">
        <f>[32]С4!F21</f>
        <v>1933.1949342509995</v>
      </c>
    </row>
    <row r="102" spans="1:3" ht="35.25" customHeight="1" x14ac:dyDescent="0.2">
      <c r="A102" s="59" t="s">
        <v>155</v>
      </c>
      <c r="B102" s="53" t="s">
        <v>156</v>
      </c>
      <c r="C102" s="85" t="str">
        <f>IF([32]С4.2!F8="да",[32]С4.2!D21,[32]С4.2!D15)</f>
        <v>АО "Новосибирскэнергосбыт"</v>
      </c>
    </row>
    <row r="103" spans="1:3" ht="68.25" x14ac:dyDescent="0.2">
      <c r="A103" s="59" t="s">
        <v>157</v>
      </c>
      <c r="B103" s="53" t="s">
        <v>158</v>
      </c>
      <c r="C103" s="34">
        <f>[32]С4!F22</f>
        <v>3.6112641666666665</v>
      </c>
    </row>
    <row r="104" spans="1:3" ht="30" x14ac:dyDescent="0.2">
      <c r="A104" s="59" t="s">
        <v>159</v>
      </c>
      <c r="B104" s="58" t="s">
        <v>160</v>
      </c>
      <c r="C104" s="34">
        <f>[32]С4!F23</f>
        <v>180</v>
      </c>
    </row>
    <row r="105" spans="1:3" ht="14.25" x14ac:dyDescent="0.2">
      <c r="A105" s="59" t="s">
        <v>161</v>
      </c>
      <c r="B105" s="53" t="s">
        <v>162</v>
      </c>
      <c r="C105" s="34">
        <f>[32]С4!F24</f>
        <v>8497.1999999999989</v>
      </c>
    </row>
    <row r="106" spans="1:3" ht="14.25" x14ac:dyDescent="0.2">
      <c r="A106" s="59" t="s">
        <v>163</v>
      </c>
      <c r="B106" s="58" t="s">
        <v>164</v>
      </c>
      <c r="C106" s="40">
        <f>[32]С4!F25</f>
        <v>0.35</v>
      </c>
    </row>
    <row r="107" spans="1:3" ht="17.25" x14ac:dyDescent="0.2">
      <c r="A107" s="59" t="s">
        <v>165</v>
      </c>
      <c r="B107" s="33" t="s">
        <v>166</v>
      </c>
      <c r="C107" s="34">
        <f>[32]С4!F26</f>
        <v>99.678690000000003</v>
      </c>
    </row>
    <row r="108" spans="1:3" ht="75.75" customHeight="1" x14ac:dyDescent="0.2">
      <c r="A108" s="59" t="s">
        <v>167</v>
      </c>
      <c r="B108" s="53" t="s">
        <v>94</v>
      </c>
      <c r="C108" s="85">
        <f>[32]С4.3!E16</f>
        <v>0</v>
      </c>
    </row>
    <row r="109" spans="1:3" ht="25.5" x14ac:dyDescent="0.2">
      <c r="A109" s="59" t="s">
        <v>168</v>
      </c>
      <c r="B109" s="53" t="s">
        <v>169</v>
      </c>
      <c r="C109" s="34">
        <f>[32]С4.3!E17</f>
        <v>26.63</v>
      </c>
    </row>
    <row r="110" spans="1:3" ht="79.5" customHeight="1" x14ac:dyDescent="0.2">
      <c r="A110" s="59" t="s">
        <v>170</v>
      </c>
      <c r="B110" s="53" t="s">
        <v>106</v>
      </c>
      <c r="C110" s="85">
        <f>[32]С4.3!E18</f>
        <v>0</v>
      </c>
    </row>
    <row r="111" spans="1:3" x14ac:dyDescent="0.2">
      <c r="A111" s="59" t="s">
        <v>171</v>
      </c>
      <c r="B111" s="53" t="s">
        <v>172</v>
      </c>
      <c r="C111" s="34">
        <f>[32]С4.3!E19</f>
        <v>30.82</v>
      </c>
    </row>
    <row r="112" spans="1:3" x14ac:dyDescent="0.2">
      <c r="A112" s="59" t="s">
        <v>173</v>
      </c>
      <c r="B112" s="58" t="s">
        <v>174</v>
      </c>
      <c r="C112" s="34">
        <f>[32]С4.3!E11</f>
        <v>1871</v>
      </c>
    </row>
    <row r="113" spans="1:3" x14ac:dyDescent="0.2">
      <c r="A113" s="59" t="s">
        <v>175</v>
      </c>
      <c r="B113" s="58" t="s">
        <v>176</v>
      </c>
      <c r="C113" s="52">
        <f>[32]С4.3!E12</f>
        <v>1636</v>
      </c>
    </row>
    <row r="114" spans="1:3" x14ac:dyDescent="0.2">
      <c r="A114" s="59" t="s">
        <v>177</v>
      </c>
      <c r="B114" s="58" t="s">
        <v>178</v>
      </c>
      <c r="C114" s="52">
        <f>[32]С4.3!E13</f>
        <v>204</v>
      </c>
    </row>
    <row r="115" spans="1:3" ht="30" x14ac:dyDescent="0.2">
      <c r="A115" s="59" t="s">
        <v>179</v>
      </c>
      <c r="B115" s="33" t="s">
        <v>180</v>
      </c>
      <c r="C115" s="34">
        <f>[32]С4!F27</f>
        <v>1291.2863994686898</v>
      </c>
    </row>
    <row r="116" spans="1:3" ht="25.5" x14ac:dyDescent="0.2">
      <c r="A116" s="59" t="s">
        <v>181</v>
      </c>
      <c r="B116" s="53" t="s">
        <v>182</v>
      </c>
      <c r="C116" s="34">
        <f>[32]С4!F28</f>
        <v>991.77142816335618</v>
      </c>
    </row>
    <row r="117" spans="1:3" ht="42.75" x14ac:dyDescent="0.2">
      <c r="A117" s="59" t="s">
        <v>183</v>
      </c>
      <c r="B117" s="53" t="s">
        <v>184</v>
      </c>
      <c r="C117" s="34">
        <f>[32]С4!F29</f>
        <v>299.51497130533357</v>
      </c>
    </row>
    <row r="118" spans="1:3" ht="30" x14ac:dyDescent="0.2">
      <c r="A118" s="59" t="s">
        <v>185</v>
      </c>
      <c r="B118" s="39" t="s">
        <v>186</v>
      </c>
      <c r="C118" s="34">
        <f>[32]С4!F30</f>
        <v>2821.3911011276814</v>
      </c>
    </row>
    <row r="119" spans="1:3" ht="42.75" x14ac:dyDescent="0.2">
      <c r="A119" s="59" t="s">
        <v>187</v>
      </c>
      <c r="B119" s="86" t="s">
        <v>188</v>
      </c>
      <c r="C119" s="34">
        <f>[32]С4!F33</f>
        <v>1581.3484522247327</v>
      </c>
    </row>
    <row r="120" spans="1:3" ht="30" x14ac:dyDescent="0.2">
      <c r="A120" s="59" t="s">
        <v>189</v>
      </c>
      <c r="B120" s="87" t="s">
        <v>190</v>
      </c>
      <c r="C120" s="34">
        <f>[32]С4!F35</f>
        <v>18.902267999999999</v>
      </c>
    </row>
    <row r="121" spans="1:3" ht="14.25" x14ac:dyDescent="0.2">
      <c r="A121" s="59" t="s">
        <v>191</v>
      </c>
      <c r="B121" s="56" t="s">
        <v>192</v>
      </c>
      <c r="C121" s="34">
        <f>[32]С4!F36</f>
        <v>14319.9</v>
      </c>
    </row>
    <row r="122" spans="1:3" ht="43.5" customHeight="1" thickBot="1" x14ac:dyDescent="0.25">
      <c r="A122" s="72" t="s">
        <v>193</v>
      </c>
      <c r="B122" s="88" t="s">
        <v>194</v>
      </c>
      <c r="C122" s="83">
        <f>[32]С4!F37</f>
        <v>1.32</v>
      </c>
    </row>
    <row r="123" spans="1:3" s="89" customFormat="1" ht="13.5" thickBot="1" x14ac:dyDescent="0.25">
      <c r="A123" s="47"/>
      <c r="B123" s="75"/>
      <c r="C123" s="15"/>
    </row>
    <row r="124" spans="1:3" s="63" customFormat="1" ht="30" customHeight="1" x14ac:dyDescent="0.2">
      <c r="A124" s="76" t="s">
        <v>195</v>
      </c>
      <c r="B124" s="145" t="s">
        <v>196</v>
      </c>
      <c r="C124" s="145"/>
    </row>
    <row r="125" spans="1:3" ht="16.5" thickBot="1" x14ac:dyDescent="0.25">
      <c r="A125" s="27" t="s">
        <v>197</v>
      </c>
      <c r="B125" s="90" t="s">
        <v>198</v>
      </c>
      <c r="C125" s="83">
        <f>[32]С5!F17</f>
        <v>0.02</v>
      </c>
    </row>
    <row r="126" spans="1:3" s="89" customFormat="1" ht="13.5" thickBot="1" x14ac:dyDescent="0.25">
      <c r="A126" s="47"/>
      <c r="B126" s="75"/>
      <c r="C126" s="15"/>
    </row>
    <row r="127" spans="1:3" ht="42.75" customHeight="1" x14ac:dyDescent="0.2">
      <c r="A127" s="84" t="s">
        <v>199</v>
      </c>
      <c r="B127" s="146" t="s">
        <v>200</v>
      </c>
      <c r="C127" s="146"/>
    </row>
    <row r="128" spans="1:3" ht="68.25" x14ac:dyDescent="0.2">
      <c r="A128" s="59" t="s">
        <v>201</v>
      </c>
      <c r="B128" s="91" t="s">
        <v>202</v>
      </c>
      <c r="C128" s="34" t="s">
        <v>203</v>
      </c>
    </row>
    <row r="129" spans="1:3" ht="42.75" hidden="1" x14ac:dyDescent="0.2">
      <c r="A129" s="59" t="s">
        <v>204</v>
      </c>
      <c r="B129" s="86" t="s">
        <v>205</v>
      </c>
      <c r="C129" s="92"/>
    </row>
    <row r="130" spans="1:3" ht="69" thickBot="1" x14ac:dyDescent="0.25">
      <c r="A130" s="72" t="s">
        <v>206</v>
      </c>
      <c r="B130" s="93" t="s">
        <v>207</v>
      </c>
      <c r="C130" s="94" t="s">
        <v>203</v>
      </c>
    </row>
    <row r="131" spans="1:3" ht="62.25" hidden="1" customHeight="1" x14ac:dyDescent="0.2">
      <c r="A131" s="95" t="s">
        <v>208</v>
      </c>
      <c r="B131" s="96" t="s">
        <v>209</v>
      </c>
      <c r="C131" s="97"/>
    </row>
    <row r="132" spans="1:3" ht="68.25" hidden="1" x14ac:dyDescent="0.2">
      <c r="A132" s="59" t="s">
        <v>210</v>
      </c>
      <c r="B132" s="86" t="s">
        <v>211</v>
      </c>
      <c r="C132" s="35"/>
    </row>
    <row r="133" spans="1:3" ht="69" hidden="1" thickBot="1" x14ac:dyDescent="0.25">
      <c r="A133" s="72" t="s">
        <v>212</v>
      </c>
      <c r="B133" s="98" t="s">
        <v>213</v>
      </c>
      <c r="C133" s="74"/>
    </row>
    <row r="134" spans="1:3" s="89" customFormat="1" ht="13.5" thickBot="1" x14ac:dyDescent="0.25">
      <c r="A134" s="47"/>
      <c r="B134" s="75"/>
      <c r="C134" s="15"/>
    </row>
    <row r="135" spans="1:3" ht="26.25" customHeight="1" x14ac:dyDescent="0.2">
      <c r="A135" s="84" t="s">
        <v>214</v>
      </c>
      <c r="B135" s="99" t="s">
        <v>215</v>
      </c>
      <c r="C135" s="100">
        <f>[32]С2!F37</f>
        <v>20.818139999999996</v>
      </c>
    </row>
    <row r="136" spans="1:3" ht="14.25" x14ac:dyDescent="0.2">
      <c r="A136" s="59" t="s">
        <v>216</v>
      </c>
      <c r="B136" s="101" t="s">
        <v>217</v>
      </c>
      <c r="C136" s="34">
        <f>[32]С2!F38</f>
        <v>7</v>
      </c>
    </row>
    <row r="137" spans="1:3" ht="17.25" x14ac:dyDescent="0.2">
      <c r="A137" s="59" t="s">
        <v>218</v>
      </c>
      <c r="B137" s="101" t="s">
        <v>219</v>
      </c>
      <c r="C137" s="34">
        <f>[32]С2!F40</f>
        <v>0.97</v>
      </c>
    </row>
    <row r="138" spans="1:3" ht="15" thickBot="1" x14ac:dyDescent="0.25">
      <c r="A138" s="72" t="s">
        <v>220</v>
      </c>
      <c r="B138" s="102" t="s">
        <v>221</v>
      </c>
      <c r="C138" s="46">
        <f>[32]С2!F42</f>
        <v>0.35</v>
      </c>
    </row>
    <row r="139" spans="1:3" s="89" customFormat="1" ht="13.5" thickBot="1" x14ac:dyDescent="0.25">
      <c r="A139" s="47"/>
      <c r="B139" s="75"/>
      <c r="C139" s="15"/>
    </row>
    <row r="140" spans="1:3" ht="30" x14ac:dyDescent="0.2">
      <c r="A140" s="84" t="s">
        <v>222</v>
      </c>
      <c r="B140" s="103" t="s">
        <v>223</v>
      </c>
      <c r="C140" s="104">
        <f>[32]С2!F35</f>
        <v>1.7157947422665329</v>
      </c>
    </row>
    <row r="141" spans="1:3" ht="22.7" customHeight="1" thickBot="1" x14ac:dyDescent="0.25">
      <c r="A141" s="72" t="s">
        <v>224</v>
      </c>
      <c r="B141" s="141" t="s">
        <v>225</v>
      </c>
      <c r="C141" s="141"/>
    </row>
    <row r="142" spans="1:3" ht="13.5" thickBot="1" x14ac:dyDescent="0.25">
      <c r="A142" s="105"/>
      <c r="B142" s="106" t="s">
        <v>226</v>
      </c>
      <c r="C142" s="107"/>
    </row>
    <row r="143" spans="1:3" x14ac:dyDescent="0.2">
      <c r="A143" s="105"/>
      <c r="B143" s="108">
        <v>2020</v>
      </c>
      <c r="C143" s="109">
        <f>[32]С2.5!$E$11</f>
        <v>-2.9000000000000026E-2</v>
      </c>
    </row>
    <row r="144" spans="1:3" x14ac:dyDescent="0.2">
      <c r="A144" s="105"/>
      <c r="B144" s="110">
        <f>B143+1</f>
        <v>2021</v>
      </c>
      <c r="C144" s="111">
        <f>[32]С2.5!$F$11</f>
        <v>0.245</v>
      </c>
    </row>
    <row r="145" spans="1:3" x14ac:dyDescent="0.2">
      <c r="A145" s="105"/>
      <c r="B145" s="110">
        <f t="shared" ref="B145:B208" si="0">B144+1</f>
        <v>2022</v>
      </c>
      <c r="C145" s="111">
        <f>[32]С2.5!$G$11</f>
        <v>0.114</v>
      </c>
    </row>
    <row r="146" spans="1:3" ht="13.5" thickBot="1" x14ac:dyDescent="0.25">
      <c r="A146" s="105"/>
      <c r="B146" s="112">
        <f t="shared" si="0"/>
        <v>2023</v>
      </c>
      <c r="C146" s="113">
        <f>[32]С2.5!$H$11</f>
        <v>0.04</v>
      </c>
    </row>
    <row r="147" spans="1:3" x14ac:dyDescent="0.2">
      <c r="A147" s="105"/>
      <c r="B147" s="114">
        <f t="shared" si="0"/>
        <v>2024</v>
      </c>
      <c r="C147" s="115">
        <f>[32]С2.5!$I$11</f>
        <v>0.121</v>
      </c>
    </row>
    <row r="148" spans="1:3" x14ac:dyDescent="0.2">
      <c r="A148" s="105"/>
      <c r="B148" s="110">
        <f t="shared" si="0"/>
        <v>2025</v>
      </c>
      <c r="C148" s="111">
        <f>[32]С2.5!$J$11</f>
        <v>0.03</v>
      </c>
    </row>
    <row r="149" spans="1:3" x14ac:dyDescent="0.2">
      <c r="A149" s="105"/>
      <c r="B149" s="110">
        <f t="shared" si="0"/>
        <v>2026</v>
      </c>
      <c r="C149" s="111">
        <f>[32]С2.5!$K$11</f>
        <v>6.0999999999999999E-2</v>
      </c>
    </row>
    <row r="150" spans="1:3" hidden="1" x14ac:dyDescent="0.2">
      <c r="A150" s="105"/>
      <c r="B150" s="110">
        <f t="shared" si="0"/>
        <v>2027</v>
      </c>
      <c r="C150" s="111">
        <f>[32]С2.5!$L$11</f>
        <v>3.2682303599220003E-2</v>
      </c>
    </row>
    <row r="151" spans="1:3" hidden="1" x14ac:dyDescent="0.2">
      <c r="A151" s="105"/>
      <c r="B151" s="110">
        <f t="shared" si="0"/>
        <v>2028</v>
      </c>
      <c r="C151" s="111">
        <f>[32]С2.5!$M$11</f>
        <v>0</v>
      </c>
    </row>
    <row r="152" spans="1:3" hidden="1" x14ac:dyDescent="0.2">
      <c r="A152" s="105"/>
      <c r="B152" s="110">
        <f t="shared" si="0"/>
        <v>2029</v>
      </c>
      <c r="C152" s="111">
        <f>[32]С2.5!$N$11</f>
        <v>0</v>
      </c>
    </row>
    <row r="153" spans="1:3" hidden="1" x14ac:dyDescent="0.2">
      <c r="A153" s="105"/>
      <c r="B153" s="110">
        <f t="shared" si="0"/>
        <v>2030</v>
      </c>
      <c r="C153" s="111">
        <f>[32]С2.5!$O$11</f>
        <v>0</v>
      </c>
    </row>
    <row r="154" spans="1:3" hidden="1" x14ac:dyDescent="0.2">
      <c r="A154" s="105"/>
      <c r="B154" s="110">
        <f t="shared" si="0"/>
        <v>2031</v>
      </c>
      <c r="C154" s="111">
        <f>[32]С2.5!$P$11</f>
        <v>0</v>
      </c>
    </row>
    <row r="155" spans="1:3" hidden="1" x14ac:dyDescent="0.2">
      <c r="A155" s="89"/>
      <c r="B155" s="110">
        <f t="shared" si="0"/>
        <v>2032</v>
      </c>
      <c r="C155" s="111">
        <f>[32]С2.5!$Q$11</f>
        <v>0</v>
      </c>
    </row>
    <row r="156" spans="1:3" hidden="1" x14ac:dyDescent="0.2">
      <c r="A156" s="89"/>
      <c r="B156" s="110">
        <f t="shared" si="0"/>
        <v>2033</v>
      </c>
      <c r="C156" s="111">
        <f>[32]С2.5!$R$11</f>
        <v>0</v>
      </c>
    </row>
    <row r="157" spans="1:3" hidden="1" x14ac:dyDescent="0.2">
      <c r="B157" s="110">
        <f t="shared" si="0"/>
        <v>2034</v>
      </c>
      <c r="C157" s="111">
        <f>[32]С2.5!$S$11</f>
        <v>0</v>
      </c>
    </row>
    <row r="158" spans="1:3" hidden="1" x14ac:dyDescent="0.2">
      <c r="B158" s="110">
        <f t="shared" si="0"/>
        <v>2035</v>
      </c>
      <c r="C158" s="111">
        <f>[32]С2.5!$T$11</f>
        <v>0</v>
      </c>
    </row>
    <row r="159" spans="1:3" hidden="1" x14ac:dyDescent="0.2">
      <c r="B159" s="110">
        <f t="shared" si="0"/>
        <v>2036</v>
      </c>
      <c r="C159" s="111">
        <f>[32]С2.5!$U$11</f>
        <v>0</v>
      </c>
    </row>
    <row r="160" spans="1:3" hidden="1" x14ac:dyDescent="0.2">
      <c r="B160" s="110">
        <f t="shared" si="0"/>
        <v>2037</v>
      </c>
      <c r="C160" s="111">
        <f>[32]С2.5!$V$11</f>
        <v>0</v>
      </c>
    </row>
    <row r="161" spans="2:3" hidden="1" x14ac:dyDescent="0.2">
      <c r="B161" s="110">
        <f t="shared" si="0"/>
        <v>2038</v>
      </c>
      <c r="C161" s="111">
        <f>[32]С2.5!$W$11</f>
        <v>0</v>
      </c>
    </row>
    <row r="162" spans="2:3" hidden="1" x14ac:dyDescent="0.2">
      <c r="B162" s="110">
        <f t="shared" si="0"/>
        <v>2039</v>
      </c>
      <c r="C162" s="111">
        <f>[32]С2.5!$X$11</f>
        <v>0</v>
      </c>
    </row>
    <row r="163" spans="2:3" hidden="1" x14ac:dyDescent="0.2">
      <c r="B163" s="110">
        <f t="shared" si="0"/>
        <v>2040</v>
      </c>
      <c r="C163" s="111">
        <f>[32]С2.5!$Y$11</f>
        <v>0</v>
      </c>
    </row>
    <row r="164" spans="2:3" hidden="1" x14ac:dyDescent="0.2">
      <c r="B164" s="110">
        <f t="shared" si="0"/>
        <v>2041</v>
      </c>
      <c r="C164" s="111">
        <f>[32]С2.5!$Z$11</f>
        <v>0</v>
      </c>
    </row>
    <row r="165" spans="2:3" hidden="1" x14ac:dyDescent="0.2">
      <c r="B165" s="110">
        <f t="shared" si="0"/>
        <v>2042</v>
      </c>
      <c r="C165" s="111">
        <f>[32]С2.5!$AA$11</f>
        <v>0</v>
      </c>
    </row>
    <row r="166" spans="2:3" hidden="1" x14ac:dyDescent="0.2">
      <c r="B166" s="110">
        <f t="shared" si="0"/>
        <v>2043</v>
      </c>
      <c r="C166" s="111">
        <f>[32]С2.5!$AB$11</f>
        <v>0</v>
      </c>
    </row>
    <row r="167" spans="2:3" hidden="1" x14ac:dyDescent="0.2">
      <c r="B167" s="110">
        <f t="shared" si="0"/>
        <v>2044</v>
      </c>
      <c r="C167" s="111">
        <f>[32]С2.5!$AC$11</f>
        <v>0</v>
      </c>
    </row>
    <row r="168" spans="2:3" hidden="1" x14ac:dyDescent="0.2">
      <c r="B168" s="110">
        <f t="shared" si="0"/>
        <v>2045</v>
      </c>
      <c r="C168" s="111">
        <f>[32]С2.5!$AD$11</f>
        <v>0</v>
      </c>
    </row>
    <row r="169" spans="2:3" hidden="1" x14ac:dyDescent="0.2">
      <c r="B169" s="110">
        <f t="shared" si="0"/>
        <v>2046</v>
      </c>
      <c r="C169" s="111">
        <f>[32]С2.5!$AE$11</f>
        <v>0</v>
      </c>
    </row>
    <row r="170" spans="2:3" hidden="1" x14ac:dyDescent="0.2">
      <c r="B170" s="110">
        <f t="shared" si="0"/>
        <v>2047</v>
      </c>
      <c r="C170" s="111">
        <f>[32]С2.5!$AF$11</f>
        <v>0</v>
      </c>
    </row>
    <row r="171" spans="2:3" hidden="1" x14ac:dyDescent="0.2">
      <c r="B171" s="110">
        <f t="shared" si="0"/>
        <v>2048</v>
      </c>
      <c r="C171" s="111">
        <f>[32]С2.5!$AG$11</f>
        <v>0</v>
      </c>
    </row>
    <row r="172" spans="2:3" hidden="1" x14ac:dyDescent="0.2">
      <c r="B172" s="110">
        <f t="shared" si="0"/>
        <v>2049</v>
      </c>
      <c r="C172" s="111">
        <f>[32]С2.5!$AH$11</f>
        <v>0</v>
      </c>
    </row>
    <row r="173" spans="2:3" hidden="1" x14ac:dyDescent="0.2">
      <c r="B173" s="110">
        <f t="shared" si="0"/>
        <v>2050</v>
      </c>
      <c r="C173" s="111">
        <f>[32]С2.5!$AI$11</f>
        <v>0</v>
      </c>
    </row>
    <row r="174" spans="2:3" hidden="1" x14ac:dyDescent="0.2">
      <c r="B174" s="110">
        <f t="shared" si="0"/>
        <v>2051</v>
      </c>
      <c r="C174" s="111">
        <f>[32]С2.5!$AJ$11</f>
        <v>0</v>
      </c>
    </row>
    <row r="175" spans="2:3" hidden="1" x14ac:dyDescent="0.2">
      <c r="B175" s="110">
        <f t="shared" si="0"/>
        <v>2052</v>
      </c>
      <c r="C175" s="111">
        <f>[32]С2.5!$AK$11</f>
        <v>0</v>
      </c>
    </row>
    <row r="176" spans="2:3" hidden="1" x14ac:dyDescent="0.2">
      <c r="B176" s="110">
        <f t="shared" si="0"/>
        <v>2053</v>
      </c>
      <c r="C176" s="111">
        <f>[32]С2.5!$AL$11</f>
        <v>0</v>
      </c>
    </row>
    <row r="177" spans="2:3" hidden="1" x14ac:dyDescent="0.2">
      <c r="B177" s="110">
        <f t="shared" si="0"/>
        <v>2054</v>
      </c>
      <c r="C177" s="111">
        <f>[32]С2.5!$AM$11</f>
        <v>0</v>
      </c>
    </row>
    <row r="178" spans="2:3" hidden="1" x14ac:dyDescent="0.2">
      <c r="B178" s="110">
        <f t="shared" si="0"/>
        <v>2055</v>
      </c>
      <c r="C178" s="111">
        <f>[32]С2.5!$AN$11</f>
        <v>0</v>
      </c>
    </row>
    <row r="179" spans="2:3" hidden="1" x14ac:dyDescent="0.2">
      <c r="B179" s="110">
        <f t="shared" si="0"/>
        <v>2056</v>
      </c>
      <c r="C179" s="111">
        <f>[32]С2.5!$AO$11</f>
        <v>0</v>
      </c>
    </row>
    <row r="180" spans="2:3" hidden="1" x14ac:dyDescent="0.2">
      <c r="B180" s="110">
        <f t="shared" si="0"/>
        <v>2057</v>
      </c>
      <c r="C180" s="111">
        <f>[32]С2.5!$AP$11</f>
        <v>0</v>
      </c>
    </row>
    <row r="181" spans="2:3" hidden="1" x14ac:dyDescent="0.2">
      <c r="B181" s="110">
        <f t="shared" si="0"/>
        <v>2058</v>
      </c>
      <c r="C181" s="111">
        <f>[32]С2.5!$AQ$11</f>
        <v>0</v>
      </c>
    </row>
    <row r="182" spans="2:3" hidden="1" x14ac:dyDescent="0.2">
      <c r="B182" s="110">
        <f t="shared" si="0"/>
        <v>2059</v>
      </c>
      <c r="C182" s="111">
        <f>[32]С2.5!$AR$11</f>
        <v>0</v>
      </c>
    </row>
    <row r="183" spans="2:3" hidden="1" x14ac:dyDescent="0.2">
      <c r="B183" s="110">
        <f t="shared" si="0"/>
        <v>2060</v>
      </c>
      <c r="C183" s="111">
        <f>[32]С2.5!$AS$11</f>
        <v>0</v>
      </c>
    </row>
    <row r="184" spans="2:3" hidden="1" x14ac:dyDescent="0.2">
      <c r="B184" s="110">
        <f t="shared" si="0"/>
        <v>2061</v>
      </c>
      <c r="C184" s="111">
        <f>[32]С2.5!$AT$11</f>
        <v>0</v>
      </c>
    </row>
    <row r="185" spans="2:3" hidden="1" x14ac:dyDescent="0.2">
      <c r="B185" s="110">
        <f t="shared" si="0"/>
        <v>2062</v>
      </c>
      <c r="C185" s="111">
        <f>[32]С2.5!$AU$11</f>
        <v>0</v>
      </c>
    </row>
    <row r="186" spans="2:3" hidden="1" x14ac:dyDescent="0.2">
      <c r="B186" s="110">
        <f t="shared" si="0"/>
        <v>2063</v>
      </c>
      <c r="C186" s="111">
        <f>[32]С2.5!$AV$11</f>
        <v>0</v>
      </c>
    </row>
    <row r="187" spans="2:3" hidden="1" x14ac:dyDescent="0.2">
      <c r="B187" s="110">
        <f t="shared" si="0"/>
        <v>2064</v>
      </c>
      <c r="C187" s="111">
        <f>[32]С2.5!$AW$11</f>
        <v>0</v>
      </c>
    </row>
    <row r="188" spans="2:3" hidden="1" x14ac:dyDescent="0.2">
      <c r="B188" s="110">
        <f t="shared" si="0"/>
        <v>2065</v>
      </c>
      <c r="C188" s="111">
        <f>[32]С2.5!$AX$11</f>
        <v>0</v>
      </c>
    </row>
    <row r="189" spans="2:3" hidden="1" x14ac:dyDescent="0.2">
      <c r="B189" s="110">
        <f t="shared" si="0"/>
        <v>2066</v>
      </c>
      <c r="C189" s="111">
        <f>[32]С2.5!$AY$11</f>
        <v>0</v>
      </c>
    </row>
    <row r="190" spans="2:3" hidden="1" x14ac:dyDescent="0.2">
      <c r="B190" s="110">
        <f t="shared" si="0"/>
        <v>2067</v>
      </c>
      <c r="C190" s="111">
        <f>[32]С2.5!$AZ$11</f>
        <v>0</v>
      </c>
    </row>
    <row r="191" spans="2:3" hidden="1" x14ac:dyDescent="0.2">
      <c r="B191" s="110">
        <f t="shared" si="0"/>
        <v>2068</v>
      </c>
      <c r="C191" s="111">
        <f>[32]С2.5!$BA$11</f>
        <v>0</v>
      </c>
    </row>
    <row r="192" spans="2:3" hidden="1" x14ac:dyDescent="0.2">
      <c r="B192" s="110">
        <f t="shared" si="0"/>
        <v>2069</v>
      </c>
      <c r="C192" s="111">
        <f>[32]С2.5!$BB$11</f>
        <v>0</v>
      </c>
    </row>
    <row r="193" spans="2:3" hidden="1" x14ac:dyDescent="0.2">
      <c r="B193" s="110">
        <f t="shared" si="0"/>
        <v>2070</v>
      </c>
      <c r="C193" s="111">
        <f>[32]С2.5!$BC$11</f>
        <v>0</v>
      </c>
    </row>
    <row r="194" spans="2:3" hidden="1" x14ac:dyDescent="0.2">
      <c r="B194" s="110">
        <f t="shared" si="0"/>
        <v>2071</v>
      </c>
      <c r="C194" s="111">
        <f>[32]С2.5!$BD$11</f>
        <v>0</v>
      </c>
    </row>
    <row r="195" spans="2:3" hidden="1" x14ac:dyDescent="0.2">
      <c r="B195" s="110">
        <f t="shared" si="0"/>
        <v>2072</v>
      </c>
      <c r="C195" s="111">
        <f>[32]С2.5!$BE$11</f>
        <v>0</v>
      </c>
    </row>
    <row r="196" spans="2:3" hidden="1" x14ac:dyDescent="0.2">
      <c r="B196" s="110">
        <f t="shared" si="0"/>
        <v>2073</v>
      </c>
      <c r="C196" s="111">
        <f>[32]С2.5!$BF$11</f>
        <v>0</v>
      </c>
    </row>
    <row r="197" spans="2:3" hidden="1" x14ac:dyDescent="0.2">
      <c r="B197" s="110">
        <f t="shared" si="0"/>
        <v>2074</v>
      </c>
      <c r="C197" s="111">
        <f>[32]С2.5!$BG$11</f>
        <v>0</v>
      </c>
    </row>
    <row r="198" spans="2:3" hidden="1" x14ac:dyDescent="0.2">
      <c r="B198" s="110">
        <f t="shared" si="0"/>
        <v>2075</v>
      </c>
      <c r="C198" s="111">
        <f>[32]С2.5!$BH$11</f>
        <v>0</v>
      </c>
    </row>
    <row r="199" spans="2:3" hidden="1" x14ac:dyDescent="0.2">
      <c r="B199" s="110">
        <f t="shared" si="0"/>
        <v>2076</v>
      </c>
      <c r="C199" s="111">
        <f>[32]С2.5!$BI$11</f>
        <v>0</v>
      </c>
    </row>
    <row r="200" spans="2:3" hidden="1" x14ac:dyDescent="0.2">
      <c r="B200" s="110">
        <f t="shared" si="0"/>
        <v>2077</v>
      </c>
      <c r="C200" s="111">
        <f>[32]С2.5!$BJ$11</f>
        <v>0</v>
      </c>
    </row>
    <row r="201" spans="2:3" hidden="1" x14ac:dyDescent="0.2">
      <c r="B201" s="110">
        <f t="shared" si="0"/>
        <v>2078</v>
      </c>
      <c r="C201" s="111">
        <f>[32]С2.5!$BK$11</f>
        <v>0</v>
      </c>
    </row>
    <row r="202" spans="2:3" hidden="1" x14ac:dyDescent="0.2">
      <c r="B202" s="110">
        <f t="shared" si="0"/>
        <v>2079</v>
      </c>
      <c r="C202" s="111">
        <f>[32]С2.5!$BL$11</f>
        <v>0</v>
      </c>
    </row>
    <row r="203" spans="2:3" hidden="1" x14ac:dyDescent="0.2">
      <c r="B203" s="110">
        <f t="shared" si="0"/>
        <v>2080</v>
      </c>
      <c r="C203" s="111">
        <f>[32]С2.5!$BM$11</f>
        <v>0</v>
      </c>
    </row>
    <row r="204" spans="2:3" hidden="1" x14ac:dyDescent="0.2">
      <c r="B204" s="110">
        <f t="shared" si="0"/>
        <v>2081</v>
      </c>
      <c r="C204" s="111">
        <f>[32]С2.5!$BN$11</f>
        <v>0</v>
      </c>
    </row>
    <row r="205" spans="2:3" hidden="1" x14ac:dyDescent="0.2">
      <c r="B205" s="110">
        <f t="shared" si="0"/>
        <v>2082</v>
      </c>
      <c r="C205" s="111">
        <f>[32]С2.5!$BO$11</f>
        <v>0</v>
      </c>
    </row>
    <row r="206" spans="2:3" hidden="1" x14ac:dyDescent="0.2">
      <c r="B206" s="110">
        <f t="shared" si="0"/>
        <v>2083</v>
      </c>
      <c r="C206" s="111">
        <f>[32]С2.5!$BP$11</f>
        <v>0</v>
      </c>
    </row>
    <row r="207" spans="2:3" hidden="1" x14ac:dyDescent="0.2">
      <c r="B207" s="110">
        <f t="shared" si="0"/>
        <v>2084</v>
      </c>
      <c r="C207" s="111">
        <f>[32]С2.5!$BQ$11</f>
        <v>0</v>
      </c>
    </row>
    <row r="208" spans="2:3" hidden="1" x14ac:dyDescent="0.2">
      <c r="B208" s="110">
        <f t="shared" si="0"/>
        <v>2085</v>
      </c>
      <c r="C208" s="111">
        <f>[32]С2.5!$BR$11</f>
        <v>0</v>
      </c>
    </row>
    <row r="209" spans="2:3" hidden="1" x14ac:dyDescent="0.2">
      <c r="B209" s="110">
        <f t="shared" ref="B209:B223" si="1">B208+1</f>
        <v>2086</v>
      </c>
      <c r="C209" s="111">
        <f>[32]С2.5!$BS$11</f>
        <v>0</v>
      </c>
    </row>
    <row r="210" spans="2:3" hidden="1" x14ac:dyDescent="0.2">
      <c r="B210" s="110">
        <f t="shared" si="1"/>
        <v>2087</v>
      </c>
      <c r="C210" s="111">
        <f>[32]С2.5!$BT$11</f>
        <v>0</v>
      </c>
    </row>
    <row r="211" spans="2:3" hidden="1" x14ac:dyDescent="0.2">
      <c r="B211" s="110">
        <f t="shared" si="1"/>
        <v>2088</v>
      </c>
      <c r="C211" s="111">
        <f>[32]С2.5!$BU$11</f>
        <v>0</v>
      </c>
    </row>
    <row r="212" spans="2:3" hidden="1" x14ac:dyDescent="0.2">
      <c r="B212" s="110">
        <f t="shared" si="1"/>
        <v>2089</v>
      </c>
      <c r="C212" s="111">
        <f>[32]С2.5!$BV$11</f>
        <v>0</v>
      </c>
    </row>
    <row r="213" spans="2:3" hidden="1" x14ac:dyDescent="0.2">
      <c r="B213" s="110">
        <f t="shared" si="1"/>
        <v>2090</v>
      </c>
      <c r="C213" s="111">
        <f>[32]С2.5!$BW$11</f>
        <v>0</v>
      </c>
    </row>
    <row r="214" spans="2:3" hidden="1" x14ac:dyDescent="0.2">
      <c r="B214" s="110">
        <f t="shared" si="1"/>
        <v>2091</v>
      </c>
      <c r="C214" s="111">
        <f>[32]С2.5!$BX$11</f>
        <v>0</v>
      </c>
    </row>
    <row r="215" spans="2:3" hidden="1" x14ac:dyDescent="0.2">
      <c r="B215" s="110">
        <f t="shared" si="1"/>
        <v>2092</v>
      </c>
      <c r="C215" s="111">
        <f>[32]С2.5!$BY$11</f>
        <v>0</v>
      </c>
    </row>
    <row r="216" spans="2:3" hidden="1" x14ac:dyDescent="0.2">
      <c r="B216" s="110">
        <f t="shared" si="1"/>
        <v>2093</v>
      </c>
      <c r="C216" s="111">
        <f>[32]С2.5!$BZ$11</f>
        <v>0</v>
      </c>
    </row>
    <row r="217" spans="2:3" hidden="1" x14ac:dyDescent="0.2">
      <c r="B217" s="110">
        <f t="shared" si="1"/>
        <v>2094</v>
      </c>
      <c r="C217" s="111">
        <f>[32]С2.5!$CA$11</f>
        <v>0</v>
      </c>
    </row>
    <row r="218" spans="2:3" hidden="1" x14ac:dyDescent="0.2">
      <c r="B218" s="110">
        <f t="shared" si="1"/>
        <v>2095</v>
      </c>
      <c r="C218" s="111">
        <f>[32]С2.5!$CB$11</f>
        <v>0</v>
      </c>
    </row>
    <row r="219" spans="2:3" hidden="1" x14ac:dyDescent="0.2">
      <c r="B219" s="110">
        <f t="shared" si="1"/>
        <v>2096</v>
      </c>
      <c r="C219" s="111">
        <f>[32]С2.5!$CC$11</f>
        <v>0</v>
      </c>
    </row>
    <row r="220" spans="2:3" hidden="1" x14ac:dyDescent="0.2">
      <c r="B220" s="110">
        <f t="shared" si="1"/>
        <v>2097</v>
      </c>
      <c r="C220" s="111">
        <f>[32]С2.5!$CD$11</f>
        <v>0</v>
      </c>
    </row>
    <row r="221" spans="2:3" hidden="1" x14ac:dyDescent="0.2">
      <c r="B221" s="110">
        <f t="shared" si="1"/>
        <v>2098</v>
      </c>
      <c r="C221" s="111">
        <f>[32]С2.5!$CE$11</f>
        <v>0</v>
      </c>
    </row>
    <row r="222" spans="2:3" hidden="1" x14ac:dyDescent="0.2">
      <c r="B222" s="110">
        <f t="shared" si="1"/>
        <v>2099</v>
      </c>
      <c r="C222" s="111">
        <f>[32]С2.5!$CF$11</f>
        <v>0</v>
      </c>
    </row>
    <row r="223" spans="2:3" ht="13.5" hidden="1" thickBot="1" x14ac:dyDescent="0.25">
      <c r="B223" s="112">
        <f t="shared" si="1"/>
        <v>2100</v>
      </c>
      <c r="C223" s="113">
        <f>[32]С2.5!$CG$11</f>
        <v>0</v>
      </c>
    </row>
    <row r="224" spans="2:3" hidden="1" x14ac:dyDescent="0.2">
      <c r="C224" s="116"/>
    </row>
    <row r="225" spans="3:3" hidden="1" x14ac:dyDescent="0.2">
      <c r="C225" s="116"/>
    </row>
    <row r="226" spans="3:3" x14ac:dyDescent="0.2">
      <c r="C226" s="116"/>
    </row>
  </sheetData>
  <mergeCells count="9">
    <mergeCell ref="B141:C141"/>
    <mergeCell ref="A14:C14"/>
    <mergeCell ref="B1:C1"/>
    <mergeCell ref="B27:C27"/>
    <mergeCell ref="B40:C40"/>
    <mergeCell ref="B84:C84"/>
    <mergeCell ref="B95:C95"/>
    <mergeCell ref="B124:C124"/>
    <mergeCell ref="B127:C127"/>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26"/>
  <sheetViews>
    <sheetView workbookViewId="0">
      <selection activeCell="O26" sqref="O26"/>
    </sheetView>
  </sheetViews>
  <sheetFormatPr defaultRowHeight="12.75" x14ac:dyDescent="0.2"/>
  <cols>
    <col min="1" max="1" width="9.140625" style="2" customWidth="1"/>
    <col min="2" max="2" width="100.5703125" style="2" customWidth="1"/>
    <col min="3" max="3" width="20.85546875" style="7" customWidth="1"/>
    <col min="4" max="243" width="9.140625" style="2"/>
    <col min="244" max="244" width="3.5703125" style="2" customWidth="1"/>
    <col min="245" max="245" width="96.85546875" style="2" customWidth="1"/>
    <col min="246" max="246" width="30.85546875" style="2" customWidth="1"/>
    <col min="247" max="247" width="12.5703125" style="2" customWidth="1"/>
    <col min="248" max="248" width="5.140625" style="2" customWidth="1"/>
    <col min="249" max="249" width="9.140625" style="2"/>
    <col min="250" max="250" width="4.85546875" style="2" customWidth="1"/>
    <col min="251" max="251" width="30.5703125" style="2" customWidth="1"/>
    <col min="252" max="252" width="33.85546875" style="2" customWidth="1"/>
    <col min="253" max="253" width="5.140625" style="2" customWidth="1"/>
    <col min="254" max="255" width="17.5703125" style="2" customWidth="1"/>
    <col min="256" max="499" width="9.140625" style="2"/>
    <col min="500" max="500" width="3.5703125" style="2" customWidth="1"/>
    <col min="501" max="501" width="96.85546875" style="2" customWidth="1"/>
    <col min="502" max="502" width="30.85546875" style="2" customWidth="1"/>
    <col min="503" max="503" width="12.5703125" style="2" customWidth="1"/>
    <col min="504" max="504" width="5.140625" style="2" customWidth="1"/>
    <col min="505" max="505" width="9.140625" style="2"/>
    <col min="506" max="506" width="4.85546875" style="2" customWidth="1"/>
    <col min="507" max="507" width="30.5703125" style="2" customWidth="1"/>
    <col min="508" max="508" width="33.85546875" style="2" customWidth="1"/>
    <col min="509" max="509" width="5.140625" style="2" customWidth="1"/>
    <col min="510" max="511" width="17.5703125" style="2" customWidth="1"/>
    <col min="512" max="755" width="9.140625" style="2"/>
    <col min="756" max="756" width="3.5703125" style="2" customWidth="1"/>
    <col min="757" max="757" width="96.85546875" style="2" customWidth="1"/>
    <col min="758" max="758" width="30.85546875" style="2" customWidth="1"/>
    <col min="759" max="759" width="12.5703125" style="2" customWidth="1"/>
    <col min="760" max="760" width="5.140625" style="2" customWidth="1"/>
    <col min="761" max="761" width="9.140625" style="2"/>
    <col min="762" max="762" width="4.85546875" style="2" customWidth="1"/>
    <col min="763" max="763" width="30.5703125" style="2" customWidth="1"/>
    <col min="764" max="764" width="33.85546875" style="2" customWidth="1"/>
    <col min="765" max="765" width="5.140625" style="2" customWidth="1"/>
    <col min="766" max="767" width="17.5703125" style="2" customWidth="1"/>
    <col min="768" max="1011" width="9.140625" style="2"/>
    <col min="1012" max="1012" width="3.5703125" style="2" customWidth="1"/>
    <col min="1013" max="1013" width="96.85546875" style="2" customWidth="1"/>
    <col min="1014" max="1014" width="30.85546875" style="2" customWidth="1"/>
    <col min="1015" max="1015" width="12.5703125" style="2" customWidth="1"/>
    <col min="1016" max="1016" width="5.140625" style="2" customWidth="1"/>
    <col min="1017" max="1017" width="9.140625" style="2"/>
    <col min="1018" max="1018" width="4.85546875" style="2" customWidth="1"/>
    <col min="1019" max="1019" width="30.5703125" style="2" customWidth="1"/>
    <col min="1020" max="1020" width="33.85546875" style="2" customWidth="1"/>
    <col min="1021" max="1021" width="5.140625" style="2" customWidth="1"/>
    <col min="1022" max="1023" width="17.5703125" style="2" customWidth="1"/>
    <col min="1024" max="1267" width="9.140625" style="2"/>
    <col min="1268" max="1268" width="3.5703125" style="2" customWidth="1"/>
    <col min="1269" max="1269" width="96.85546875" style="2" customWidth="1"/>
    <col min="1270" max="1270" width="30.85546875" style="2" customWidth="1"/>
    <col min="1271" max="1271" width="12.5703125" style="2" customWidth="1"/>
    <col min="1272" max="1272" width="5.140625" style="2" customWidth="1"/>
    <col min="1273" max="1273" width="9.140625" style="2"/>
    <col min="1274" max="1274" width="4.85546875" style="2" customWidth="1"/>
    <col min="1275" max="1275" width="30.5703125" style="2" customWidth="1"/>
    <col min="1276" max="1276" width="33.85546875" style="2" customWidth="1"/>
    <col min="1277" max="1277" width="5.140625" style="2" customWidth="1"/>
    <col min="1278" max="1279" width="17.5703125" style="2" customWidth="1"/>
    <col min="1280" max="1523" width="9.140625" style="2"/>
    <col min="1524" max="1524" width="3.5703125" style="2" customWidth="1"/>
    <col min="1525" max="1525" width="96.85546875" style="2" customWidth="1"/>
    <col min="1526" max="1526" width="30.85546875" style="2" customWidth="1"/>
    <col min="1527" max="1527" width="12.5703125" style="2" customWidth="1"/>
    <col min="1528" max="1528" width="5.140625" style="2" customWidth="1"/>
    <col min="1529" max="1529" width="9.140625" style="2"/>
    <col min="1530" max="1530" width="4.85546875" style="2" customWidth="1"/>
    <col min="1531" max="1531" width="30.5703125" style="2" customWidth="1"/>
    <col min="1532" max="1532" width="33.85546875" style="2" customWidth="1"/>
    <col min="1533" max="1533" width="5.140625" style="2" customWidth="1"/>
    <col min="1534" max="1535" width="17.5703125" style="2" customWidth="1"/>
    <col min="1536" max="1779" width="9.140625" style="2"/>
    <col min="1780" max="1780" width="3.5703125" style="2" customWidth="1"/>
    <col min="1781" max="1781" width="96.85546875" style="2" customWidth="1"/>
    <col min="1782" max="1782" width="30.85546875" style="2" customWidth="1"/>
    <col min="1783" max="1783" width="12.5703125" style="2" customWidth="1"/>
    <col min="1784" max="1784" width="5.140625" style="2" customWidth="1"/>
    <col min="1785" max="1785" width="9.140625" style="2"/>
    <col min="1786" max="1786" width="4.85546875" style="2" customWidth="1"/>
    <col min="1787" max="1787" width="30.5703125" style="2" customWidth="1"/>
    <col min="1788" max="1788" width="33.85546875" style="2" customWidth="1"/>
    <col min="1789" max="1789" width="5.140625" style="2" customWidth="1"/>
    <col min="1790" max="1791" width="17.5703125" style="2" customWidth="1"/>
    <col min="1792" max="2035" width="9.140625" style="2"/>
    <col min="2036" max="2036" width="3.5703125" style="2" customWidth="1"/>
    <col min="2037" max="2037" width="96.85546875" style="2" customWidth="1"/>
    <col min="2038" max="2038" width="30.85546875" style="2" customWidth="1"/>
    <col min="2039" max="2039" width="12.5703125" style="2" customWidth="1"/>
    <col min="2040" max="2040" width="5.140625" style="2" customWidth="1"/>
    <col min="2041" max="2041" width="9.140625" style="2"/>
    <col min="2042" max="2042" width="4.85546875" style="2" customWidth="1"/>
    <col min="2043" max="2043" width="30.5703125" style="2" customWidth="1"/>
    <col min="2044" max="2044" width="33.85546875" style="2" customWidth="1"/>
    <col min="2045" max="2045" width="5.140625" style="2" customWidth="1"/>
    <col min="2046" max="2047" width="17.5703125" style="2" customWidth="1"/>
    <col min="2048" max="2291" width="9.140625" style="2"/>
    <col min="2292" max="2292" width="3.5703125" style="2" customWidth="1"/>
    <col min="2293" max="2293" width="96.85546875" style="2" customWidth="1"/>
    <col min="2294" max="2294" width="30.85546875" style="2" customWidth="1"/>
    <col min="2295" max="2295" width="12.5703125" style="2" customWidth="1"/>
    <col min="2296" max="2296" width="5.140625" style="2" customWidth="1"/>
    <col min="2297" max="2297" width="9.140625" style="2"/>
    <col min="2298" max="2298" width="4.85546875" style="2" customWidth="1"/>
    <col min="2299" max="2299" width="30.5703125" style="2" customWidth="1"/>
    <col min="2300" max="2300" width="33.85546875" style="2" customWidth="1"/>
    <col min="2301" max="2301" width="5.140625" style="2" customWidth="1"/>
    <col min="2302" max="2303" width="17.5703125" style="2" customWidth="1"/>
    <col min="2304" max="2547" width="9.140625" style="2"/>
    <col min="2548" max="2548" width="3.5703125" style="2" customWidth="1"/>
    <col min="2549" max="2549" width="96.85546875" style="2" customWidth="1"/>
    <col min="2550" max="2550" width="30.85546875" style="2" customWidth="1"/>
    <col min="2551" max="2551" width="12.5703125" style="2" customWidth="1"/>
    <col min="2552" max="2552" width="5.140625" style="2" customWidth="1"/>
    <col min="2553" max="2553" width="9.140625" style="2"/>
    <col min="2554" max="2554" width="4.85546875" style="2" customWidth="1"/>
    <col min="2555" max="2555" width="30.5703125" style="2" customWidth="1"/>
    <col min="2556" max="2556" width="33.85546875" style="2" customWidth="1"/>
    <col min="2557" max="2557" width="5.140625" style="2" customWidth="1"/>
    <col min="2558" max="2559" width="17.5703125" style="2" customWidth="1"/>
    <col min="2560" max="2803" width="9.140625" style="2"/>
    <col min="2804" max="2804" width="3.5703125" style="2" customWidth="1"/>
    <col min="2805" max="2805" width="96.85546875" style="2" customWidth="1"/>
    <col min="2806" max="2806" width="30.85546875" style="2" customWidth="1"/>
    <col min="2807" max="2807" width="12.5703125" style="2" customWidth="1"/>
    <col min="2808" max="2808" width="5.140625" style="2" customWidth="1"/>
    <col min="2809" max="2809" width="9.140625" style="2"/>
    <col min="2810" max="2810" width="4.85546875" style="2" customWidth="1"/>
    <col min="2811" max="2811" width="30.5703125" style="2" customWidth="1"/>
    <col min="2812" max="2812" width="33.85546875" style="2" customWidth="1"/>
    <col min="2813" max="2813" width="5.140625" style="2" customWidth="1"/>
    <col min="2814" max="2815" width="17.5703125" style="2" customWidth="1"/>
    <col min="2816" max="3059" width="9.140625" style="2"/>
    <col min="3060" max="3060" width="3.5703125" style="2" customWidth="1"/>
    <col min="3061" max="3061" width="96.85546875" style="2" customWidth="1"/>
    <col min="3062" max="3062" width="30.85546875" style="2" customWidth="1"/>
    <col min="3063" max="3063" width="12.5703125" style="2" customWidth="1"/>
    <col min="3064" max="3064" width="5.140625" style="2" customWidth="1"/>
    <col min="3065" max="3065" width="9.140625" style="2"/>
    <col min="3066" max="3066" width="4.85546875" style="2" customWidth="1"/>
    <col min="3067" max="3067" width="30.5703125" style="2" customWidth="1"/>
    <col min="3068" max="3068" width="33.85546875" style="2" customWidth="1"/>
    <col min="3069" max="3069" width="5.140625" style="2" customWidth="1"/>
    <col min="3070" max="3071" width="17.5703125" style="2" customWidth="1"/>
    <col min="3072" max="3315" width="9.140625" style="2"/>
    <col min="3316" max="3316" width="3.5703125" style="2" customWidth="1"/>
    <col min="3317" max="3317" width="96.85546875" style="2" customWidth="1"/>
    <col min="3318" max="3318" width="30.85546875" style="2" customWidth="1"/>
    <col min="3319" max="3319" width="12.5703125" style="2" customWidth="1"/>
    <col min="3320" max="3320" width="5.140625" style="2" customWidth="1"/>
    <col min="3321" max="3321" width="9.140625" style="2"/>
    <col min="3322" max="3322" width="4.85546875" style="2" customWidth="1"/>
    <col min="3323" max="3323" width="30.5703125" style="2" customWidth="1"/>
    <col min="3324" max="3324" width="33.85546875" style="2" customWidth="1"/>
    <col min="3325" max="3325" width="5.140625" style="2" customWidth="1"/>
    <col min="3326" max="3327" width="17.5703125" style="2" customWidth="1"/>
    <col min="3328" max="3571" width="9.140625" style="2"/>
    <col min="3572" max="3572" width="3.5703125" style="2" customWidth="1"/>
    <col min="3573" max="3573" width="96.85546875" style="2" customWidth="1"/>
    <col min="3574" max="3574" width="30.85546875" style="2" customWidth="1"/>
    <col min="3575" max="3575" width="12.5703125" style="2" customWidth="1"/>
    <col min="3576" max="3576" width="5.140625" style="2" customWidth="1"/>
    <col min="3577" max="3577" width="9.140625" style="2"/>
    <col min="3578" max="3578" width="4.85546875" style="2" customWidth="1"/>
    <col min="3579" max="3579" width="30.5703125" style="2" customWidth="1"/>
    <col min="3580" max="3580" width="33.85546875" style="2" customWidth="1"/>
    <col min="3581" max="3581" width="5.140625" style="2" customWidth="1"/>
    <col min="3582" max="3583" width="17.5703125" style="2" customWidth="1"/>
    <col min="3584" max="3827" width="9.140625" style="2"/>
    <col min="3828" max="3828" width="3.5703125" style="2" customWidth="1"/>
    <col min="3829" max="3829" width="96.85546875" style="2" customWidth="1"/>
    <col min="3830" max="3830" width="30.85546875" style="2" customWidth="1"/>
    <col min="3831" max="3831" width="12.5703125" style="2" customWidth="1"/>
    <col min="3832" max="3832" width="5.140625" style="2" customWidth="1"/>
    <col min="3833" max="3833" width="9.140625" style="2"/>
    <col min="3834" max="3834" width="4.85546875" style="2" customWidth="1"/>
    <col min="3835" max="3835" width="30.5703125" style="2" customWidth="1"/>
    <col min="3836" max="3836" width="33.85546875" style="2" customWidth="1"/>
    <col min="3837" max="3837" width="5.140625" style="2" customWidth="1"/>
    <col min="3838" max="3839" width="17.5703125" style="2" customWidth="1"/>
    <col min="3840" max="4083" width="9.140625" style="2"/>
    <col min="4084" max="4084" width="3.5703125" style="2" customWidth="1"/>
    <col min="4085" max="4085" width="96.85546875" style="2" customWidth="1"/>
    <col min="4086" max="4086" width="30.85546875" style="2" customWidth="1"/>
    <col min="4087" max="4087" width="12.5703125" style="2" customWidth="1"/>
    <col min="4088" max="4088" width="5.140625" style="2" customWidth="1"/>
    <col min="4089" max="4089" width="9.140625" style="2"/>
    <col min="4090" max="4090" width="4.85546875" style="2" customWidth="1"/>
    <col min="4091" max="4091" width="30.5703125" style="2" customWidth="1"/>
    <col min="4092" max="4092" width="33.85546875" style="2" customWidth="1"/>
    <col min="4093" max="4093" width="5.140625" style="2" customWidth="1"/>
    <col min="4094" max="4095" width="17.5703125" style="2" customWidth="1"/>
    <col min="4096" max="4339" width="9.140625" style="2"/>
    <col min="4340" max="4340" width="3.5703125" style="2" customWidth="1"/>
    <col min="4341" max="4341" width="96.85546875" style="2" customWidth="1"/>
    <col min="4342" max="4342" width="30.85546875" style="2" customWidth="1"/>
    <col min="4343" max="4343" width="12.5703125" style="2" customWidth="1"/>
    <col min="4344" max="4344" width="5.140625" style="2" customWidth="1"/>
    <col min="4345" max="4345" width="9.140625" style="2"/>
    <col min="4346" max="4346" width="4.85546875" style="2" customWidth="1"/>
    <col min="4347" max="4347" width="30.5703125" style="2" customWidth="1"/>
    <col min="4348" max="4348" width="33.85546875" style="2" customWidth="1"/>
    <col min="4349" max="4349" width="5.140625" style="2" customWidth="1"/>
    <col min="4350" max="4351" width="17.5703125" style="2" customWidth="1"/>
    <col min="4352" max="4595" width="9.140625" style="2"/>
    <col min="4596" max="4596" width="3.5703125" style="2" customWidth="1"/>
    <col min="4597" max="4597" width="96.85546875" style="2" customWidth="1"/>
    <col min="4598" max="4598" width="30.85546875" style="2" customWidth="1"/>
    <col min="4599" max="4599" width="12.5703125" style="2" customWidth="1"/>
    <col min="4600" max="4600" width="5.140625" style="2" customWidth="1"/>
    <col min="4601" max="4601" width="9.140625" style="2"/>
    <col min="4602" max="4602" width="4.85546875" style="2" customWidth="1"/>
    <col min="4603" max="4603" width="30.5703125" style="2" customWidth="1"/>
    <col min="4604" max="4604" width="33.85546875" style="2" customWidth="1"/>
    <col min="4605" max="4605" width="5.140625" style="2" customWidth="1"/>
    <col min="4606" max="4607" width="17.5703125" style="2" customWidth="1"/>
    <col min="4608" max="4851" width="9.140625" style="2"/>
    <col min="4852" max="4852" width="3.5703125" style="2" customWidth="1"/>
    <col min="4853" max="4853" width="96.85546875" style="2" customWidth="1"/>
    <col min="4854" max="4854" width="30.85546875" style="2" customWidth="1"/>
    <col min="4855" max="4855" width="12.5703125" style="2" customWidth="1"/>
    <col min="4856" max="4856" width="5.140625" style="2" customWidth="1"/>
    <col min="4857" max="4857" width="9.140625" style="2"/>
    <col min="4858" max="4858" width="4.85546875" style="2" customWidth="1"/>
    <col min="4859" max="4859" width="30.5703125" style="2" customWidth="1"/>
    <col min="4860" max="4860" width="33.85546875" style="2" customWidth="1"/>
    <col min="4861" max="4861" width="5.140625" style="2" customWidth="1"/>
    <col min="4862" max="4863" width="17.5703125" style="2" customWidth="1"/>
    <col min="4864" max="5107" width="9.140625" style="2"/>
    <col min="5108" max="5108" width="3.5703125" style="2" customWidth="1"/>
    <col min="5109" max="5109" width="96.85546875" style="2" customWidth="1"/>
    <col min="5110" max="5110" width="30.85546875" style="2" customWidth="1"/>
    <col min="5111" max="5111" width="12.5703125" style="2" customWidth="1"/>
    <col min="5112" max="5112" width="5.140625" style="2" customWidth="1"/>
    <col min="5113" max="5113" width="9.140625" style="2"/>
    <col min="5114" max="5114" width="4.85546875" style="2" customWidth="1"/>
    <col min="5115" max="5115" width="30.5703125" style="2" customWidth="1"/>
    <col min="5116" max="5116" width="33.85546875" style="2" customWidth="1"/>
    <col min="5117" max="5117" width="5.140625" style="2" customWidth="1"/>
    <col min="5118" max="5119" width="17.5703125" style="2" customWidth="1"/>
    <col min="5120" max="5363" width="9.140625" style="2"/>
    <col min="5364" max="5364" width="3.5703125" style="2" customWidth="1"/>
    <col min="5365" max="5365" width="96.85546875" style="2" customWidth="1"/>
    <col min="5366" max="5366" width="30.85546875" style="2" customWidth="1"/>
    <col min="5367" max="5367" width="12.5703125" style="2" customWidth="1"/>
    <col min="5368" max="5368" width="5.140625" style="2" customWidth="1"/>
    <col min="5369" max="5369" width="9.140625" style="2"/>
    <col min="5370" max="5370" width="4.85546875" style="2" customWidth="1"/>
    <col min="5371" max="5371" width="30.5703125" style="2" customWidth="1"/>
    <col min="5372" max="5372" width="33.85546875" style="2" customWidth="1"/>
    <col min="5373" max="5373" width="5.140625" style="2" customWidth="1"/>
    <col min="5374" max="5375" width="17.5703125" style="2" customWidth="1"/>
    <col min="5376" max="5619" width="9.140625" style="2"/>
    <col min="5620" max="5620" width="3.5703125" style="2" customWidth="1"/>
    <col min="5621" max="5621" width="96.85546875" style="2" customWidth="1"/>
    <col min="5622" max="5622" width="30.85546875" style="2" customWidth="1"/>
    <col min="5623" max="5623" width="12.5703125" style="2" customWidth="1"/>
    <col min="5624" max="5624" width="5.140625" style="2" customWidth="1"/>
    <col min="5625" max="5625" width="9.140625" style="2"/>
    <col min="5626" max="5626" width="4.85546875" style="2" customWidth="1"/>
    <col min="5627" max="5627" width="30.5703125" style="2" customWidth="1"/>
    <col min="5628" max="5628" width="33.85546875" style="2" customWidth="1"/>
    <col min="5629" max="5629" width="5.140625" style="2" customWidth="1"/>
    <col min="5630" max="5631" width="17.5703125" style="2" customWidth="1"/>
    <col min="5632" max="5875" width="9.140625" style="2"/>
    <col min="5876" max="5876" width="3.5703125" style="2" customWidth="1"/>
    <col min="5877" max="5877" width="96.85546875" style="2" customWidth="1"/>
    <col min="5878" max="5878" width="30.85546875" style="2" customWidth="1"/>
    <col min="5879" max="5879" width="12.5703125" style="2" customWidth="1"/>
    <col min="5880" max="5880" width="5.140625" style="2" customWidth="1"/>
    <col min="5881" max="5881" width="9.140625" style="2"/>
    <col min="5882" max="5882" width="4.85546875" style="2" customWidth="1"/>
    <col min="5883" max="5883" width="30.5703125" style="2" customWidth="1"/>
    <col min="5884" max="5884" width="33.85546875" style="2" customWidth="1"/>
    <col min="5885" max="5885" width="5.140625" style="2" customWidth="1"/>
    <col min="5886" max="5887" width="17.5703125" style="2" customWidth="1"/>
    <col min="5888" max="6131" width="9.140625" style="2"/>
    <col min="6132" max="6132" width="3.5703125" style="2" customWidth="1"/>
    <col min="6133" max="6133" width="96.85546875" style="2" customWidth="1"/>
    <col min="6134" max="6134" width="30.85546875" style="2" customWidth="1"/>
    <col min="6135" max="6135" width="12.5703125" style="2" customWidth="1"/>
    <col min="6136" max="6136" width="5.140625" style="2" customWidth="1"/>
    <col min="6137" max="6137" width="9.140625" style="2"/>
    <col min="6138" max="6138" width="4.85546875" style="2" customWidth="1"/>
    <col min="6139" max="6139" width="30.5703125" style="2" customWidth="1"/>
    <col min="6140" max="6140" width="33.85546875" style="2" customWidth="1"/>
    <col min="6141" max="6141" width="5.140625" style="2" customWidth="1"/>
    <col min="6142" max="6143" width="17.5703125" style="2" customWidth="1"/>
    <col min="6144" max="6387" width="9.140625" style="2"/>
    <col min="6388" max="6388" width="3.5703125" style="2" customWidth="1"/>
    <col min="6389" max="6389" width="96.85546875" style="2" customWidth="1"/>
    <col min="6390" max="6390" width="30.85546875" style="2" customWidth="1"/>
    <col min="6391" max="6391" width="12.5703125" style="2" customWidth="1"/>
    <col min="6392" max="6392" width="5.140625" style="2" customWidth="1"/>
    <col min="6393" max="6393" width="9.140625" style="2"/>
    <col min="6394" max="6394" width="4.85546875" style="2" customWidth="1"/>
    <col min="6395" max="6395" width="30.5703125" style="2" customWidth="1"/>
    <col min="6396" max="6396" width="33.85546875" style="2" customWidth="1"/>
    <col min="6397" max="6397" width="5.140625" style="2" customWidth="1"/>
    <col min="6398" max="6399" width="17.5703125" style="2" customWidth="1"/>
    <col min="6400" max="6643" width="9.140625" style="2"/>
    <col min="6644" max="6644" width="3.5703125" style="2" customWidth="1"/>
    <col min="6645" max="6645" width="96.85546875" style="2" customWidth="1"/>
    <col min="6646" max="6646" width="30.85546875" style="2" customWidth="1"/>
    <col min="6647" max="6647" width="12.5703125" style="2" customWidth="1"/>
    <col min="6648" max="6648" width="5.140625" style="2" customWidth="1"/>
    <col min="6649" max="6649" width="9.140625" style="2"/>
    <col min="6650" max="6650" width="4.85546875" style="2" customWidth="1"/>
    <col min="6651" max="6651" width="30.5703125" style="2" customWidth="1"/>
    <col min="6652" max="6652" width="33.85546875" style="2" customWidth="1"/>
    <col min="6653" max="6653" width="5.140625" style="2" customWidth="1"/>
    <col min="6654" max="6655" width="17.5703125" style="2" customWidth="1"/>
    <col min="6656" max="6899" width="9.140625" style="2"/>
    <col min="6900" max="6900" width="3.5703125" style="2" customWidth="1"/>
    <col min="6901" max="6901" width="96.85546875" style="2" customWidth="1"/>
    <col min="6902" max="6902" width="30.85546875" style="2" customWidth="1"/>
    <col min="6903" max="6903" width="12.5703125" style="2" customWidth="1"/>
    <col min="6904" max="6904" width="5.140625" style="2" customWidth="1"/>
    <col min="6905" max="6905" width="9.140625" style="2"/>
    <col min="6906" max="6906" width="4.85546875" style="2" customWidth="1"/>
    <col min="6907" max="6907" width="30.5703125" style="2" customWidth="1"/>
    <col min="6908" max="6908" width="33.85546875" style="2" customWidth="1"/>
    <col min="6909" max="6909" width="5.140625" style="2" customWidth="1"/>
    <col min="6910" max="6911" width="17.5703125" style="2" customWidth="1"/>
    <col min="6912" max="7155" width="9.140625" style="2"/>
    <col min="7156" max="7156" width="3.5703125" style="2" customWidth="1"/>
    <col min="7157" max="7157" width="96.85546875" style="2" customWidth="1"/>
    <col min="7158" max="7158" width="30.85546875" style="2" customWidth="1"/>
    <col min="7159" max="7159" width="12.5703125" style="2" customWidth="1"/>
    <col min="7160" max="7160" width="5.140625" style="2" customWidth="1"/>
    <col min="7161" max="7161" width="9.140625" style="2"/>
    <col min="7162" max="7162" width="4.85546875" style="2" customWidth="1"/>
    <col min="7163" max="7163" width="30.5703125" style="2" customWidth="1"/>
    <col min="7164" max="7164" width="33.85546875" style="2" customWidth="1"/>
    <col min="7165" max="7165" width="5.140625" style="2" customWidth="1"/>
    <col min="7166" max="7167" width="17.5703125" style="2" customWidth="1"/>
    <col min="7168" max="7411" width="9.140625" style="2"/>
    <col min="7412" max="7412" width="3.5703125" style="2" customWidth="1"/>
    <col min="7413" max="7413" width="96.85546875" style="2" customWidth="1"/>
    <col min="7414" max="7414" width="30.85546875" style="2" customWidth="1"/>
    <col min="7415" max="7415" width="12.5703125" style="2" customWidth="1"/>
    <col min="7416" max="7416" width="5.140625" style="2" customWidth="1"/>
    <col min="7417" max="7417" width="9.140625" style="2"/>
    <col min="7418" max="7418" width="4.85546875" style="2" customWidth="1"/>
    <col min="7419" max="7419" width="30.5703125" style="2" customWidth="1"/>
    <col min="7420" max="7420" width="33.85546875" style="2" customWidth="1"/>
    <col min="7421" max="7421" width="5.140625" style="2" customWidth="1"/>
    <col min="7422" max="7423" width="17.5703125" style="2" customWidth="1"/>
    <col min="7424" max="7667" width="9.140625" style="2"/>
    <col min="7668" max="7668" width="3.5703125" style="2" customWidth="1"/>
    <col min="7669" max="7669" width="96.85546875" style="2" customWidth="1"/>
    <col min="7670" max="7670" width="30.85546875" style="2" customWidth="1"/>
    <col min="7671" max="7671" width="12.5703125" style="2" customWidth="1"/>
    <col min="7672" max="7672" width="5.140625" style="2" customWidth="1"/>
    <col min="7673" max="7673" width="9.140625" style="2"/>
    <col min="7674" max="7674" width="4.85546875" style="2" customWidth="1"/>
    <col min="7675" max="7675" width="30.5703125" style="2" customWidth="1"/>
    <col min="7676" max="7676" width="33.85546875" style="2" customWidth="1"/>
    <col min="7677" max="7677" width="5.140625" style="2" customWidth="1"/>
    <col min="7678" max="7679" width="17.5703125" style="2" customWidth="1"/>
    <col min="7680" max="7923" width="9.140625" style="2"/>
    <col min="7924" max="7924" width="3.5703125" style="2" customWidth="1"/>
    <col min="7925" max="7925" width="96.85546875" style="2" customWidth="1"/>
    <col min="7926" max="7926" width="30.85546875" style="2" customWidth="1"/>
    <col min="7927" max="7927" width="12.5703125" style="2" customWidth="1"/>
    <col min="7928" max="7928" width="5.140625" style="2" customWidth="1"/>
    <col min="7929" max="7929" width="9.140625" style="2"/>
    <col min="7930" max="7930" width="4.85546875" style="2" customWidth="1"/>
    <col min="7931" max="7931" width="30.5703125" style="2" customWidth="1"/>
    <col min="7932" max="7932" width="33.85546875" style="2" customWidth="1"/>
    <col min="7933" max="7933" width="5.140625" style="2" customWidth="1"/>
    <col min="7934" max="7935" width="17.5703125" style="2" customWidth="1"/>
    <col min="7936" max="8179" width="9.140625" style="2"/>
    <col min="8180" max="8180" width="3.5703125" style="2" customWidth="1"/>
    <col min="8181" max="8181" width="96.85546875" style="2" customWidth="1"/>
    <col min="8182" max="8182" width="30.85546875" style="2" customWidth="1"/>
    <col min="8183" max="8183" width="12.5703125" style="2" customWidth="1"/>
    <col min="8184" max="8184" width="5.140625" style="2" customWidth="1"/>
    <col min="8185" max="8185" width="9.140625" style="2"/>
    <col min="8186" max="8186" width="4.85546875" style="2" customWidth="1"/>
    <col min="8187" max="8187" width="30.5703125" style="2" customWidth="1"/>
    <col min="8188" max="8188" width="33.85546875" style="2" customWidth="1"/>
    <col min="8189" max="8189" width="5.140625" style="2" customWidth="1"/>
    <col min="8190" max="8191" width="17.5703125" style="2" customWidth="1"/>
    <col min="8192" max="8435" width="9.140625" style="2"/>
    <col min="8436" max="8436" width="3.5703125" style="2" customWidth="1"/>
    <col min="8437" max="8437" width="96.85546875" style="2" customWidth="1"/>
    <col min="8438" max="8438" width="30.85546875" style="2" customWidth="1"/>
    <col min="8439" max="8439" width="12.5703125" style="2" customWidth="1"/>
    <col min="8440" max="8440" width="5.140625" style="2" customWidth="1"/>
    <col min="8441" max="8441" width="9.140625" style="2"/>
    <col min="8442" max="8442" width="4.85546875" style="2" customWidth="1"/>
    <col min="8443" max="8443" width="30.5703125" style="2" customWidth="1"/>
    <col min="8444" max="8444" width="33.85546875" style="2" customWidth="1"/>
    <col min="8445" max="8445" width="5.140625" style="2" customWidth="1"/>
    <col min="8446" max="8447" width="17.5703125" style="2" customWidth="1"/>
    <col min="8448" max="8691" width="9.140625" style="2"/>
    <col min="8692" max="8692" width="3.5703125" style="2" customWidth="1"/>
    <col min="8693" max="8693" width="96.85546875" style="2" customWidth="1"/>
    <col min="8694" max="8694" width="30.85546875" style="2" customWidth="1"/>
    <col min="8695" max="8695" width="12.5703125" style="2" customWidth="1"/>
    <col min="8696" max="8696" width="5.140625" style="2" customWidth="1"/>
    <col min="8697" max="8697" width="9.140625" style="2"/>
    <col min="8698" max="8698" width="4.85546875" style="2" customWidth="1"/>
    <col min="8699" max="8699" width="30.5703125" style="2" customWidth="1"/>
    <col min="8700" max="8700" width="33.85546875" style="2" customWidth="1"/>
    <col min="8701" max="8701" width="5.140625" style="2" customWidth="1"/>
    <col min="8702" max="8703" width="17.5703125" style="2" customWidth="1"/>
    <col min="8704" max="8947" width="9.140625" style="2"/>
    <col min="8948" max="8948" width="3.5703125" style="2" customWidth="1"/>
    <col min="8949" max="8949" width="96.85546875" style="2" customWidth="1"/>
    <col min="8950" max="8950" width="30.85546875" style="2" customWidth="1"/>
    <col min="8951" max="8951" width="12.5703125" style="2" customWidth="1"/>
    <col min="8952" max="8952" width="5.140625" style="2" customWidth="1"/>
    <col min="8953" max="8953" width="9.140625" style="2"/>
    <col min="8954" max="8954" width="4.85546875" style="2" customWidth="1"/>
    <col min="8955" max="8955" width="30.5703125" style="2" customWidth="1"/>
    <col min="8956" max="8956" width="33.85546875" style="2" customWidth="1"/>
    <col min="8957" max="8957" width="5.140625" style="2" customWidth="1"/>
    <col min="8958" max="8959" width="17.5703125" style="2" customWidth="1"/>
    <col min="8960" max="9203" width="9.140625" style="2"/>
    <col min="9204" max="9204" width="3.5703125" style="2" customWidth="1"/>
    <col min="9205" max="9205" width="96.85546875" style="2" customWidth="1"/>
    <col min="9206" max="9206" width="30.85546875" style="2" customWidth="1"/>
    <col min="9207" max="9207" width="12.5703125" style="2" customWidth="1"/>
    <col min="9208" max="9208" width="5.140625" style="2" customWidth="1"/>
    <col min="9209" max="9209" width="9.140625" style="2"/>
    <col min="9210" max="9210" width="4.85546875" style="2" customWidth="1"/>
    <col min="9211" max="9211" width="30.5703125" style="2" customWidth="1"/>
    <col min="9212" max="9212" width="33.85546875" style="2" customWidth="1"/>
    <col min="9213" max="9213" width="5.140625" style="2" customWidth="1"/>
    <col min="9214" max="9215" width="17.5703125" style="2" customWidth="1"/>
    <col min="9216" max="9459" width="9.140625" style="2"/>
    <col min="9460" max="9460" width="3.5703125" style="2" customWidth="1"/>
    <col min="9461" max="9461" width="96.85546875" style="2" customWidth="1"/>
    <col min="9462" max="9462" width="30.85546875" style="2" customWidth="1"/>
    <col min="9463" max="9463" width="12.5703125" style="2" customWidth="1"/>
    <col min="9464" max="9464" width="5.140625" style="2" customWidth="1"/>
    <col min="9465" max="9465" width="9.140625" style="2"/>
    <col min="9466" max="9466" width="4.85546875" style="2" customWidth="1"/>
    <col min="9467" max="9467" width="30.5703125" style="2" customWidth="1"/>
    <col min="9468" max="9468" width="33.85546875" style="2" customWidth="1"/>
    <col min="9469" max="9469" width="5.140625" style="2" customWidth="1"/>
    <col min="9470" max="9471" width="17.5703125" style="2" customWidth="1"/>
    <col min="9472" max="9715" width="9.140625" style="2"/>
    <col min="9716" max="9716" width="3.5703125" style="2" customWidth="1"/>
    <col min="9717" max="9717" width="96.85546875" style="2" customWidth="1"/>
    <col min="9718" max="9718" width="30.85546875" style="2" customWidth="1"/>
    <col min="9719" max="9719" width="12.5703125" style="2" customWidth="1"/>
    <col min="9720" max="9720" width="5.140625" style="2" customWidth="1"/>
    <col min="9721" max="9721" width="9.140625" style="2"/>
    <col min="9722" max="9722" width="4.85546875" style="2" customWidth="1"/>
    <col min="9723" max="9723" width="30.5703125" style="2" customWidth="1"/>
    <col min="9724" max="9724" width="33.85546875" style="2" customWidth="1"/>
    <col min="9725" max="9725" width="5.140625" style="2" customWidth="1"/>
    <col min="9726" max="9727" width="17.5703125" style="2" customWidth="1"/>
    <col min="9728" max="9971" width="9.140625" style="2"/>
    <col min="9972" max="9972" width="3.5703125" style="2" customWidth="1"/>
    <col min="9973" max="9973" width="96.85546875" style="2" customWidth="1"/>
    <col min="9974" max="9974" width="30.85546875" style="2" customWidth="1"/>
    <col min="9975" max="9975" width="12.5703125" style="2" customWidth="1"/>
    <col min="9976" max="9976" width="5.140625" style="2" customWidth="1"/>
    <col min="9977" max="9977" width="9.140625" style="2"/>
    <col min="9978" max="9978" width="4.85546875" style="2" customWidth="1"/>
    <col min="9979" max="9979" width="30.5703125" style="2" customWidth="1"/>
    <col min="9980" max="9980" width="33.85546875" style="2" customWidth="1"/>
    <col min="9981" max="9981" width="5.140625" style="2" customWidth="1"/>
    <col min="9982" max="9983" width="17.5703125" style="2" customWidth="1"/>
    <col min="9984" max="10227" width="9.140625" style="2"/>
    <col min="10228" max="10228" width="3.5703125" style="2" customWidth="1"/>
    <col min="10229" max="10229" width="96.85546875" style="2" customWidth="1"/>
    <col min="10230" max="10230" width="30.85546875" style="2" customWidth="1"/>
    <col min="10231" max="10231" width="12.5703125" style="2" customWidth="1"/>
    <col min="10232" max="10232" width="5.140625" style="2" customWidth="1"/>
    <col min="10233" max="10233" width="9.140625" style="2"/>
    <col min="10234" max="10234" width="4.85546875" style="2" customWidth="1"/>
    <col min="10235" max="10235" width="30.5703125" style="2" customWidth="1"/>
    <col min="10236" max="10236" width="33.85546875" style="2" customWidth="1"/>
    <col min="10237" max="10237" width="5.140625" style="2" customWidth="1"/>
    <col min="10238" max="10239" width="17.5703125" style="2" customWidth="1"/>
    <col min="10240" max="10483" width="9.140625" style="2"/>
    <col min="10484" max="10484" width="3.5703125" style="2" customWidth="1"/>
    <col min="10485" max="10485" width="96.85546875" style="2" customWidth="1"/>
    <col min="10486" max="10486" width="30.85546875" style="2" customWidth="1"/>
    <col min="10487" max="10487" width="12.5703125" style="2" customWidth="1"/>
    <col min="10488" max="10488" width="5.140625" style="2" customWidth="1"/>
    <col min="10489" max="10489" width="9.140625" style="2"/>
    <col min="10490" max="10490" width="4.85546875" style="2" customWidth="1"/>
    <col min="10491" max="10491" width="30.5703125" style="2" customWidth="1"/>
    <col min="10492" max="10492" width="33.85546875" style="2" customWidth="1"/>
    <col min="10493" max="10493" width="5.140625" style="2" customWidth="1"/>
    <col min="10494" max="10495" width="17.5703125" style="2" customWidth="1"/>
    <col min="10496" max="10739" width="9.140625" style="2"/>
    <col min="10740" max="10740" width="3.5703125" style="2" customWidth="1"/>
    <col min="10741" max="10741" width="96.85546875" style="2" customWidth="1"/>
    <col min="10742" max="10742" width="30.85546875" style="2" customWidth="1"/>
    <col min="10743" max="10743" width="12.5703125" style="2" customWidth="1"/>
    <col min="10744" max="10744" width="5.140625" style="2" customWidth="1"/>
    <col min="10745" max="10745" width="9.140625" style="2"/>
    <col min="10746" max="10746" width="4.85546875" style="2" customWidth="1"/>
    <col min="10747" max="10747" width="30.5703125" style="2" customWidth="1"/>
    <col min="10748" max="10748" width="33.85546875" style="2" customWidth="1"/>
    <col min="10749" max="10749" width="5.140625" style="2" customWidth="1"/>
    <col min="10750" max="10751" width="17.5703125" style="2" customWidth="1"/>
    <col min="10752" max="10995" width="9.140625" style="2"/>
    <col min="10996" max="10996" width="3.5703125" style="2" customWidth="1"/>
    <col min="10997" max="10997" width="96.85546875" style="2" customWidth="1"/>
    <col min="10998" max="10998" width="30.85546875" style="2" customWidth="1"/>
    <col min="10999" max="10999" width="12.5703125" style="2" customWidth="1"/>
    <col min="11000" max="11000" width="5.140625" style="2" customWidth="1"/>
    <col min="11001" max="11001" width="9.140625" style="2"/>
    <col min="11002" max="11002" width="4.85546875" style="2" customWidth="1"/>
    <col min="11003" max="11003" width="30.5703125" style="2" customWidth="1"/>
    <col min="11004" max="11004" width="33.85546875" style="2" customWidth="1"/>
    <col min="11005" max="11005" width="5.140625" style="2" customWidth="1"/>
    <col min="11006" max="11007" width="17.5703125" style="2" customWidth="1"/>
    <col min="11008" max="11251" width="9.140625" style="2"/>
    <col min="11252" max="11252" width="3.5703125" style="2" customWidth="1"/>
    <col min="11253" max="11253" width="96.85546875" style="2" customWidth="1"/>
    <col min="11254" max="11254" width="30.85546875" style="2" customWidth="1"/>
    <col min="11255" max="11255" width="12.5703125" style="2" customWidth="1"/>
    <col min="11256" max="11256" width="5.140625" style="2" customWidth="1"/>
    <col min="11257" max="11257" width="9.140625" style="2"/>
    <col min="11258" max="11258" width="4.85546875" style="2" customWidth="1"/>
    <col min="11259" max="11259" width="30.5703125" style="2" customWidth="1"/>
    <col min="11260" max="11260" width="33.85546875" style="2" customWidth="1"/>
    <col min="11261" max="11261" width="5.140625" style="2" customWidth="1"/>
    <col min="11262" max="11263" width="17.5703125" style="2" customWidth="1"/>
    <col min="11264" max="11507" width="9.140625" style="2"/>
    <col min="11508" max="11508" width="3.5703125" style="2" customWidth="1"/>
    <col min="11509" max="11509" width="96.85546875" style="2" customWidth="1"/>
    <col min="11510" max="11510" width="30.85546875" style="2" customWidth="1"/>
    <col min="11511" max="11511" width="12.5703125" style="2" customWidth="1"/>
    <col min="11512" max="11512" width="5.140625" style="2" customWidth="1"/>
    <col min="11513" max="11513" width="9.140625" style="2"/>
    <col min="11514" max="11514" width="4.85546875" style="2" customWidth="1"/>
    <col min="11515" max="11515" width="30.5703125" style="2" customWidth="1"/>
    <col min="11516" max="11516" width="33.85546875" style="2" customWidth="1"/>
    <col min="11517" max="11517" width="5.140625" style="2" customWidth="1"/>
    <col min="11518" max="11519" width="17.5703125" style="2" customWidth="1"/>
    <col min="11520" max="11763" width="9.140625" style="2"/>
    <col min="11764" max="11764" width="3.5703125" style="2" customWidth="1"/>
    <col min="11765" max="11765" width="96.85546875" style="2" customWidth="1"/>
    <col min="11766" max="11766" width="30.85546875" style="2" customWidth="1"/>
    <col min="11767" max="11767" width="12.5703125" style="2" customWidth="1"/>
    <col min="11768" max="11768" width="5.140625" style="2" customWidth="1"/>
    <col min="11769" max="11769" width="9.140625" style="2"/>
    <col min="11770" max="11770" width="4.85546875" style="2" customWidth="1"/>
    <col min="11771" max="11771" width="30.5703125" style="2" customWidth="1"/>
    <col min="11772" max="11772" width="33.85546875" style="2" customWidth="1"/>
    <col min="11773" max="11773" width="5.140625" style="2" customWidth="1"/>
    <col min="11774" max="11775" width="17.5703125" style="2" customWidth="1"/>
    <col min="11776" max="12019" width="9.140625" style="2"/>
    <col min="12020" max="12020" width="3.5703125" style="2" customWidth="1"/>
    <col min="12021" max="12021" width="96.85546875" style="2" customWidth="1"/>
    <col min="12022" max="12022" width="30.85546875" style="2" customWidth="1"/>
    <col min="12023" max="12023" width="12.5703125" style="2" customWidth="1"/>
    <col min="12024" max="12024" width="5.140625" style="2" customWidth="1"/>
    <col min="12025" max="12025" width="9.140625" style="2"/>
    <col min="12026" max="12026" width="4.85546875" style="2" customWidth="1"/>
    <col min="12027" max="12027" width="30.5703125" style="2" customWidth="1"/>
    <col min="12028" max="12028" width="33.85546875" style="2" customWidth="1"/>
    <col min="12029" max="12029" width="5.140625" style="2" customWidth="1"/>
    <col min="12030" max="12031" width="17.5703125" style="2" customWidth="1"/>
    <col min="12032" max="12275" width="9.140625" style="2"/>
    <col min="12276" max="12276" width="3.5703125" style="2" customWidth="1"/>
    <col min="12277" max="12277" width="96.85546875" style="2" customWidth="1"/>
    <col min="12278" max="12278" width="30.85546875" style="2" customWidth="1"/>
    <col min="12279" max="12279" width="12.5703125" style="2" customWidth="1"/>
    <col min="12280" max="12280" width="5.140625" style="2" customWidth="1"/>
    <col min="12281" max="12281" width="9.140625" style="2"/>
    <col min="12282" max="12282" width="4.85546875" style="2" customWidth="1"/>
    <col min="12283" max="12283" width="30.5703125" style="2" customWidth="1"/>
    <col min="12284" max="12284" width="33.85546875" style="2" customWidth="1"/>
    <col min="12285" max="12285" width="5.140625" style="2" customWidth="1"/>
    <col min="12286" max="12287" width="17.5703125" style="2" customWidth="1"/>
    <col min="12288" max="12531" width="9.140625" style="2"/>
    <col min="12532" max="12532" width="3.5703125" style="2" customWidth="1"/>
    <col min="12533" max="12533" width="96.85546875" style="2" customWidth="1"/>
    <col min="12534" max="12534" width="30.85546875" style="2" customWidth="1"/>
    <col min="12535" max="12535" width="12.5703125" style="2" customWidth="1"/>
    <col min="12536" max="12536" width="5.140625" style="2" customWidth="1"/>
    <col min="12537" max="12537" width="9.140625" style="2"/>
    <col min="12538" max="12538" width="4.85546875" style="2" customWidth="1"/>
    <col min="12539" max="12539" width="30.5703125" style="2" customWidth="1"/>
    <col min="12540" max="12540" width="33.85546875" style="2" customWidth="1"/>
    <col min="12541" max="12541" width="5.140625" style="2" customWidth="1"/>
    <col min="12542" max="12543" width="17.5703125" style="2" customWidth="1"/>
    <col min="12544" max="12787" width="9.140625" style="2"/>
    <col min="12788" max="12788" width="3.5703125" style="2" customWidth="1"/>
    <col min="12789" max="12789" width="96.85546875" style="2" customWidth="1"/>
    <col min="12790" max="12790" width="30.85546875" style="2" customWidth="1"/>
    <col min="12791" max="12791" width="12.5703125" style="2" customWidth="1"/>
    <col min="12792" max="12792" width="5.140625" style="2" customWidth="1"/>
    <col min="12793" max="12793" width="9.140625" style="2"/>
    <col min="12794" max="12794" width="4.85546875" style="2" customWidth="1"/>
    <col min="12795" max="12795" width="30.5703125" style="2" customWidth="1"/>
    <col min="12796" max="12796" width="33.85546875" style="2" customWidth="1"/>
    <col min="12797" max="12797" width="5.140625" style="2" customWidth="1"/>
    <col min="12798" max="12799" width="17.5703125" style="2" customWidth="1"/>
    <col min="12800" max="13043" width="9.140625" style="2"/>
    <col min="13044" max="13044" width="3.5703125" style="2" customWidth="1"/>
    <col min="13045" max="13045" width="96.85546875" style="2" customWidth="1"/>
    <col min="13046" max="13046" width="30.85546875" style="2" customWidth="1"/>
    <col min="13047" max="13047" width="12.5703125" style="2" customWidth="1"/>
    <col min="13048" max="13048" width="5.140625" style="2" customWidth="1"/>
    <col min="13049" max="13049" width="9.140625" style="2"/>
    <col min="13050" max="13050" width="4.85546875" style="2" customWidth="1"/>
    <col min="13051" max="13051" width="30.5703125" style="2" customWidth="1"/>
    <col min="13052" max="13052" width="33.85546875" style="2" customWidth="1"/>
    <col min="13053" max="13053" width="5.140625" style="2" customWidth="1"/>
    <col min="13054" max="13055" width="17.5703125" style="2" customWidth="1"/>
    <col min="13056" max="13299" width="9.140625" style="2"/>
    <col min="13300" max="13300" width="3.5703125" style="2" customWidth="1"/>
    <col min="13301" max="13301" width="96.85546875" style="2" customWidth="1"/>
    <col min="13302" max="13302" width="30.85546875" style="2" customWidth="1"/>
    <col min="13303" max="13303" width="12.5703125" style="2" customWidth="1"/>
    <col min="13304" max="13304" width="5.140625" style="2" customWidth="1"/>
    <col min="13305" max="13305" width="9.140625" style="2"/>
    <col min="13306" max="13306" width="4.85546875" style="2" customWidth="1"/>
    <col min="13307" max="13307" width="30.5703125" style="2" customWidth="1"/>
    <col min="13308" max="13308" width="33.85546875" style="2" customWidth="1"/>
    <col min="13309" max="13309" width="5.140625" style="2" customWidth="1"/>
    <col min="13310" max="13311" width="17.5703125" style="2" customWidth="1"/>
    <col min="13312" max="13555" width="9.140625" style="2"/>
    <col min="13556" max="13556" width="3.5703125" style="2" customWidth="1"/>
    <col min="13557" max="13557" width="96.85546875" style="2" customWidth="1"/>
    <col min="13558" max="13558" width="30.85546875" style="2" customWidth="1"/>
    <col min="13559" max="13559" width="12.5703125" style="2" customWidth="1"/>
    <col min="13560" max="13560" width="5.140625" style="2" customWidth="1"/>
    <col min="13561" max="13561" width="9.140625" style="2"/>
    <col min="13562" max="13562" width="4.85546875" style="2" customWidth="1"/>
    <col min="13563" max="13563" width="30.5703125" style="2" customWidth="1"/>
    <col min="13564" max="13564" width="33.85546875" style="2" customWidth="1"/>
    <col min="13565" max="13565" width="5.140625" style="2" customWidth="1"/>
    <col min="13566" max="13567" width="17.5703125" style="2" customWidth="1"/>
    <col min="13568" max="13811" width="9.140625" style="2"/>
    <col min="13812" max="13812" width="3.5703125" style="2" customWidth="1"/>
    <col min="13813" max="13813" width="96.85546875" style="2" customWidth="1"/>
    <col min="13814" max="13814" width="30.85546875" style="2" customWidth="1"/>
    <col min="13815" max="13815" width="12.5703125" style="2" customWidth="1"/>
    <col min="13816" max="13816" width="5.140625" style="2" customWidth="1"/>
    <col min="13817" max="13817" width="9.140625" style="2"/>
    <col min="13818" max="13818" width="4.85546875" style="2" customWidth="1"/>
    <col min="13819" max="13819" width="30.5703125" style="2" customWidth="1"/>
    <col min="13820" max="13820" width="33.85546875" style="2" customWidth="1"/>
    <col min="13821" max="13821" width="5.140625" style="2" customWidth="1"/>
    <col min="13822" max="13823" width="17.5703125" style="2" customWidth="1"/>
    <col min="13824" max="14067" width="9.140625" style="2"/>
    <col min="14068" max="14068" width="3.5703125" style="2" customWidth="1"/>
    <col min="14069" max="14069" width="96.85546875" style="2" customWidth="1"/>
    <col min="14070" max="14070" width="30.85546875" style="2" customWidth="1"/>
    <col min="14071" max="14071" width="12.5703125" style="2" customWidth="1"/>
    <col min="14072" max="14072" width="5.140625" style="2" customWidth="1"/>
    <col min="14073" max="14073" width="9.140625" style="2"/>
    <col min="14074" max="14074" width="4.85546875" style="2" customWidth="1"/>
    <col min="14075" max="14075" width="30.5703125" style="2" customWidth="1"/>
    <col min="14076" max="14076" width="33.85546875" style="2" customWidth="1"/>
    <col min="14077" max="14077" width="5.140625" style="2" customWidth="1"/>
    <col min="14078" max="14079" width="17.5703125" style="2" customWidth="1"/>
    <col min="14080" max="14323" width="9.140625" style="2"/>
    <col min="14324" max="14324" width="3.5703125" style="2" customWidth="1"/>
    <col min="14325" max="14325" width="96.85546875" style="2" customWidth="1"/>
    <col min="14326" max="14326" width="30.85546875" style="2" customWidth="1"/>
    <col min="14327" max="14327" width="12.5703125" style="2" customWidth="1"/>
    <col min="14328" max="14328" width="5.140625" style="2" customWidth="1"/>
    <col min="14329" max="14329" width="9.140625" style="2"/>
    <col min="14330" max="14330" width="4.85546875" style="2" customWidth="1"/>
    <col min="14331" max="14331" width="30.5703125" style="2" customWidth="1"/>
    <col min="14332" max="14332" width="33.85546875" style="2" customWidth="1"/>
    <col min="14333" max="14333" width="5.140625" style="2" customWidth="1"/>
    <col min="14334" max="14335" width="17.5703125" style="2" customWidth="1"/>
    <col min="14336" max="14579" width="9.140625" style="2"/>
    <col min="14580" max="14580" width="3.5703125" style="2" customWidth="1"/>
    <col min="14581" max="14581" width="96.85546875" style="2" customWidth="1"/>
    <col min="14582" max="14582" width="30.85546875" style="2" customWidth="1"/>
    <col min="14583" max="14583" width="12.5703125" style="2" customWidth="1"/>
    <col min="14584" max="14584" width="5.140625" style="2" customWidth="1"/>
    <col min="14585" max="14585" width="9.140625" style="2"/>
    <col min="14586" max="14586" width="4.85546875" style="2" customWidth="1"/>
    <col min="14587" max="14587" width="30.5703125" style="2" customWidth="1"/>
    <col min="14588" max="14588" width="33.85546875" style="2" customWidth="1"/>
    <col min="14589" max="14589" width="5.140625" style="2" customWidth="1"/>
    <col min="14590" max="14591" width="17.5703125" style="2" customWidth="1"/>
    <col min="14592" max="14835" width="9.140625" style="2"/>
    <col min="14836" max="14836" width="3.5703125" style="2" customWidth="1"/>
    <col min="14837" max="14837" width="96.85546875" style="2" customWidth="1"/>
    <col min="14838" max="14838" width="30.85546875" style="2" customWidth="1"/>
    <col min="14839" max="14839" width="12.5703125" style="2" customWidth="1"/>
    <col min="14840" max="14840" width="5.140625" style="2" customWidth="1"/>
    <col min="14841" max="14841" width="9.140625" style="2"/>
    <col min="14842" max="14842" width="4.85546875" style="2" customWidth="1"/>
    <col min="14843" max="14843" width="30.5703125" style="2" customWidth="1"/>
    <col min="14844" max="14844" width="33.85546875" style="2" customWidth="1"/>
    <col min="14845" max="14845" width="5.140625" style="2" customWidth="1"/>
    <col min="14846" max="14847" width="17.5703125" style="2" customWidth="1"/>
    <col min="14848" max="15091" width="9.140625" style="2"/>
    <col min="15092" max="15092" width="3.5703125" style="2" customWidth="1"/>
    <col min="15093" max="15093" width="96.85546875" style="2" customWidth="1"/>
    <col min="15094" max="15094" width="30.85546875" style="2" customWidth="1"/>
    <col min="15095" max="15095" width="12.5703125" style="2" customWidth="1"/>
    <col min="15096" max="15096" width="5.140625" style="2" customWidth="1"/>
    <col min="15097" max="15097" width="9.140625" style="2"/>
    <col min="15098" max="15098" width="4.85546875" style="2" customWidth="1"/>
    <col min="15099" max="15099" width="30.5703125" style="2" customWidth="1"/>
    <col min="15100" max="15100" width="33.85546875" style="2" customWidth="1"/>
    <col min="15101" max="15101" width="5.140625" style="2" customWidth="1"/>
    <col min="15102" max="15103" width="17.5703125" style="2" customWidth="1"/>
    <col min="15104" max="15347" width="9.140625" style="2"/>
    <col min="15348" max="15348" width="3.5703125" style="2" customWidth="1"/>
    <col min="15349" max="15349" width="96.85546875" style="2" customWidth="1"/>
    <col min="15350" max="15350" width="30.85546875" style="2" customWidth="1"/>
    <col min="15351" max="15351" width="12.5703125" style="2" customWidth="1"/>
    <col min="15352" max="15352" width="5.140625" style="2" customWidth="1"/>
    <col min="15353" max="15353" width="9.140625" style="2"/>
    <col min="15354" max="15354" width="4.85546875" style="2" customWidth="1"/>
    <col min="15355" max="15355" width="30.5703125" style="2" customWidth="1"/>
    <col min="15356" max="15356" width="33.85546875" style="2" customWidth="1"/>
    <col min="15357" max="15357" width="5.140625" style="2" customWidth="1"/>
    <col min="15358" max="15359" width="17.5703125" style="2" customWidth="1"/>
    <col min="15360" max="15603" width="9.140625" style="2"/>
    <col min="15604" max="15604" width="3.5703125" style="2" customWidth="1"/>
    <col min="15605" max="15605" width="96.85546875" style="2" customWidth="1"/>
    <col min="15606" max="15606" width="30.85546875" style="2" customWidth="1"/>
    <col min="15607" max="15607" width="12.5703125" style="2" customWidth="1"/>
    <col min="15608" max="15608" width="5.140625" style="2" customWidth="1"/>
    <col min="15609" max="15609" width="9.140625" style="2"/>
    <col min="15610" max="15610" width="4.85546875" style="2" customWidth="1"/>
    <col min="15611" max="15611" width="30.5703125" style="2" customWidth="1"/>
    <col min="15612" max="15612" width="33.85546875" style="2" customWidth="1"/>
    <col min="15613" max="15613" width="5.140625" style="2" customWidth="1"/>
    <col min="15614" max="15615" width="17.5703125" style="2" customWidth="1"/>
    <col min="15616" max="15859" width="9.140625" style="2"/>
    <col min="15860" max="15860" width="3.5703125" style="2" customWidth="1"/>
    <col min="15861" max="15861" width="96.85546875" style="2" customWidth="1"/>
    <col min="15862" max="15862" width="30.85546875" style="2" customWidth="1"/>
    <col min="15863" max="15863" width="12.5703125" style="2" customWidth="1"/>
    <col min="15864" max="15864" width="5.140625" style="2" customWidth="1"/>
    <col min="15865" max="15865" width="9.140625" style="2"/>
    <col min="15866" max="15866" width="4.85546875" style="2" customWidth="1"/>
    <col min="15867" max="15867" width="30.5703125" style="2" customWidth="1"/>
    <col min="15868" max="15868" width="33.85546875" style="2" customWidth="1"/>
    <col min="15869" max="15869" width="5.140625" style="2" customWidth="1"/>
    <col min="15870" max="15871" width="17.5703125" style="2" customWidth="1"/>
    <col min="15872" max="16115" width="9.140625" style="2"/>
    <col min="16116" max="16116" width="3.5703125" style="2" customWidth="1"/>
    <col min="16117" max="16117" width="96.85546875" style="2" customWidth="1"/>
    <col min="16118" max="16118" width="30.85546875" style="2" customWidth="1"/>
    <col min="16119" max="16119" width="12.5703125" style="2" customWidth="1"/>
    <col min="16120" max="16120" width="5.140625" style="2" customWidth="1"/>
    <col min="16121" max="16121" width="9.140625" style="2"/>
    <col min="16122" max="16122" width="4.85546875" style="2" customWidth="1"/>
    <col min="16123" max="16123" width="30.5703125" style="2" customWidth="1"/>
    <col min="16124" max="16124" width="33.85546875" style="2" customWidth="1"/>
    <col min="16125" max="16125" width="5.140625" style="2" customWidth="1"/>
    <col min="16126" max="16127" width="17.5703125" style="2" customWidth="1"/>
    <col min="16128" max="16384" width="9.140625" style="2"/>
  </cols>
  <sheetData>
    <row r="1" spans="1:3" ht="48" customHeight="1" x14ac:dyDescent="0.2">
      <c r="A1" s="1"/>
      <c r="B1" s="143" t="s">
        <v>0</v>
      </c>
      <c r="C1" s="143"/>
    </row>
    <row r="2" spans="1:3" x14ac:dyDescent="0.2">
      <c r="A2" s="3"/>
      <c r="B2" s="4" t="s">
        <v>1</v>
      </c>
      <c r="C2" s="5">
        <v>46052</v>
      </c>
    </row>
    <row r="3" spans="1:3" x14ac:dyDescent="0.2">
      <c r="A3" s="3"/>
      <c r="B3" s="6" t="s">
        <v>2</v>
      </c>
    </row>
    <row r="4" spans="1:3" ht="25.5" x14ac:dyDescent="0.2">
      <c r="A4" s="8"/>
      <c r="B4" s="9" t="str">
        <f>[34]И1!D13</f>
        <v>Субъект Российской Федерации</v>
      </c>
      <c r="C4" s="10" t="str">
        <f>[34]И1!E13</f>
        <v>Новосибирская область</v>
      </c>
    </row>
    <row r="5" spans="1:3" ht="51.75" customHeight="1" x14ac:dyDescent="0.2">
      <c r="A5" s="8"/>
      <c r="B5" s="9" t="str">
        <f>[34]И1!D14</f>
        <v>Тип муниципального образования (выберите из списка)</v>
      </c>
      <c r="C5" s="10" t="str">
        <f>[35]И1!E14</f>
        <v>село Усть-Чем, Искитимский муниципальный район</v>
      </c>
    </row>
    <row r="6" spans="1:3" x14ac:dyDescent="0.2">
      <c r="A6" s="8"/>
      <c r="B6" s="9" t="str">
        <f>IF([34]И1!E15="","",[34]И1!D15)</f>
        <v/>
      </c>
      <c r="C6" s="10">
        <f>IF([34]И1!E15="","",[34]И1!E15)</f>
        <v>0</v>
      </c>
    </row>
    <row r="7" spans="1:3" x14ac:dyDescent="0.2">
      <c r="A7" s="8"/>
      <c r="B7" s="9" t="str">
        <f>[34]И1!D16</f>
        <v>Код ОКТМО</v>
      </c>
      <c r="C7" s="11" t="str">
        <f>[35]И1!E16</f>
        <v xml:space="preserve"> (50615434101)</v>
      </c>
    </row>
    <row r="8" spans="1:3" x14ac:dyDescent="0.2">
      <c r="A8" s="8"/>
      <c r="B8" s="12" t="str">
        <f>[34]И1!D17</f>
        <v>Система теплоснабжения</v>
      </c>
      <c r="C8" s="13">
        <f>[34]И1!E17</f>
        <v>0</v>
      </c>
    </row>
    <row r="9" spans="1:3" x14ac:dyDescent="0.2">
      <c r="A9" s="8"/>
      <c r="B9" s="9" t="str">
        <f>[34]И1!D8</f>
        <v>Период регулирования (i)-й</v>
      </c>
      <c r="C9" s="14">
        <f>[34]И1!E8</f>
        <v>2026</v>
      </c>
    </row>
    <row r="10" spans="1:3" x14ac:dyDescent="0.2">
      <c r="A10" s="8"/>
      <c r="B10" s="9" t="str">
        <f>[34]И1!D9</f>
        <v>Период регулирования (i-1)-й</v>
      </c>
      <c r="C10" s="14">
        <f>[34]И1!E9</f>
        <v>2025</v>
      </c>
    </row>
    <row r="11" spans="1:3" x14ac:dyDescent="0.2">
      <c r="A11" s="8"/>
      <c r="B11" s="9" t="str">
        <f>[34]И1!D10</f>
        <v>Период регулирования (i-2)-й</v>
      </c>
      <c r="C11" s="14">
        <f>[34]И1!E10</f>
        <v>2024</v>
      </c>
    </row>
    <row r="12" spans="1:3" x14ac:dyDescent="0.2">
      <c r="A12" s="8"/>
      <c r="B12" s="9" t="str">
        <f>[34]И1!D11</f>
        <v>Базовый год (б)</v>
      </c>
      <c r="C12" s="14">
        <f>[34]И1!E11</f>
        <v>2019</v>
      </c>
    </row>
    <row r="13" spans="1:3" x14ac:dyDescent="0.2">
      <c r="A13" s="8"/>
      <c r="B13" s="9" t="str">
        <f>[34]И1!D18</f>
        <v>Вид топлива, использование которого преобладает в системе теплоснабжения</v>
      </c>
      <c r="C13" s="15" t="str">
        <f>[34]С1.1!E13</f>
        <v>каменный уголь</v>
      </c>
    </row>
    <row r="14" spans="1:3" ht="31.7" customHeight="1" thickBot="1" x14ac:dyDescent="0.25">
      <c r="A14" s="142" t="s">
        <v>3</v>
      </c>
      <c r="B14" s="142"/>
      <c r="C14" s="142"/>
    </row>
    <row r="15" spans="1:3" x14ac:dyDescent="0.2">
      <c r="A15" s="16" t="s">
        <v>4</v>
      </c>
      <c r="B15" s="17" t="s">
        <v>5</v>
      </c>
      <c r="C15" s="18" t="s">
        <v>6</v>
      </c>
    </row>
    <row r="16" spans="1:3" x14ac:dyDescent="0.2">
      <c r="A16" s="19">
        <v>1</v>
      </c>
      <c r="B16" s="20">
        <v>2</v>
      </c>
      <c r="C16" s="21">
        <v>3</v>
      </c>
    </row>
    <row r="17" spans="1:3" x14ac:dyDescent="0.2">
      <c r="A17" s="22">
        <v>1</v>
      </c>
      <c r="B17" s="23" t="s">
        <v>7</v>
      </c>
      <c r="C17" s="24">
        <f>SUM(C18:C22)</f>
        <v>5384.5132238121696</v>
      </c>
    </row>
    <row r="18" spans="1:3" ht="42.75" x14ac:dyDescent="0.2">
      <c r="A18" s="22" t="s">
        <v>8</v>
      </c>
      <c r="B18" s="25" t="s">
        <v>9</v>
      </c>
      <c r="C18" s="26">
        <f>[34]С1!F12</f>
        <v>720.34893333841308</v>
      </c>
    </row>
    <row r="19" spans="1:3" ht="42.75" x14ac:dyDescent="0.2">
      <c r="A19" s="22" t="s">
        <v>10</v>
      </c>
      <c r="B19" s="25" t="s">
        <v>11</v>
      </c>
      <c r="C19" s="26">
        <f>[34]С2!F12</f>
        <v>3097.7824122172187</v>
      </c>
    </row>
    <row r="20" spans="1:3" ht="30" x14ac:dyDescent="0.2">
      <c r="A20" s="22" t="s">
        <v>12</v>
      </c>
      <c r="B20" s="25" t="s">
        <v>13</v>
      </c>
      <c r="C20" s="26">
        <f>[34]С3!F12</f>
        <v>940.47266370947932</v>
      </c>
    </row>
    <row r="21" spans="1:3" ht="42.75" x14ac:dyDescent="0.2">
      <c r="A21" s="22" t="s">
        <v>14</v>
      </c>
      <c r="B21" s="25" t="s">
        <v>15</v>
      </c>
      <c r="C21" s="26">
        <f>[34]С4!F12</f>
        <v>520.33052388407441</v>
      </c>
    </row>
    <row r="22" spans="1:3" ht="30" x14ac:dyDescent="0.2">
      <c r="A22" s="22" t="s">
        <v>16</v>
      </c>
      <c r="B22" s="25" t="s">
        <v>17</v>
      </c>
      <c r="C22" s="26">
        <f>[34]С5!F12</f>
        <v>105.57869066298372</v>
      </c>
    </row>
    <row r="23" spans="1:3" ht="43.5" thickBot="1" x14ac:dyDescent="0.25">
      <c r="A23" s="27" t="s">
        <v>18</v>
      </c>
      <c r="B23" s="140" t="s">
        <v>19</v>
      </c>
      <c r="C23" s="28" t="str">
        <f>[34]С6!F12</f>
        <v>-</v>
      </c>
    </row>
    <row r="24" spans="1:3" ht="13.5" thickBot="1" x14ac:dyDescent="0.25">
      <c r="A24" s="3"/>
    </row>
    <row r="25" spans="1:3" x14ac:dyDescent="0.2">
      <c r="A25" s="16" t="s">
        <v>4</v>
      </c>
      <c r="B25" s="29" t="s">
        <v>5</v>
      </c>
      <c r="C25" s="30" t="s">
        <v>6</v>
      </c>
    </row>
    <row r="26" spans="1:3" x14ac:dyDescent="0.2">
      <c r="A26" s="19">
        <v>1</v>
      </c>
      <c r="B26" s="31">
        <v>2</v>
      </c>
      <c r="C26" s="32">
        <v>3</v>
      </c>
    </row>
    <row r="27" spans="1:3" ht="39.75" customHeight="1" x14ac:dyDescent="0.2">
      <c r="A27" s="22">
        <v>1</v>
      </c>
      <c r="B27" s="144" t="s">
        <v>20</v>
      </c>
      <c r="C27" s="144"/>
    </row>
    <row r="28" spans="1:3" ht="128.25" customHeight="1" x14ac:dyDescent="0.2">
      <c r="A28" s="22" t="s">
        <v>8</v>
      </c>
      <c r="B28" s="33" t="s">
        <v>21</v>
      </c>
      <c r="C28" s="34">
        <f>[34]С1.1!E16</f>
        <v>5100</v>
      </c>
    </row>
    <row r="29" spans="1:3" ht="57.75" customHeight="1" x14ac:dyDescent="0.2">
      <c r="A29" s="22" t="s">
        <v>10</v>
      </c>
      <c r="B29" s="33" t="s">
        <v>22</v>
      </c>
      <c r="C29" s="34">
        <f>[34]С1.1!E27</f>
        <v>3098</v>
      </c>
    </row>
    <row r="30" spans="1:3" ht="261.75" customHeight="1" x14ac:dyDescent="0.2">
      <c r="A30" s="22" t="s">
        <v>12</v>
      </c>
      <c r="B30" s="33" t="s">
        <v>23</v>
      </c>
      <c r="C30" s="35">
        <f>[34]С1.1!E19</f>
        <v>-0.11899999999999999</v>
      </c>
    </row>
    <row r="31" spans="1:3" ht="17.25" x14ac:dyDescent="0.2">
      <c r="A31" s="22" t="s">
        <v>14</v>
      </c>
      <c r="B31" s="33" t="s">
        <v>24</v>
      </c>
      <c r="C31" s="35">
        <f>[34]С1.1!E20</f>
        <v>4.0000000000000001E-3</v>
      </c>
    </row>
    <row r="32" spans="1:3" ht="30" x14ac:dyDescent="0.2">
      <c r="A32" s="22" t="s">
        <v>16</v>
      </c>
      <c r="B32" s="36" t="s">
        <v>25</v>
      </c>
      <c r="C32" s="37">
        <f>[34]С1!F13</f>
        <v>176.4</v>
      </c>
    </row>
    <row r="33" spans="1:3" x14ac:dyDescent="0.2">
      <c r="A33" s="22" t="s">
        <v>18</v>
      </c>
      <c r="B33" s="36" t="s">
        <v>26</v>
      </c>
      <c r="C33" s="38">
        <f>[34]С1!F16</f>
        <v>7000</v>
      </c>
    </row>
    <row r="34" spans="1:3" ht="14.25" x14ac:dyDescent="0.2">
      <c r="A34" s="22" t="s">
        <v>27</v>
      </c>
      <c r="B34" s="39" t="s">
        <v>28</v>
      </c>
      <c r="C34" s="40">
        <f>[34]С1!F17</f>
        <v>0.72857142857142854</v>
      </c>
    </row>
    <row r="35" spans="1:3" ht="15.75" x14ac:dyDescent="0.2">
      <c r="A35" s="41" t="s">
        <v>29</v>
      </c>
      <c r="B35" s="42" t="s">
        <v>30</v>
      </c>
      <c r="C35" s="40">
        <f>[34]С1!F20</f>
        <v>21.588411179999994</v>
      </c>
    </row>
    <row r="36" spans="1:3" ht="15.75" x14ac:dyDescent="0.2">
      <c r="A36" s="41" t="s">
        <v>31</v>
      </c>
      <c r="B36" s="43" t="s">
        <v>32</v>
      </c>
      <c r="C36" s="40">
        <f>[34]С1!F21</f>
        <v>20.818139999999996</v>
      </c>
    </row>
    <row r="37" spans="1:3" ht="14.25" x14ac:dyDescent="0.2">
      <c r="A37" s="41" t="s">
        <v>33</v>
      </c>
      <c r="B37" s="44" t="s">
        <v>34</v>
      </c>
      <c r="C37" s="40">
        <f>[34]С1!F22</f>
        <v>1.0369999999999999</v>
      </c>
    </row>
    <row r="38" spans="1:3" ht="53.25" thickBot="1" x14ac:dyDescent="0.25">
      <c r="A38" s="27" t="s">
        <v>35</v>
      </c>
      <c r="B38" s="45" t="s">
        <v>36</v>
      </c>
      <c r="C38" s="46">
        <f>[34]С1!F23</f>
        <v>1.0469999999999999</v>
      </c>
    </row>
    <row r="39" spans="1:3" ht="13.5" thickBot="1" x14ac:dyDescent="0.25">
      <c r="A39" s="47"/>
      <c r="B39" s="48"/>
      <c r="C39" s="49"/>
    </row>
    <row r="40" spans="1:3" ht="30" customHeight="1" x14ac:dyDescent="0.2">
      <c r="A40" s="50" t="s">
        <v>37</v>
      </c>
      <c r="B40" s="145" t="s">
        <v>38</v>
      </c>
      <c r="C40" s="145"/>
    </row>
    <row r="41" spans="1:3" ht="25.5" x14ac:dyDescent="0.2">
      <c r="A41" s="22" t="s">
        <v>39</v>
      </c>
      <c r="B41" s="36" t="s">
        <v>40</v>
      </c>
      <c r="C41" s="51" t="str">
        <f>[34]С2.1!E12</f>
        <v>V</v>
      </c>
    </row>
    <row r="42" spans="1:3" ht="233.25" customHeight="1" x14ac:dyDescent="0.2">
      <c r="A42" s="22" t="s">
        <v>41</v>
      </c>
      <c r="B42" s="33" t="s">
        <v>42</v>
      </c>
      <c r="C42" s="51" t="str">
        <f>[34]С2.1!E13</f>
        <v>6 и менее баллов</v>
      </c>
    </row>
    <row r="43" spans="1:3" ht="144.75" customHeight="1" x14ac:dyDescent="0.2">
      <c r="A43" s="22" t="s">
        <v>43</v>
      </c>
      <c r="B43" s="33" t="s">
        <v>44</v>
      </c>
      <c r="C43" s="51" t="str">
        <f>[34]С2.1!E14</f>
        <v>от 200 до 500</v>
      </c>
    </row>
    <row r="44" spans="1:3" ht="25.5" x14ac:dyDescent="0.2">
      <c r="A44" s="22" t="s">
        <v>45</v>
      </c>
      <c r="B44" s="33" t="s">
        <v>46</v>
      </c>
      <c r="C44" s="52" t="str">
        <f>[34]С2.1!E15</f>
        <v>нет</v>
      </c>
    </row>
    <row r="45" spans="1:3" ht="30" x14ac:dyDescent="0.2">
      <c r="A45" s="22" t="s">
        <v>47</v>
      </c>
      <c r="B45" s="33" t="s">
        <v>48</v>
      </c>
      <c r="C45" s="34">
        <f>[34]С2!F18</f>
        <v>40220.845230503684</v>
      </c>
    </row>
    <row r="46" spans="1:3" ht="30" x14ac:dyDescent="0.2">
      <c r="A46" s="22" t="s">
        <v>49</v>
      </c>
      <c r="B46" s="53" t="s">
        <v>50</v>
      </c>
      <c r="C46" s="34">
        <f>IF([34]С2!F19&gt;0,[34]С2!F19,[34]С2!F20)</f>
        <v>23441.524932855718</v>
      </c>
    </row>
    <row r="47" spans="1:3" ht="46.5" customHeight="1" x14ac:dyDescent="0.2">
      <c r="A47" s="22" t="s">
        <v>51</v>
      </c>
      <c r="B47" s="54" t="s">
        <v>52</v>
      </c>
      <c r="C47" s="34">
        <f>[34]С2.1!E19</f>
        <v>-38</v>
      </c>
    </row>
    <row r="48" spans="1:3" ht="25.5" x14ac:dyDescent="0.2">
      <c r="A48" s="22" t="s">
        <v>53</v>
      </c>
      <c r="B48" s="54" t="s">
        <v>54</v>
      </c>
      <c r="C48" s="34" t="str">
        <f>[34]С2.1!E22</f>
        <v>нет</v>
      </c>
    </row>
    <row r="49" spans="1:3" ht="38.25" x14ac:dyDescent="0.2">
      <c r="A49" s="22" t="s">
        <v>55</v>
      </c>
      <c r="B49" s="55" t="s">
        <v>56</v>
      </c>
      <c r="C49" s="34">
        <f>[34]С2.2!E10</f>
        <v>1287</v>
      </c>
    </row>
    <row r="50" spans="1:3" ht="25.5" x14ac:dyDescent="0.2">
      <c r="A50" s="22" t="s">
        <v>57</v>
      </c>
      <c r="B50" s="56" t="s">
        <v>58</v>
      </c>
      <c r="C50" s="34">
        <f>[34]С2.2!E12</f>
        <v>5.97</v>
      </c>
    </row>
    <row r="51" spans="1:3" ht="52.5" x14ac:dyDescent="0.2">
      <c r="A51" s="22" t="s">
        <v>59</v>
      </c>
      <c r="B51" s="57" t="s">
        <v>60</v>
      </c>
      <c r="C51" s="34">
        <f>[34]С2.2!E13</f>
        <v>1</v>
      </c>
    </row>
    <row r="52" spans="1:3" ht="27.75" x14ac:dyDescent="0.2">
      <c r="A52" s="22" t="s">
        <v>61</v>
      </c>
      <c r="B52" s="56" t="s">
        <v>62</v>
      </c>
      <c r="C52" s="34">
        <f>[34]С2.2!E14</f>
        <v>12104</v>
      </c>
    </row>
    <row r="53" spans="1:3" ht="79.5" customHeight="1" x14ac:dyDescent="0.2">
      <c r="A53" s="22" t="s">
        <v>63</v>
      </c>
      <c r="B53" s="57" t="s">
        <v>64</v>
      </c>
      <c r="C53" s="35">
        <f>[34]С2.2!E15</f>
        <v>4.8000000000000001E-2</v>
      </c>
    </row>
    <row r="54" spans="1:3" x14ac:dyDescent="0.2">
      <c r="A54" s="22" t="s">
        <v>65</v>
      </c>
      <c r="B54" s="57" t="s">
        <v>66</v>
      </c>
      <c r="C54" s="34">
        <f>[34]С2.2!E16</f>
        <v>1</v>
      </c>
    </row>
    <row r="55" spans="1:3" ht="15.75" x14ac:dyDescent="0.2">
      <c r="A55" s="22" t="s">
        <v>67</v>
      </c>
      <c r="B55" s="58" t="s">
        <v>68</v>
      </c>
      <c r="C55" s="34">
        <f>[34]С2!F21</f>
        <v>1</v>
      </c>
    </row>
    <row r="56" spans="1:3" ht="30" x14ac:dyDescent="0.2">
      <c r="A56" s="59" t="s">
        <v>69</v>
      </c>
      <c r="B56" s="33" t="s">
        <v>70</v>
      </c>
      <c r="C56" s="34">
        <f>[34]С2!F13</f>
        <v>210571.60987470482</v>
      </c>
    </row>
    <row r="57" spans="1:3" ht="30" x14ac:dyDescent="0.2">
      <c r="A57" s="59" t="s">
        <v>71</v>
      </c>
      <c r="B57" s="58" t="s">
        <v>72</v>
      </c>
      <c r="C57" s="34">
        <f>[34]С2!F14</f>
        <v>113455</v>
      </c>
    </row>
    <row r="58" spans="1:3" ht="15.75" x14ac:dyDescent="0.2">
      <c r="A58" s="59" t="s">
        <v>73</v>
      </c>
      <c r="B58" s="60" t="s">
        <v>74</v>
      </c>
      <c r="C58" s="40">
        <f>[34]С2!F15</f>
        <v>1.071</v>
      </c>
    </row>
    <row r="59" spans="1:3" ht="15.75" x14ac:dyDescent="0.2">
      <c r="A59" s="59" t="s">
        <v>75</v>
      </c>
      <c r="B59" s="60" t="s">
        <v>76</v>
      </c>
      <c r="C59" s="40">
        <f>[34]С2!F16</f>
        <v>1</v>
      </c>
    </row>
    <row r="60" spans="1:3" ht="17.25" x14ac:dyDescent="0.2">
      <c r="A60" s="59" t="s">
        <v>77</v>
      </c>
      <c r="B60" s="58" t="s">
        <v>78</v>
      </c>
      <c r="C60" s="34">
        <f>[34]С2!F17</f>
        <v>1.01</v>
      </c>
    </row>
    <row r="61" spans="1:3" s="63" customFormat="1" ht="14.25" x14ac:dyDescent="0.2">
      <c r="A61" s="59" t="s">
        <v>79</v>
      </c>
      <c r="B61" s="61" t="s">
        <v>80</v>
      </c>
      <c r="C61" s="62">
        <f>[34]С2!F33</f>
        <v>10</v>
      </c>
    </row>
    <row r="62" spans="1:3" ht="30" x14ac:dyDescent="0.2">
      <c r="A62" s="59" t="s">
        <v>81</v>
      </c>
      <c r="B62" s="64" t="s">
        <v>82</v>
      </c>
      <c r="C62" s="34">
        <f>[34]С2!F26</f>
        <v>3185.880383940208</v>
      </c>
    </row>
    <row r="63" spans="1:3" ht="168" customHeight="1" x14ac:dyDescent="0.2">
      <c r="A63" s="59" t="s">
        <v>83</v>
      </c>
      <c r="B63" s="53" t="s">
        <v>84</v>
      </c>
      <c r="C63" s="34">
        <f>[34]С2!F27</f>
        <v>0.44209422600000003</v>
      </c>
    </row>
    <row r="64" spans="1:3" ht="17.25" x14ac:dyDescent="0.2">
      <c r="A64" s="59" t="s">
        <v>85</v>
      </c>
      <c r="B64" s="58" t="s">
        <v>86</v>
      </c>
      <c r="C64" s="62">
        <f>[34]С2!F28</f>
        <v>4200</v>
      </c>
    </row>
    <row r="65" spans="1:3" ht="42.75" x14ac:dyDescent="0.2">
      <c r="A65" s="59" t="s">
        <v>87</v>
      </c>
      <c r="B65" s="33" t="s">
        <v>88</v>
      </c>
      <c r="C65" s="34">
        <f>[34]С2!F22</f>
        <v>4298.6978080550834</v>
      </c>
    </row>
    <row r="66" spans="1:3" ht="30" x14ac:dyDescent="0.2">
      <c r="A66" s="59" t="s">
        <v>89</v>
      </c>
      <c r="B66" s="60" t="s">
        <v>90</v>
      </c>
      <c r="C66" s="34">
        <f>[34]С2!F23</f>
        <v>1990</v>
      </c>
    </row>
    <row r="67" spans="1:3" ht="30" x14ac:dyDescent="0.2">
      <c r="A67" s="59" t="s">
        <v>91</v>
      </c>
      <c r="B67" s="53" t="s">
        <v>92</v>
      </c>
      <c r="C67" s="34">
        <f>[34]С2.1!E27</f>
        <v>246.24401</v>
      </c>
    </row>
    <row r="68" spans="1:3" ht="73.5" customHeight="1" x14ac:dyDescent="0.2">
      <c r="A68" s="59" t="s">
        <v>93</v>
      </c>
      <c r="B68" s="65" t="s">
        <v>94</v>
      </c>
      <c r="C68" s="52" t="str">
        <f>[34]С2.3!E21</f>
        <v>Муниципальное унитарное предприятие города Куйбышева Куйбышевского района Новосибирской области "Горводоканал"</v>
      </c>
    </row>
    <row r="69" spans="1:3" ht="25.5" x14ac:dyDescent="0.2">
      <c r="A69" s="59" t="s">
        <v>95</v>
      </c>
      <c r="B69" s="66" t="s">
        <v>96</v>
      </c>
      <c r="C69" s="67">
        <f>[34]С2.3!E11</f>
        <v>9.89</v>
      </c>
    </row>
    <row r="70" spans="1:3" ht="25.5" x14ac:dyDescent="0.2">
      <c r="A70" s="59" t="s">
        <v>97</v>
      </c>
      <c r="B70" s="66" t="s">
        <v>98</v>
      </c>
      <c r="C70" s="62">
        <f>[34]С2.3!E13</f>
        <v>300</v>
      </c>
    </row>
    <row r="71" spans="1:3" ht="192.75" customHeight="1" x14ac:dyDescent="0.2">
      <c r="A71" s="59" t="s">
        <v>99</v>
      </c>
      <c r="B71" s="65" t="s">
        <v>100</v>
      </c>
      <c r="C71" s="68">
        <f>IF([34]С2.3!E22&gt;0,[34]С2.3!E22,[34]С2.3!E14)</f>
        <v>8809</v>
      </c>
    </row>
    <row r="72" spans="1:3" ht="192.75" customHeight="1" x14ac:dyDescent="0.2">
      <c r="A72" s="59" t="s">
        <v>101</v>
      </c>
      <c r="B72" s="65" t="s">
        <v>102</v>
      </c>
      <c r="C72" s="68">
        <f>IF([34]С2.3!E23&gt;0,[34]С2.3!E23,[34]С2.3!E15)</f>
        <v>530.41</v>
      </c>
    </row>
    <row r="73" spans="1:3" ht="30" x14ac:dyDescent="0.2">
      <c r="A73" s="59" t="s">
        <v>103</v>
      </c>
      <c r="B73" s="53" t="s">
        <v>104</v>
      </c>
      <c r="C73" s="34">
        <f>[34]С2.1!E28</f>
        <v>269.12432000000001</v>
      </c>
    </row>
    <row r="74" spans="1:3" ht="87" customHeight="1" x14ac:dyDescent="0.2">
      <c r="A74" s="59" t="s">
        <v>105</v>
      </c>
      <c r="B74" s="65" t="s">
        <v>106</v>
      </c>
      <c r="C74" s="52" t="str">
        <f>[34]С2.3!E25</f>
        <v>Муниципальное унитарное предприятие города Куйбышева Куйбышевского района Новосибирской области "Геострой"</v>
      </c>
    </row>
    <row r="75" spans="1:3" ht="25.5" x14ac:dyDescent="0.2">
      <c r="A75" s="59" t="s">
        <v>107</v>
      </c>
      <c r="B75" s="66" t="s">
        <v>108</v>
      </c>
      <c r="C75" s="67">
        <f>[34]С2.3!E12</f>
        <v>0.56000000000000005</v>
      </c>
    </row>
    <row r="76" spans="1:3" ht="25.5" x14ac:dyDescent="0.2">
      <c r="A76" s="59" t="s">
        <v>109</v>
      </c>
      <c r="B76" s="66" t="s">
        <v>98</v>
      </c>
      <c r="C76" s="62">
        <f>[34]С2.3!E13</f>
        <v>300</v>
      </c>
    </row>
    <row r="77" spans="1:3" ht="183" customHeight="1" x14ac:dyDescent="0.2">
      <c r="A77" s="59" t="s">
        <v>110</v>
      </c>
      <c r="B77" s="69" t="s">
        <v>111</v>
      </c>
      <c r="C77" s="68">
        <f>IF([34]С2.3!E26&gt;0,[34]С2.3!E26,[34]С2.3!E16)</f>
        <v>21397</v>
      </c>
    </row>
    <row r="78" spans="1:3" ht="186.75" customHeight="1" x14ac:dyDescent="0.2">
      <c r="A78" s="59" t="s">
        <v>112</v>
      </c>
      <c r="B78" s="69" t="s">
        <v>113</v>
      </c>
      <c r="C78" s="68">
        <f>IF([34]С2.3!E27&gt;0,[34]С2.3!E27,[34]С2.3!E17)</f>
        <v>857.14</v>
      </c>
    </row>
    <row r="79" spans="1:3" ht="17.25" x14ac:dyDescent="0.2">
      <c r="A79" s="59" t="s">
        <v>114</v>
      </c>
      <c r="B79" s="33" t="s">
        <v>115</v>
      </c>
      <c r="C79" s="35">
        <f>[34]С2!F29</f>
        <v>0.21369165990259753</v>
      </c>
    </row>
    <row r="80" spans="1:3" ht="30" x14ac:dyDescent="0.2">
      <c r="A80" s="59" t="s">
        <v>116</v>
      </c>
      <c r="B80" s="53" t="s">
        <v>117</v>
      </c>
      <c r="C80" s="70">
        <f>[34]С2!F30</f>
        <v>0.20047619047619047</v>
      </c>
    </row>
    <row r="81" spans="1:3" ht="17.25" x14ac:dyDescent="0.2">
      <c r="A81" s="59" t="s">
        <v>118</v>
      </c>
      <c r="B81" s="71" t="s">
        <v>119</v>
      </c>
      <c r="C81" s="35">
        <f>[34]С2!F31</f>
        <v>0.13880000000000001</v>
      </c>
    </row>
    <row r="82" spans="1:3" s="63" customFormat="1" ht="18" thickBot="1" x14ac:dyDescent="0.25">
      <c r="A82" s="72" t="s">
        <v>120</v>
      </c>
      <c r="B82" s="73" t="s">
        <v>121</v>
      </c>
      <c r="C82" s="74">
        <f>[34]С2!F32</f>
        <v>0.12640000000000001</v>
      </c>
    </row>
    <row r="83" spans="1:3" ht="13.5" thickBot="1" x14ac:dyDescent="0.25">
      <c r="A83" s="47"/>
      <c r="B83" s="75"/>
      <c r="C83" s="15"/>
    </row>
    <row r="84" spans="1:3" s="63" customFormat="1" ht="30" customHeight="1" x14ac:dyDescent="0.2">
      <c r="A84" s="76" t="s">
        <v>122</v>
      </c>
      <c r="B84" s="145" t="s">
        <v>123</v>
      </c>
      <c r="C84" s="145"/>
    </row>
    <row r="85" spans="1:3" s="63" customFormat="1" ht="30" x14ac:dyDescent="0.2">
      <c r="A85" s="77" t="s">
        <v>124</v>
      </c>
      <c r="B85" s="33" t="s">
        <v>125</v>
      </c>
      <c r="C85" s="34">
        <f>[34]С3!F14</f>
        <v>15827.997028730506</v>
      </c>
    </row>
    <row r="86" spans="1:3" s="63" customFormat="1" ht="42.75" x14ac:dyDescent="0.2">
      <c r="A86" s="77" t="s">
        <v>126</v>
      </c>
      <c r="B86" s="53" t="s">
        <v>127</v>
      </c>
      <c r="C86" s="78">
        <f>[34]С3!F15</f>
        <v>0.25</v>
      </c>
    </row>
    <row r="87" spans="1:3" s="63" customFormat="1" ht="14.25" x14ac:dyDescent="0.2">
      <c r="A87" s="77" t="s">
        <v>128</v>
      </c>
      <c r="B87" s="79" t="s">
        <v>129</v>
      </c>
      <c r="C87" s="62">
        <f>[34]С3!F18</f>
        <v>15</v>
      </c>
    </row>
    <row r="88" spans="1:3" s="63" customFormat="1" ht="17.25" x14ac:dyDescent="0.2">
      <c r="A88" s="77" t="s">
        <v>130</v>
      </c>
      <c r="B88" s="33" t="s">
        <v>131</v>
      </c>
      <c r="C88" s="34">
        <f>[34]С3!F19</f>
        <v>3741.3369093945325</v>
      </c>
    </row>
    <row r="89" spans="1:3" s="63" customFormat="1" ht="55.5" x14ac:dyDescent="0.2">
      <c r="A89" s="77" t="s">
        <v>132</v>
      </c>
      <c r="B89" s="53" t="s">
        <v>133</v>
      </c>
      <c r="C89" s="80">
        <f>[34]С3!F20</f>
        <v>2.1999999999999999E-2</v>
      </c>
    </row>
    <row r="90" spans="1:3" s="63" customFormat="1" ht="14.25" x14ac:dyDescent="0.2">
      <c r="A90" s="77" t="s">
        <v>134</v>
      </c>
      <c r="B90" s="58" t="s">
        <v>80</v>
      </c>
      <c r="C90" s="62">
        <f>[34]С3!F21</f>
        <v>10</v>
      </c>
    </row>
    <row r="91" spans="1:3" s="63" customFormat="1" ht="17.25" x14ac:dyDescent="0.2">
      <c r="A91" s="77" t="s">
        <v>135</v>
      </c>
      <c r="B91" s="33" t="s">
        <v>136</v>
      </c>
      <c r="C91" s="34">
        <f>[34]С3!F22</f>
        <v>9.5576411518206239</v>
      </c>
    </row>
    <row r="92" spans="1:3" s="63" customFormat="1" ht="57" customHeight="1" x14ac:dyDescent="0.2">
      <c r="A92" s="77" t="s">
        <v>137</v>
      </c>
      <c r="B92" s="53" t="s">
        <v>138</v>
      </c>
      <c r="C92" s="80">
        <f>[34]С3!F23</f>
        <v>3.0000000000000001E-3</v>
      </c>
    </row>
    <row r="93" spans="1:3" s="63" customFormat="1" ht="27.75" thickBot="1" x14ac:dyDescent="0.25">
      <c r="A93" s="81" t="s">
        <v>139</v>
      </c>
      <c r="B93" s="82" t="s">
        <v>140</v>
      </c>
      <c r="C93" s="83">
        <f>[34]С3!F24</f>
        <v>3185.880383940208</v>
      </c>
    </row>
    <row r="94" spans="1:3" ht="13.5" thickBot="1" x14ac:dyDescent="0.25">
      <c r="A94" s="47"/>
      <c r="B94" s="75"/>
      <c r="C94" s="15"/>
    </row>
    <row r="95" spans="1:3" ht="30" customHeight="1" x14ac:dyDescent="0.2">
      <c r="A95" s="84" t="s">
        <v>141</v>
      </c>
      <c r="B95" s="145" t="s">
        <v>142</v>
      </c>
      <c r="C95" s="145"/>
    </row>
    <row r="96" spans="1:3" ht="30" x14ac:dyDescent="0.2">
      <c r="A96" s="59" t="s">
        <v>143</v>
      </c>
      <c r="B96" s="33" t="s">
        <v>144</v>
      </c>
      <c r="C96" s="34">
        <f>[34]С4!F16</f>
        <v>1652.5</v>
      </c>
    </row>
    <row r="97" spans="1:3" ht="30" x14ac:dyDescent="0.2">
      <c r="A97" s="59" t="s">
        <v>145</v>
      </c>
      <c r="B97" s="58" t="s">
        <v>146</v>
      </c>
      <c r="C97" s="34">
        <f>[34]С4!F17</f>
        <v>73547</v>
      </c>
    </row>
    <row r="98" spans="1:3" ht="17.25" x14ac:dyDescent="0.2">
      <c r="A98" s="59" t="s">
        <v>147</v>
      </c>
      <c r="B98" s="58" t="s">
        <v>148</v>
      </c>
      <c r="C98" s="40">
        <f>[34]С4!F18</f>
        <v>0.02</v>
      </c>
    </row>
    <row r="99" spans="1:3" ht="30" x14ac:dyDescent="0.2">
      <c r="A99" s="59" t="s">
        <v>149</v>
      </c>
      <c r="B99" s="58" t="s">
        <v>150</v>
      </c>
      <c r="C99" s="34">
        <f>[34]С4!F19</f>
        <v>12104</v>
      </c>
    </row>
    <row r="100" spans="1:3" ht="31.5" x14ac:dyDescent="0.2">
      <c r="A100" s="59" t="s">
        <v>151</v>
      </c>
      <c r="B100" s="58" t="s">
        <v>152</v>
      </c>
      <c r="C100" s="40">
        <f>[34]С4!F20</f>
        <v>1.4999999999999999E-2</v>
      </c>
    </row>
    <row r="101" spans="1:3" ht="30" x14ac:dyDescent="0.2">
      <c r="A101" s="59" t="s">
        <v>153</v>
      </c>
      <c r="B101" s="33" t="s">
        <v>154</v>
      </c>
      <c r="C101" s="34">
        <f>[34]С4!F21</f>
        <v>1933.1949342509995</v>
      </c>
    </row>
    <row r="102" spans="1:3" ht="35.25" customHeight="1" x14ac:dyDescent="0.2">
      <c r="A102" s="59" t="s">
        <v>155</v>
      </c>
      <c r="B102" s="53" t="s">
        <v>156</v>
      </c>
      <c r="C102" s="85" t="str">
        <f>IF([34]С4.2!F8="да",[34]С4.2!D21,[34]С4.2!D15)</f>
        <v>АО "Новосибирскэнергосбыт"</v>
      </c>
    </row>
    <row r="103" spans="1:3" ht="68.25" x14ac:dyDescent="0.2">
      <c r="A103" s="59" t="s">
        <v>157</v>
      </c>
      <c r="B103" s="53" t="s">
        <v>158</v>
      </c>
      <c r="C103" s="34">
        <f>[34]С4!F22</f>
        <v>3.6112641666666665</v>
      </c>
    </row>
    <row r="104" spans="1:3" ht="30" x14ac:dyDescent="0.2">
      <c r="A104" s="59" t="s">
        <v>159</v>
      </c>
      <c r="B104" s="58" t="s">
        <v>160</v>
      </c>
      <c r="C104" s="34">
        <f>[34]С4!F23</f>
        <v>180</v>
      </c>
    </row>
    <row r="105" spans="1:3" ht="14.25" x14ac:dyDescent="0.2">
      <c r="A105" s="59" t="s">
        <v>161</v>
      </c>
      <c r="B105" s="53" t="s">
        <v>162</v>
      </c>
      <c r="C105" s="34">
        <f>[34]С4!F24</f>
        <v>8497.1999999999989</v>
      </c>
    </row>
    <row r="106" spans="1:3" ht="14.25" x14ac:dyDescent="0.2">
      <c r="A106" s="59" t="s">
        <v>163</v>
      </c>
      <c r="B106" s="58" t="s">
        <v>164</v>
      </c>
      <c r="C106" s="40">
        <f>[34]С4!F25</f>
        <v>0.35</v>
      </c>
    </row>
    <row r="107" spans="1:3" ht="17.25" x14ac:dyDescent="0.2">
      <c r="A107" s="59" t="s">
        <v>165</v>
      </c>
      <c r="B107" s="33" t="s">
        <v>166</v>
      </c>
      <c r="C107" s="34">
        <f>[34]С4!F26</f>
        <v>91.185569999999998</v>
      </c>
    </row>
    <row r="108" spans="1:3" ht="75.75" customHeight="1" x14ac:dyDescent="0.2">
      <c r="A108" s="59" t="s">
        <v>167</v>
      </c>
      <c r="B108" s="53" t="s">
        <v>94</v>
      </c>
      <c r="C108" s="85">
        <f>[34]С4.3!E16</f>
        <v>0</v>
      </c>
    </row>
    <row r="109" spans="1:3" ht="25.5" x14ac:dyDescent="0.2">
      <c r="A109" s="59" t="s">
        <v>168</v>
      </c>
      <c r="B109" s="53" t="s">
        <v>169</v>
      </c>
      <c r="C109" s="34">
        <f>[34]С4.3!E17</f>
        <v>25.15</v>
      </c>
    </row>
    <row r="110" spans="1:3" ht="79.5" customHeight="1" x14ac:dyDescent="0.2">
      <c r="A110" s="59" t="s">
        <v>170</v>
      </c>
      <c r="B110" s="53" t="s">
        <v>106</v>
      </c>
      <c r="C110" s="85">
        <f>[34]С4.3!E18</f>
        <v>0</v>
      </c>
    </row>
    <row r="111" spans="1:3" x14ac:dyDescent="0.2">
      <c r="A111" s="59" t="s">
        <v>171</v>
      </c>
      <c r="B111" s="53" t="s">
        <v>172</v>
      </c>
      <c r="C111" s="34">
        <f>[34]С4.3!E19</f>
        <v>14.63</v>
      </c>
    </row>
    <row r="112" spans="1:3" x14ac:dyDescent="0.2">
      <c r="A112" s="59" t="s">
        <v>173</v>
      </c>
      <c r="B112" s="58" t="s">
        <v>174</v>
      </c>
      <c r="C112" s="34">
        <f>[34]С4.3!E11</f>
        <v>1871</v>
      </c>
    </row>
    <row r="113" spans="1:3" x14ac:dyDescent="0.2">
      <c r="A113" s="59" t="s">
        <v>175</v>
      </c>
      <c r="B113" s="58" t="s">
        <v>176</v>
      </c>
      <c r="C113" s="52">
        <f>[34]С4.3!E12</f>
        <v>1636</v>
      </c>
    </row>
    <row r="114" spans="1:3" x14ac:dyDescent="0.2">
      <c r="A114" s="59" t="s">
        <v>177</v>
      </c>
      <c r="B114" s="58" t="s">
        <v>178</v>
      </c>
      <c r="C114" s="52">
        <f>[34]С4.3!E13</f>
        <v>204</v>
      </c>
    </row>
    <row r="115" spans="1:3" ht="30" x14ac:dyDescent="0.2">
      <c r="A115" s="59" t="s">
        <v>179</v>
      </c>
      <c r="B115" s="33" t="s">
        <v>180</v>
      </c>
      <c r="C115" s="34">
        <f>[34]С4!F27</f>
        <v>1291.2863994686898</v>
      </c>
    </row>
    <row r="116" spans="1:3" ht="25.5" x14ac:dyDescent="0.2">
      <c r="A116" s="59" t="s">
        <v>181</v>
      </c>
      <c r="B116" s="53" t="s">
        <v>182</v>
      </c>
      <c r="C116" s="34">
        <f>[34]С4!F28</f>
        <v>991.77142816335618</v>
      </c>
    </row>
    <row r="117" spans="1:3" ht="42.75" x14ac:dyDescent="0.2">
      <c r="A117" s="59" t="s">
        <v>183</v>
      </c>
      <c r="B117" s="53" t="s">
        <v>184</v>
      </c>
      <c r="C117" s="34">
        <f>[34]С4!F29</f>
        <v>299.51497130533357</v>
      </c>
    </row>
    <row r="118" spans="1:3" ht="30" x14ac:dyDescent="0.2">
      <c r="A118" s="59" t="s">
        <v>185</v>
      </c>
      <c r="B118" s="39" t="s">
        <v>186</v>
      </c>
      <c r="C118" s="34">
        <f>[34]С4!F30</f>
        <v>2307.9590403871598</v>
      </c>
    </row>
    <row r="119" spans="1:3" ht="42.75" x14ac:dyDescent="0.2">
      <c r="A119" s="59" t="s">
        <v>187</v>
      </c>
      <c r="B119" s="86" t="s">
        <v>188</v>
      </c>
      <c r="C119" s="34">
        <f>[34]С4!F33</f>
        <v>1068.6450140162826</v>
      </c>
    </row>
    <row r="120" spans="1:3" ht="30" x14ac:dyDescent="0.2">
      <c r="A120" s="59" t="s">
        <v>189</v>
      </c>
      <c r="B120" s="87" t="s">
        <v>190</v>
      </c>
      <c r="C120" s="34">
        <f>[34]С4!F35</f>
        <v>18.902267999999999</v>
      </c>
    </row>
    <row r="121" spans="1:3" ht="14.25" x14ac:dyDescent="0.2">
      <c r="A121" s="59" t="s">
        <v>191</v>
      </c>
      <c r="B121" s="56" t="s">
        <v>192</v>
      </c>
      <c r="C121" s="34">
        <f>[34]С4!F36</f>
        <v>14319.9</v>
      </c>
    </row>
    <row r="122" spans="1:3" ht="43.5" customHeight="1" thickBot="1" x14ac:dyDescent="0.25">
      <c r="A122" s="72" t="s">
        <v>193</v>
      </c>
      <c r="B122" s="88" t="s">
        <v>194</v>
      </c>
      <c r="C122" s="83">
        <f>[34]С4!F37</f>
        <v>1.32</v>
      </c>
    </row>
    <row r="123" spans="1:3" s="89" customFormat="1" ht="13.5" thickBot="1" x14ac:dyDescent="0.25">
      <c r="A123" s="47"/>
      <c r="B123" s="75"/>
      <c r="C123" s="15"/>
    </row>
    <row r="124" spans="1:3" s="63" customFormat="1" ht="30" customHeight="1" x14ac:dyDescent="0.2">
      <c r="A124" s="76" t="s">
        <v>195</v>
      </c>
      <c r="B124" s="145" t="s">
        <v>196</v>
      </c>
      <c r="C124" s="145"/>
    </row>
    <row r="125" spans="1:3" ht="16.5" thickBot="1" x14ac:dyDescent="0.25">
      <c r="A125" s="27" t="s">
        <v>197</v>
      </c>
      <c r="B125" s="90" t="s">
        <v>198</v>
      </c>
      <c r="C125" s="83">
        <f>[34]С5!F17</f>
        <v>0.02</v>
      </c>
    </row>
    <row r="126" spans="1:3" s="89" customFormat="1" ht="13.5" thickBot="1" x14ac:dyDescent="0.25">
      <c r="A126" s="47"/>
      <c r="B126" s="75"/>
      <c r="C126" s="15"/>
    </row>
    <row r="127" spans="1:3" ht="42.75" customHeight="1" x14ac:dyDescent="0.2">
      <c r="A127" s="84" t="s">
        <v>199</v>
      </c>
      <c r="B127" s="146" t="s">
        <v>200</v>
      </c>
      <c r="C127" s="146"/>
    </row>
    <row r="128" spans="1:3" ht="68.25" x14ac:dyDescent="0.2">
      <c r="A128" s="59" t="s">
        <v>201</v>
      </c>
      <c r="B128" s="91" t="s">
        <v>202</v>
      </c>
      <c r="C128" s="34" t="s">
        <v>203</v>
      </c>
    </row>
    <row r="129" spans="1:3" ht="42.75" hidden="1" x14ac:dyDescent="0.2">
      <c r="A129" s="59" t="s">
        <v>204</v>
      </c>
      <c r="B129" s="86" t="s">
        <v>205</v>
      </c>
      <c r="C129" s="92"/>
    </row>
    <row r="130" spans="1:3" ht="69" thickBot="1" x14ac:dyDescent="0.25">
      <c r="A130" s="72" t="s">
        <v>206</v>
      </c>
      <c r="B130" s="93" t="s">
        <v>207</v>
      </c>
      <c r="C130" s="94" t="s">
        <v>203</v>
      </c>
    </row>
    <row r="131" spans="1:3" ht="62.25" hidden="1" customHeight="1" x14ac:dyDescent="0.2">
      <c r="A131" s="95" t="s">
        <v>208</v>
      </c>
      <c r="B131" s="96" t="s">
        <v>209</v>
      </c>
      <c r="C131" s="97"/>
    </row>
    <row r="132" spans="1:3" ht="68.25" hidden="1" x14ac:dyDescent="0.2">
      <c r="A132" s="59" t="s">
        <v>210</v>
      </c>
      <c r="B132" s="86" t="s">
        <v>211</v>
      </c>
      <c r="C132" s="35"/>
    </row>
    <row r="133" spans="1:3" ht="69" hidden="1" thickBot="1" x14ac:dyDescent="0.25">
      <c r="A133" s="72" t="s">
        <v>212</v>
      </c>
      <c r="B133" s="98" t="s">
        <v>213</v>
      </c>
      <c r="C133" s="74"/>
    </row>
    <row r="134" spans="1:3" s="89" customFormat="1" ht="13.5" thickBot="1" x14ac:dyDescent="0.25">
      <c r="A134" s="47"/>
      <c r="B134" s="75"/>
      <c r="C134" s="15"/>
    </row>
    <row r="135" spans="1:3" ht="26.25" customHeight="1" x14ac:dyDescent="0.2">
      <c r="A135" s="84" t="s">
        <v>214</v>
      </c>
      <c r="B135" s="99" t="s">
        <v>215</v>
      </c>
      <c r="C135" s="100">
        <f>[34]С2!F37</f>
        <v>20.818139999999996</v>
      </c>
    </row>
    <row r="136" spans="1:3" ht="14.25" x14ac:dyDescent="0.2">
      <c r="A136" s="59" t="s">
        <v>216</v>
      </c>
      <c r="B136" s="101" t="s">
        <v>217</v>
      </c>
      <c r="C136" s="34">
        <f>[34]С2!F38</f>
        <v>7</v>
      </c>
    </row>
    <row r="137" spans="1:3" ht="17.25" x14ac:dyDescent="0.2">
      <c r="A137" s="59" t="s">
        <v>218</v>
      </c>
      <c r="B137" s="101" t="s">
        <v>219</v>
      </c>
      <c r="C137" s="34">
        <f>[34]С2!F40</f>
        <v>0.97</v>
      </c>
    </row>
    <row r="138" spans="1:3" ht="15" thickBot="1" x14ac:dyDescent="0.25">
      <c r="A138" s="72" t="s">
        <v>220</v>
      </c>
      <c r="B138" s="102" t="s">
        <v>221</v>
      </c>
      <c r="C138" s="46">
        <f>[34]С2!F42</f>
        <v>0.35</v>
      </c>
    </row>
    <row r="139" spans="1:3" s="89" customFormat="1" ht="13.5" thickBot="1" x14ac:dyDescent="0.25">
      <c r="A139" s="47"/>
      <c r="B139" s="75"/>
      <c r="C139" s="15"/>
    </row>
    <row r="140" spans="1:3" ht="30" x14ac:dyDescent="0.2">
      <c r="A140" s="84" t="s">
        <v>222</v>
      </c>
      <c r="B140" s="103" t="s">
        <v>223</v>
      </c>
      <c r="C140" s="104">
        <f>[34]С2!F35</f>
        <v>1.7157947422665329</v>
      </c>
    </row>
    <row r="141" spans="1:3" ht="22.7" customHeight="1" thickBot="1" x14ac:dyDescent="0.25">
      <c r="A141" s="72" t="s">
        <v>224</v>
      </c>
      <c r="B141" s="141" t="s">
        <v>225</v>
      </c>
      <c r="C141" s="141"/>
    </row>
    <row r="142" spans="1:3" ht="13.5" thickBot="1" x14ac:dyDescent="0.25">
      <c r="A142" s="105"/>
      <c r="B142" s="106" t="s">
        <v>226</v>
      </c>
      <c r="C142" s="107"/>
    </row>
    <row r="143" spans="1:3" x14ac:dyDescent="0.2">
      <c r="A143" s="105"/>
      <c r="B143" s="108">
        <v>2020</v>
      </c>
      <c r="C143" s="109">
        <f>[34]С2.5!$E$11</f>
        <v>-2.9000000000000026E-2</v>
      </c>
    </row>
    <row r="144" spans="1:3" x14ac:dyDescent="0.2">
      <c r="A144" s="105"/>
      <c r="B144" s="110">
        <f>B143+1</f>
        <v>2021</v>
      </c>
      <c r="C144" s="111">
        <f>[34]С2.5!$F$11</f>
        <v>0.245</v>
      </c>
    </row>
    <row r="145" spans="1:3" x14ac:dyDescent="0.2">
      <c r="A145" s="105"/>
      <c r="B145" s="110">
        <f t="shared" ref="B145:B208" si="0">B144+1</f>
        <v>2022</v>
      </c>
      <c r="C145" s="111">
        <f>[34]С2.5!$G$11</f>
        <v>0.114</v>
      </c>
    </row>
    <row r="146" spans="1:3" ht="13.5" thickBot="1" x14ac:dyDescent="0.25">
      <c r="A146" s="105"/>
      <c r="B146" s="112">
        <f t="shared" si="0"/>
        <v>2023</v>
      </c>
      <c r="C146" s="113">
        <f>[34]С2.5!$H$11</f>
        <v>0.04</v>
      </c>
    </row>
    <row r="147" spans="1:3" x14ac:dyDescent="0.2">
      <c r="A147" s="105"/>
      <c r="B147" s="114">
        <f t="shared" si="0"/>
        <v>2024</v>
      </c>
      <c r="C147" s="115">
        <f>[34]С2.5!$I$11</f>
        <v>0.121</v>
      </c>
    </row>
    <row r="148" spans="1:3" x14ac:dyDescent="0.2">
      <c r="A148" s="105"/>
      <c r="B148" s="110">
        <f t="shared" si="0"/>
        <v>2025</v>
      </c>
      <c r="C148" s="111">
        <f>[34]С2.5!$J$11</f>
        <v>0.03</v>
      </c>
    </row>
    <row r="149" spans="1:3" x14ac:dyDescent="0.2">
      <c r="A149" s="105"/>
      <c r="B149" s="110">
        <f t="shared" si="0"/>
        <v>2026</v>
      </c>
      <c r="C149" s="111">
        <f>[34]С2.5!$K$11</f>
        <v>6.0999999999999999E-2</v>
      </c>
    </row>
    <row r="150" spans="1:3" hidden="1" x14ac:dyDescent="0.2">
      <c r="A150" s="105"/>
      <c r="B150" s="110">
        <f t="shared" si="0"/>
        <v>2027</v>
      </c>
      <c r="C150" s="111">
        <f>[34]С2.5!$L$11</f>
        <v>3.2682303599220003E-2</v>
      </c>
    </row>
    <row r="151" spans="1:3" hidden="1" x14ac:dyDescent="0.2">
      <c r="A151" s="105"/>
      <c r="B151" s="110">
        <f t="shared" si="0"/>
        <v>2028</v>
      </c>
      <c r="C151" s="111">
        <f>[34]С2.5!$M$11</f>
        <v>0</v>
      </c>
    </row>
    <row r="152" spans="1:3" hidden="1" x14ac:dyDescent="0.2">
      <c r="A152" s="105"/>
      <c r="B152" s="110">
        <f t="shared" si="0"/>
        <v>2029</v>
      </c>
      <c r="C152" s="111">
        <f>[34]С2.5!$N$11</f>
        <v>0</v>
      </c>
    </row>
    <row r="153" spans="1:3" hidden="1" x14ac:dyDescent="0.2">
      <c r="A153" s="105"/>
      <c r="B153" s="110">
        <f t="shared" si="0"/>
        <v>2030</v>
      </c>
      <c r="C153" s="111">
        <f>[34]С2.5!$O$11</f>
        <v>0</v>
      </c>
    </row>
    <row r="154" spans="1:3" hidden="1" x14ac:dyDescent="0.2">
      <c r="A154" s="105"/>
      <c r="B154" s="110">
        <f t="shared" si="0"/>
        <v>2031</v>
      </c>
      <c r="C154" s="111">
        <f>[34]С2.5!$P$11</f>
        <v>0</v>
      </c>
    </row>
    <row r="155" spans="1:3" hidden="1" x14ac:dyDescent="0.2">
      <c r="A155" s="89"/>
      <c r="B155" s="110">
        <f t="shared" si="0"/>
        <v>2032</v>
      </c>
      <c r="C155" s="111">
        <f>[34]С2.5!$Q$11</f>
        <v>0</v>
      </c>
    </row>
    <row r="156" spans="1:3" hidden="1" x14ac:dyDescent="0.2">
      <c r="A156" s="89"/>
      <c r="B156" s="110">
        <f t="shared" si="0"/>
        <v>2033</v>
      </c>
      <c r="C156" s="111">
        <f>[34]С2.5!$R$11</f>
        <v>0</v>
      </c>
    </row>
    <row r="157" spans="1:3" hidden="1" x14ac:dyDescent="0.2">
      <c r="B157" s="110">
        <f t="shared" si="0"/>
        <v>2034</v>
      </c>
      <c r="C157" s="111">
        <f>[34]С2.5!$S$11</f>
        <v>0</v>
      </c>
    </row>
    <row r="158" spans="1:3" hidden="1" x14ac:dyDescent="0.2">
      <c r="B158" s="110">
        <f t="shared" si="0"/>
        <v>2035</v>
      </c>
      <c r="C158" s="111">
        <f>[34]С2.5!$T$11</f>
        <v>0</v>
      </c>
    </row>
    <row r="159" spans="1:3" hidden="1" x14ac:dyDescent="0.2">
      <c r="B159" s="110">
        <f t="shared" si="0"/>
        <v>2036</v>
      </c>
      <c r="C159" s="111">
        <f>[34]С2.5!$U$11</f>
        <v>0</v>
      </c>
    </row>
    <row r="160" spans="1:3" hidden="1" x14ac:dyDescent="0.2">
      <c r="B160" s="110">
        <f t="shared" si="0"/>
        <v>2037</v>
      </c>
      <c r="C160" s="111">
        <f>[34]С2.5!$V$11</f>
        <v>0</v>
      </c>
    </row>
    <row r="161" spans="2:3" hidden="1" x14ac:dyDescent="0.2">
      <c r="B161" s="110">
        <f t="shared" si="0"/>
        <v>2038</v>
      </c>
      <c r="C161" s="111">
        <f>[34]С2.5!$W$11</f>
        <v>0</v>
      </c>
    </row>
    <row r="162" spans="2:3" hidden="1" x14ac:dyDescent="0.2">
      <c r="B162" s="110">
        <f t="shared" si="0"/>
        <v>2039</v>
      </c>
      <c r="C162" s="111">
        <f>[34]С2.5!$X$11</f>
        <v>0</v>
      </c>
    </row>
    <row r="163" spans="2:3" hidden="1" x14ac:dyDescent="0.2">
      <c r="B163" s="110">
        <f t="shared" si="0"/>
        <v>2040</v>
      </c>
      <c r="C163" s="111">
        <f>[34]С2.5!$Y$11</f>
        <v>0</v>
      </c>
    </row>
    <row r="164" spans="2:3" hidden="1" x14ac:dyDescent="0.2">
      <c r="B164" s="110">
        <f t="shared" si="0"/>
        <v>2041</v>
      </c>
      <c r="C164" s="111">
        <f>[34]С2.5!$Z$11</f>
        <v>0</v>
      </c>
    </row>
    <row r="165" spans="2:3" hidden="1" x14ac:dyDescent="0.2">
      <c r="B165" s="110">
        <f t="shared" si="0"/>
        <v>2042</v>
      </c>
      <c r="C165" s="111">
        <f>[34]С2.5!$AA$11</f>
        <v>0</v>
      </c>
    </row>
    <row r="166" spans="2:3" hidden="1" x14ac:dyDescent="0.2">
      <c r="B166" s="110">
        <f t="shared" si="0"/>
        <v>2043</v>
      </c>
      <c r="C166" s="111">
        <f>[34]С2.5!$AB$11</f>
        <v>0</v>
      </c>
    </row>
    <row r="167" spans="2:3" hidden="1" x14ac:dyDescent="0.2">
      <c r="B167" s="110">
        <f t="shared" si="0"/>
        <v>2044</v>
      </c>
      <c r="C167" s="111">
        <f>[34]С2.5!$AC$11</f>
        <v>0</v>
      </c>
    </row>
    <row r="168" spans="2:3" hidden="1" x14ac:dyDescent="0.2">
      <c r="B168" s="110">
        <f t="shared" si="0"/>
        <v>2045</v>
      </c>
      <c r="C168" s="111">
        <f>[34]С2.5!$AD$11</f>
        <v>0</v>
      </c>
    </row>
    <row r="169" spans="2:3" hidden="1" x14ac:dyDescent="0.2">
      <c r="B169" s="110">
        <f t="shared" si="0"/>
        <v>2046</v>
      </c>
      <c r="C169" s="111">
        <f>[34]С2.5!$AE$11</f>
        <v>0</v>
      </c>
    </row>
    <row r="170" spans="2:3" hidden="1" x14ac:dyDescent="0.2">
      <c r="B170" s="110">
        <f t="shared" si="0"/>
        <v>2047</v>
      </c>
      <c r="C170" s="111">
        <f>[34]С2.5!$AF$11</f>
        <v>0</v>
      </c>
    </row>
    <row r="171" spans="2:3" hidden="1" x14ac:dyDescent="0.2">
      <c r="B171" s="110">
        <f t="shared" si="0"/>
        <v>2048</v>
      </c>
      <c r="C171" s="111">
        <f>[34]С2.5!$AG$11</f>
        <v>0</v>
      </c>
    </row>
    <row r="172" spans="2:3" hidden="1" x14ac:dyDescent="0.2">
      <c r="B172" s="110">
        <f t="shared" si="0"/>
        <v>2049</v>
      </c>
      <c r="C172" s="111">
        <f>[34]С2.5!$AH$11</f>
        <v>0</v>
      </c>
    </row>
    <row r="173" spans="2:3" hidden="1" x14ac:dyDescent="0.2">
      <c r="B173" s="110">
        <f t="shared" si="0"/>
        <v>2050</v>
      </c>
      <c r="C173" s="111">
        <f>[34]С2.5!$AI$11</f>
        <v>0</v>
      </c>
    </row>
    <row r="174" spans="2:3" hidden="1" x14ac:dyDescent="0.2">
      <c r="B174" s="110">
        <f t="shared" si="0"/>
        <v>2051</v>
      </c>
      <c r="C174" s="111">
        <f>[34]С2.5!$AJ$11</f>
        <v>0</v>
      </c>
    </row>
    <row r="175" spans="2:3" hidden="1" x14ac:dyDescent="0.2">
      <c r="B175" s="110">
        <f t="shared" si="0"/>
        <v>2052</v>
      </c>
      <c r="C175" s="111">
        <f>[34]С2.5!$AK$11</f>
        <v>0</v>
      </c>
    </row>
    <row r="176" spans="2:3" hidden="1" x14ac:dyDescent="0.2">
      <c r="B176" s="110">
        <f t="shared" si="0"/>
        <v>2053</v>
      </c>
      <c r="C176" s="111">
        <f>[34]С2.5!$AL$11</f>
        <v>0</v>
      </c>
    </row>
    <row r="177" spans="2:3" hidden="1" x14ac:dyDescent="0.2">
      <c r="B177" s="110">
        <f t="shared" si="0"/>
        <v>2054</v>
      </c>
      <c r="C177" s="111">
        <f>[34]С2.5!$AM$11</f>
        <v>0</v>
      </c>
    </row>
    <row r="178" spans="2:3" hidden="1" x14ac:dyDescent="0.2">
      <c r="B178" s="110">
        <f t="shared" si="0"/>
        <v>2055</v>
      </c>
      <c r="C178" s="111">
        <f>[34]С2.5!$AN$11</f>
        <v>0</v>
      </c>
    </row>
    <row r="179" spans="2:3" hidden="1" x14ac:dyDescent="0.2">
      <c r="B179" s="110">
        <f t="shared" si="0"/>
        <v>2056</v>
      </c>
      <c r="C179" s="111">
        <f>[34]С2.5!$AO$11</f>
        <v>0</v>
      </c>
    </row>
    <row r="180" spans="2:3" hidden="1" x14ac:dyDescent="0.2">
      <c r="B180" s="110">
        <f t="shared" si="0"/>
        <v>2057</v>
      </c>
      <c r="C180" s="111">
        <f>[34]С2.5!$AP$11</f>
        <v>0</v>
      </c>
    </row>
    <row r="181" spans="2:3" hidden="1" x14ac:dyDescent="0.2">
      <c r="B181" s="110">
        <f t="shared" si="0"/>
        <v>2058</v>
      </c>
      <c r="C181" s="111">
        <f>[34]С2.5!$AQ$11</f>
        <v>0</v>
      </c>
    </row>
    <row r="182" spans="2:3" hidden="1" x14ac:dyDescent="0.2">
      <c r="B182" s="110">
        <f t="shared" si="0"/>
        <v>2059</v>
      </c>
      <c r="C182" s="111">
        <f>[34]С2.5!$AR$11</f>
        <v>0</v>
      </c>
    </row>
    <row r="183" spans="2:3" hidden="1" x14ac:dyDescent="0.2">
      <c r="B183" s="110">
        <f t="shared" si="0"/>
        <v>2060</v>
      </c>
      <c r="C183" s="111">
        <f>[34]С2.5!$AS$11</f>
        <v>0</v>
      </c>
    </row>
    <row r="184" spans="2:3" hidden="1" x14ac:dyDescent="0.2">
      <c r="B184" s="110">
        <f t="shared" si="0"/>
        <v>2061</v>
      </c>
      <c r="C184" s="111">
        <f>[34]С2.5!$AT$11</f>
        <v>0</v>
      </c>
    </row>
    <row r="185" spans="2:3" hidden="1" x14ac:dyDescent="0.2">
      <c r="B185" s="110">
        <f t="shared" si="0"/>
        <v>2062</v>
      </c>
      <c r="C185" s="111">
        <f>[34]С2.5!$AU$11</f>
        <v>0</v>
      </c>
    </row>
    <row r="186" spans="2:3" hidden="1" x14ac:dyDescent="0.2">
      <c r="B186" s="110">
        <f t="shared" si="0"/>
        <v>2063</v>
      </c>
      <c r="C186" s="111">
        <f>[34]С2.5!$AV$11</f>
        <v>0</v>
      </c>
    </row>
    <row r="187" spans="2:3" hidden="1" x14ac:dyDescent="0.2">
      <c r="B187" s="110">
        <f t="shared" si="0"/>
        <v>2064</v>
      </c>
      <c r="C187" s="111">
        <f>[34]С2.5!$AW$11</f>
        <v>0</v>
      </c>
    </row>
    <row r="188" spans="2:3" hidden="1" x14ac:dyDescent="0.2">
      <c r="B188" s="110">
        <f t="shared" si="0"/>
        <v>2065</v>
      </c>
      <c r="C188" s="111">
        <f>[34]С2.5!$AX$11</f>
        <v>0</v>
      </c>
    </row>
    <row r="189" spans="2:3" hidden="1" x14ac:dyDescent="0.2">
      <c r="B189" s="110">
        <f t="shared" si="0"/>
        <v>2066</v>
      </c>
      <c r="C189" s="111">
        <f>[34]С2.5!$AY$11</f>
        <v>0</v>
      </c>
    </row>
    <row r="190" spans="2:3" hidden="1" x14ac:dyDescent="0.2">
      <c r="B190" s="110">
        <f t="shared" si="0"/>
        <v>2067</v>
      </c>
      <c r="C190" s="111">
        <f>[34]С2.5!$AZ$11</f>
        <v>0</v>
      </c>
    </row>
    <row r="191" spans="2:3" hidden="1" x14ac:dyDescent="0.2">
      <c r="B191" s="110">
        <f t="shared" si="0"/>
        <v>2068</v>
      </c>
      <c r="C191" s="111">
        <f>[34]С2.5!$BA$11</f>
        <v>0</v>
      </c>
    </row>
    <row r="192" spans="2:3" hidden="1" x14ac:dyDescent="0.2">
      <c r="B192" s="110">
        <f t="shared" si="0"/>
        <v>2069</v>
      </c>
      <c r="C192" s="111">
        <f>[34]С2.5!$BB$11</f>
        <v>0</v>
      </c>
    </row>
    <row r="193" spans="2:3" hidden="1" x14ac:dyDescent="0.2">
      <c r="B193" s="110">
        <f t="shared" si="0"/>
        <v>2070</v>
      </c>
      <c r="C193" s="111">
        <f>[34]С2.5!$BC$11</f>
        <v>0</v>
      </c>
    </row>
    <row r="194" spans="2:3" hidden="1" x14ac:dyDescent="0.2">
      <c r="B194" s="110">
        <f t="shared" si="0"/>
        <v>2071</v>
      </c>
      <c r="C194" s="111">
        <f>[34]С2.5!$BD$11</f>
        <v>0</v>
      </c>
    </row>
    <row r="195" spans="2:3" hidden="1" x14ac:dyDescent="0.2">
      <c r="B195" s="110">
        <f t="shared" si="0"/>
        <v>2072</v>
      </c>
      <c r="C195" s="111">
        <f>[34]С2.5!$BE$11</f>
        <v>0</v>
      </c>
    </row>
    <row r="196" spans="2:3" hidden="1" x14ac:dyDescent="0.2">
      <c r="B196" s="110">
        <f t="shared" si="0"/>
        <v>2073</v>
      </c>
      <c r="C196" s="111">
        <f>[34]С2.5!$BF$11</f>
        <v>0</v>
      </c>
    </row>
    <row r="197" spans="2:3" hidden="1" x14ac:dyDescent="0.2">
      <c r="B197" s="110">
        <f t="shared" si="0"/>
        <v>2074</v>
      </c>
      <c r="C197" s="111">
        <f>[34]С2.5!$BG$11</f>
        <v>0</v>
      </c>
    </row>
    <row r="198" spans="2:3" hidden="1" x14ac:dyDescent="0.2">
      <c r="B198" s="110">
        <f t="shared" si="0"/>
        <v>2075</v>
      </c>
      <c r="C198" s="111">
        <f>[34]С2.5!$BH$11</f>
        <v>0</v>
      </c>
    </row>
    <row r="199" spans="2:3" hidden="1" x14ac:dyDescent="0.2">
      <c r="B199" s="110">
        <f t="shared" si="0"/>
        <v>2076</v>
      </c>
      <c r="C199" s="111">
        <f>[34]С2.5!$BI$11</f>
        <v>0</v>
      </c>
    </row>
    <row r="200" spans="2:3" hidden="1" x14ac:dyDescent="0.2">
      <c r="B200" s="110">
        <f t="shared" si="0"/>
        <v>2077</v>
      </c>
      <c r="C200" s="111">
        <f>[34]С2.5!$BJ$11</f>
        <v>0</v>
      </c>
    </row>
    <row r="201" spans="2:3" hidden="1" x14ac:dyDescent="0.2">
      <c r="B201" s="110">
        <f t="shared" si="0"/>
        <v>2078</v>
      </c>
      <c r="C201" s="111">
        <f>[34]С2.5!$BK$11</f>
        <v>0</v>
      </c>
    </row>
    <row r="202" spans="2:3" hidden="1" x14ac:dyDescent="0.2">
      <c r="B202" s="110">
        <f t="shared" si="0"/>
        <v>2079</v>
      </c>
      <c r="C202" s="111">
        <f>[34]С2.5!$BL$11</f>
        <v>0</v>
      </c>
    </row>
    <row r="203" spans="2:3" hidden="1" x14ac:dyDescent="0.2">
      <c r="B203" s="110">
        <f t="shared" si="0"/>
        <v>2080</v>
      </c>
      <c r="C203" s="111">
        <f>[34]С2.5!$BM$11</f>
        <v>0</v>
      </c>
    </row>
    <row r="204" spans="2:3" hidden="1" x14ac:dyDescent="0.2">
      <c r="B204" s="110">
        <f t="shared" si="0"/>
        <v>2081</v>
      </c>
      <c r="C204" s="111">
        <f>[34]С2.5!$BN$11</f>
        <v>0</v>
      </c>
    </row>
    <row r="205" spans="2:3" hidden="1" x14ac:dyDescent="0.2">
      <c r="B205" s="110">
        <f t="shared" si="0"/>
        <v>2082</v>
      </c>
      <c r="C205" s="111">
        <f>[34]С2.5!$BO$11</f>
        <v>0</v>
      </c>
    </row>
    <row r="206" spans="2:3" hidden="1" x14ac:dyDescent="0.2">
      <c r="B206" s="110">
        <f t="shared" si="0"/>
        <v>2083</v>
      </c>
      <c r="C206" s="111">
        <f>[34]С2.5!$BP$11</f>
        <v>0</v>
      </c>
    </row>
    <row r="207" spans="2:3" hidden="1" x14ac:dyDescent="0.2">
      <c r="B207" s="110">
        <f t="shared" si="0"/>
        <v>2084</v>
      </c>
      <c r="C207" s="111">
        <f>[34]С2.5!$BQ$11</f>
        <v>0</v>
      </c>
    </row>
    <row r="208" spans="2:3" hidden="1" x14ac:dyDescent="0.2">
      <c r="B208" s="110">
        <f t="shared" si="0"/>
        <v>2085</v>
      </c>
      <c r="C208" s="111">
        <f>[34]С2.5!$BR$11</f>
        <v>0</v>
      </c>
    </row>
    <row r="209" spans="2:3" hidden="1" x14ac:dyDescent="0.2">
      <c r="B209" s="110">
        <f t="shared" ref="B209:B223" si="1">B208+1</f>
        <v>2086</v>
      </c>
      <c r="C209" s="111">
        <f>[34]С2.5!$BS$11</f>
        <v>0</v>
      </c>
    </row>
    <row r="210" spans="2:3" hidden="1" x14ac:dyDescent="0.2">
      <c r="B210" s="110">
        <f t="shared" si="1"/>
        <v>2087</v>
      </c>
      <c r="C210" s="111">
        <f>[34]С2.5!$BT$11</f>
        <v>0</v>
      </c>
    </row>
    <row r="211" spans="2:3" hidden="1" x14ac:dyDescent="0.2">
      <c r="B211" s="110">
        <f t="shared" si="1"/>
        <v>2088</v>
      </c>
      <c r="C211" s="111">
        <f>[34]С2.5!$BU$11</f>
        <v>0</v>
      </c>
    </row>
    <row r="212" spans="2:3" hidden="1" x14ac:dyDescent="0.2">
      <c r="B212" s="110">
        <f t="shared" si="1"/>
        <v>2089</v>
      </c>
      <c r="C212" s="111">
        <f>[34]С2.5!$BV$11</f>
        <v>0</v>
      </c>
    </row>
    <row r="213" spans="2:3" hidden="1" x14ac:dyDescent="0.2">
      <c r="B213" s="110">
        <f t="shared" si="1"/>
        <v>2090</v>
      </c>
      <c r="C213" s="111">
        <f>[34]С2.5!$BW$11</f>
        <v>0</v>
      </c>
    </row>
    <row r="214" spans="2:3" hidden="1" x14ac:dyDescent="0.2">
      <c r="B214" s="110">
        <f t="shared" si="1"/>
        <v>2091</v>
      </c>
      <c r="C214" s="111">
        <f>[34]С2.5!$BX$11</f>
        <v>0</v>
      </c>
    </row>
    <row r="215" spans="2:3" hidden="1" x14ac:dyDescent="0.2">
      <c r="B215" s="110">
        <f t="shared" si="1"/>
        <v>2092</v>
      </c>
      <c r="C215" s="111">
        <f>[34]С2.5!$BY$11</f>
        <v>0</v>
      </c>
    </row>
    <row r="216" spans="2:3" hidden="1" x14ac:dyDescent="0.2">
      <c r="B216" s="110">
        <f t="shared" si="1"/>
        <v>2093</v>
      </c>
      <c r="C216" s="111">
        <f>[34]С2.5!$BZ$11</f>
        <v>0</v>
      </c>
    </row>
    <row r="217" spans="2:3" hidden="1" x14ac:dyDescent="0.2">
      <c r="B217" s="110">
        <f t="shared" si="1"/>
        <v>2094</v>
      </c>
      <c r="C217" s="111">
        <f>[34]С2.5!$CA$11</f>
        <v>0</v>
      </c>
    </row>
    <row r="218" spans="2:3" hidden="1" x14ac:dyDescent="0.2">
      <c r="B218" s="110">
        <f t="shared" si="1"/>
        <v>2095</v>
      </c>
      <c r="C218" s="111">
        <f>[34]С2.5!$CB$11</f>
        <v>0</v>
      </c>
    </row>
    <row r="219" spans="2:3" hidden="1" x14ac:dyDescent="0.2">
      <c r="B219" s="110">
        <f t="shared" si="1"/>
        <v>2096</v>
      </c>
      <c r="C219" s="111">
        <f>[34]С2.5!$CC$11</f>
        <v>0</v>
      </c>
    </row>
    <row r="220" spans="2:3" hidden="1" x14ac:dyDescent="0.2">
      <c r="B220" s="110">
        <f t="shared" si="1"/>
        <v>2097</v>
      </c>
      <c r="C220" s="111">
        <f>[34]С2.5!$CD$11</f>
        <v>0</v>
      </c>
    </row>
    <row r="221" spans="2:3" hidden="1" x14ac:dyDescent="0.2">
      <c r="B221" s="110">
        <f t="shared" si="1"/>
        <v>2098</v>
      </c>
      <c r="C221" s="111">
        <f>[34]С2.5!$CE$11</f>
        <v>0</v>
      </c>
    </row>
    <row r="222" spans="2:3" hidden="1" x14ac:dyDescent="0.2">
      <c r="B222" s="110">
        <f t="shared" si="1"/>
        <v>2099</v>
      </c>
      <c r="C222" s="111">
        <f>[34]С2.5!$CF$11</f>
        <v>0</v>
      </c>
    </row>
    <row r="223" spans="2:3" ht="13.5" hidden="1" thickBot="1" x14ac:dyDescent="0.25">
      <c r="B223" s="112">
        <f t="shared" si="1"/>
        <v>2100</v>
      </c>
      <c r="C223" s="113">
        <f>[34]С2.5!$CG$11</f>
        <v>0</v>
      </c>
    </row>
    <row r="224" spans="2:3" hidden="1" x14ac:dyDescent="0.2">
      <c r="C224" s="116"/>
    </row>
    <row r="225" spans="3:3" hidden="1" x14ac:dyDescent="0.2">
      <c r="C225" s="116"/>
    </row>
    <row r="226" spans="3:3" x14ac:dyDescent="0.2">
      <c r="C226" s="116"/>
    </row>
  </sheetData>
  <mergeCells count="9">
    <mergeCell ref="B141:C141"/>
    <mergeCell ref="A14:C14"/>
    <mergeCell ref="B1:C1"/>
    <mergeCell ref="B27:C27"/>
    <mergeCell ref="B40:C40"/>
    <mergeCell ref="B84:C84"/>
    <mergeCell ref="B95:C95"/>
    <mergeCell ref="B124:C124"/>
    <mergeCell ref="B127:C127"/>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26"/>
  <sheetViews>
    <sheetView workbookViewId="0">
      <selection activeCell="C7" sqref="C7"/>
    </sheetView>
  </sheetViews>
  <sheetFormatPr defaultRowHeight="12.75" x14ac:dyDescent="0.2"/>
  <cols>
    <col min="1" max="1" width="7.28515625" style="2" customWidth="1"/>
    <col min="2" max="2" width="100.7109375" style="2" customWidth="1"/>
    <col min="3" max="3" width="20.85546875" style="139" customWidth="1"/>
    <col min="4" max="151" width="9.140625" style="2"/>
    <col min="152" max="233" width="0" style="2" hidden="1" customWidth="1"/>
    <col min="234" max="242" width="9.140625" style="2"/>
    <col min="243" max="243" width="3.7109375" style="2" customWidth="1"/>
    <col min="244" max="244" width="96.85546875" style="2" customWidth="1"/>
    <col min="245" max="245" width="30.85546875" style="2" customWidth="1"/>
    <col min="246" max="246" width="12.5703125" style="2" customWidth="1"/>
    <col min="247" max="247" width="5.140625" style="2" customWidth="1"/>
    <col min="248" max="248" width="9.140625" style="2"/>
    <col min="249" max="249" width="4.85546875" style="2" customWidth="1"/>
    <col min="250" max="250" width="30.5703125" style="2" customWidth="1"/>
    <col min="251" max="251" width="33.85546875" style="2" customWidth="1"/>
    <col min="252" max="252" width="5.140625" style="2" customWidth="1"/>
    <col min="253" max="254" width="17.5703125" style="2" customWidth="1"/>
    <col min="255" max="498" width="9.140625" style="2"/>
    <col min="499" max="499" width="3.7109375" style="2" customWidth="1"/>
    <col min="500" max="500" width="96.85546875" style="2" customWidth="1"/>
    <col min="501" max="501" width="30.85546875" style="2" customWidth="1"/>
    <col min="502" max="502" width="12.5703125" style="2" customWidth="1"/>
    <col min="503" max="503" width="5.140625" style="2" customWidth="1"/>
    <col min="504" max="504" width="9.140625" style="2"/>
    <col min="505" max="505" width="4.85546875" style="2" customWidth="1"/>
    <col min="506" max="506" width="30.5703125" style="2" customWidth="1"/>
    <col min="507" max="507" width="33.85546875" style="2" customWidth="1"/>
    <col min="508" max="508" width="5.140625" style="2" customWidth="1"/>
    <col min="509" max="510" width="17.5703125" style="2" customWidth="1"/>
    <col min="511" max="754" width="9.140625" style="2"/>
    <col min="755" max="755" width="3.7109375" style="2" customWidth="1"/>
    <col min="756" max="756" width="96.85546875" style="2" customWidth="1"/>
    <col min="757" max="757" width="30.85546875" style="2" customWidth="1"/>
    <col min="758" max="758" width="12.5703125" style="2" customWidth="1"/>
    <col min="759" max="759" width="5.140625" style="2" customWidth="1"/>
    <col min="760" max="760" width="9.140625" style="2"/>
    <col min="761" max="761" width="4.85546875" style="2" customWidth="1"/>
    <col min="762" max="762" width="30.5703125" style="2" customWidth="1"/>
    <col min="763" max="763" width="33.85546875" style="2" customWidth="1"/>
    <col min="764" max="764" width="5.140625" style="2" customWidth="1"/>
    <col min="765" max="766" width="17.5703125" style="2" customWidth="1"/>
    <col min="767" max="1010" width="9.140625" style="2"/>
    <col min="1011" max="1011" width="3.7109375" style="2" customWidth="1"/>
    <col min="1012" max="1012" width="96.85546875" style="2" customWidth="1"/>
    <col min="1013" max="1013" width="30.85546875" style="2" customWidth="1"/>
    <col min="1014" max="1014" width="12.5703125" style="2" customWidth="1"/>
    <col min="1015" max="1015" width="5.140625" style="2" customWidth="1"/>
    <col min="1016" max="1016" width="9.140625" style="2"/>
    <col min="1017" max="1017" width="4.85546875" style="2" customWidth="1"/>
    <col min="1018" max="1018" width="30.5703125" style="2" customWidth="1"/>
    <col min="1019" max="1019" width="33.85546875" style="2" customWidth="1"/>
    <col min="1020" max="1020" width="5.140625" style="2" customWidth="1"/>
    <col min="1021" max="1022" width="17.5703125" style="2" customWidth="1"/>
    <col min="1023" max="1266" width="9.140625" style="2"/>
    <col min="1267" max="1267" width="3.7109375" style="2" customWidth="1"/>
    <col min="1268" max="1268" width="96.85546875" style="2" customWidth="1"/>
    <col min="1269" max="1269" width="30.85546875" style="2" customWidth="1"/>
    <col min="1270" max="1270" width="12.5703125" style="2" customWidth="1"/>
    <col min="1271" max="1271" width="5.140625" style="2" customWidth="1"/>
    <col min="1272" max="1272" width="9.140625" style="2"/>
    <col min="1273" max="1273" width="4.85546875" style="2" customWidth="1"/>
    <col min="1274" max="1274" width="30.5703125" style="2" customWidth="1"/>
    <col min="1275" max="1275" width="33.85546875" style="2" customWidth="1"/>
    <col min="1276" max="1276" width="5.140625" style="2" customWidth="1"/>
    <col min="1277" max="1278" width="17.5703125" style="2" customWidth="1"/>
    <col min="1279" max="1522" width="9.140625" style="2"/>
    <col min="1523" max="1523" width="3.7109375" style="2" customWidth="1"/>
    <col min="1524" max="1524" width="96.85546875" style="2" customWidth="1"/>
    <col min="1525" max="1525" width="30.85546875" style="2" customWidth="1"/>
    <col min="1526" max="1526" width="12.5703125" style="2" customWidth="1"/>
    <col min="1527" max="1527" width="5.140625" style="2" customWidth="1"/>
    <col min="1528" max="1528" width="9.140625" style="2"/>
    <col min="1529" max="1529" width="4.85546875" style="2" customWidth="1"/>
    <col min="1530" max="1530" width="30.5703125" style="2" customWidth="1"/>
    <col min="1531" max="1531" width="33.85546875" style="2" customWidth="1"/>
    <col min="1532" max="1532" width="5.140625" style="2" customWidth="1"/>
    <col min="1533" max="1534" width="17.5703125" style="2" customWidth="1"/>
    <col min="1535" max="1778" width="9.140625" style="2"/>
    <col min="1779" max="1779" width="3.7109375" style="2" customWidth="1"/>
    <col min="1780" max="1780" width="96.85546875" style="2" customWidth="1"/>
    <col min="1781" max="1781" width="30.85546875" style="2" customWidth="1"/>
    <col min="1782" max="1782" width="12.5703125" style="2" customWidth="1"/>
    <col min="1783" max="1783" width="5.140625" style="2" customWidth="1"/>
    <col min="1784" max="1784" width="9.140625" style="2"/>
    <col min="1785" max="1785" width="4.85546875" style="2" customWidth="1"/>
    <col min="1786" max="1786" width="30.5703125" style="2" customWidth="1"/>
    <col min="1787" max="1787" width="33.85546875" style="2" customWidth="1"/>
    <col min="1788" max="1788" width="5.140625" style="2" customWidth="1"/>
    <col min="1789" max="1790" width="17.5703125" style="2" customWidth="1"/>
    <col min="1791" max="2034" width="9.140625" style="2"/>
    <col min="2035" max="2035" width="3.7109375" style="2" customWidth="1"/>
    <col min="2036" max="2036" width="96.85546875" style="2" customWidth="1"/>
    <col min="2037" max="2037" width="30.85546875" style="2" customWidth="1"/>
    <col min="2038" max="2038" width="12.5703125" style="2" customWidth="1"/>
    <col min="2039" max="2039" width="5.140625" style="2" customWidth="1"/>
    <col min="2040" max="2040" width="9.140625" style="2"/>
    <col min="2041" max="2041" width="4.85546875" style="2" customWidth="1"/>
    <col min="2042" max="2042" width="30.5703125" style="2" customWidth="1"/>
    <col min="2043" max="2043" width="33.85546875" style="2" customWidth="1"/>
    <col min="2044" max="2044" width="5.140625" style="2" customWidth="1"/>
    <col min="2045" max="2046" width="17.5703125" style="2" customWidth="1"/>
    <col min="2047" max="2290" width="9.140625" style="2"/>
    <col min="2291" max="2291" width="3.7109375" style="2" customWidth="1"/>
    <col min="2292" max="2292" width="96.85546875" style="2" customWidth="1"/>
    <col min="2293" max="2293" width="30.85546875" style="2" customWidth="1"/>
    <col min="2294" max="2294" width="12.5703125" style="2" customWidth="1"/>
    <col min="2295" max="2295" width="5.140625" style="2" customWidth="1"/>
    <col min="2296" max="2296" width="9.140625" style="2"/>
    <col min="2297" max="2297" width="4.85546875" style="2" customWidth="1"/>
    <col min="2298" max="2298" width="30.5703125" style="2" customWidth="1"/>
    <col min="2299" max="2299" width="33.85546875" style="2" customWidth="1"/>
    <col min="2300" max="2300" width="5.140625" style="2" customWidth="1"/>
    <col min="2301" max="2302" width="17.5703125" style="2" customWidth="1"/>
    <col min="2303" max="2546" width="9.140625" style="2"/>
    <col min="2547" max="2547" width="3.7109375" style="2" customWidth="1"/>
    <col min="2548" max="2548" width="96.85546875" style="2" customWidth="1"/>
    <col min="2549" max="2549" width="30.85546875" style="2" customWidth="1"/>
    <col min="2550" max="2550" width="12.5703125" style="2" customWidth="1"/>
    <col min="2551" max="2551" width="5.140625" style="2" customWidth="1"/>
    <col min="2552" max="2552" width="9.140625" style="2"/>
    <col min="2553" max="2553" width="4.85546875" style="2" customWidth="1"/>
    <col min="2554" max="2554" width="30.5703125" style="2" customWidth="1"/>
    <col min="2555" max="2555" width="33.85546875" style="2" customWidth="1"/>
    <col min="2556" max="2556" width="5.140625" style="2" customWidth="1"/>
    <col min="2557" max="2558" width="17.5703125" style="2" customWidth="1"/>
    <col min="2559" max="2802" width="9.140625" style="2"/>
    <col min="2803" max="2803" width="3.7109375" style="2" customWidth="1"/>
    <col min="2804" max="2804" width="96.85546875" style="2" customWidth="1"/>
    <col min="2805" max="2805" width="30.85546875" style="2" customWidth="1"/>
    <col min="2806" max="2806" width="12.5703125" style="2" customWidth="1"/>
    <col min="2807" max="2807" width="5.140625" style="2" customWidth="1"/>
    <col min="2808" max="2808" width="9.140625" style="2"/>
    <col min="2809" max="2809" width="4.85546875" style="2" customWidth="1"/>
    <col min="2810" max="2810" width="30.5703125" style="2" customWidth="1"/>
    <col min="2811" max="2811" width="33.85546875" style="2" customWidth="1"/>
    <col min="2812" max="2812" width="5.140625" style="2" customWidth="1"/>
    <col min="2813" max="2814" width="17.5703125" style="2" customWidth="1"/>
    <col min="2815" max="3058" width="9.140625" style="2"/>
    <col min="3059" max="3059" width="3.7109375" style="2" customWidth="1"/>
    <col min="3060" max="3060" width="96.85546875" style="2" customWidth="1"/>
    <col min="3061" max="3061" width="30.85546875" style="2" customWidth="1"/>
    <col min="3062" max="3062" width="12.5703125" style="2" customWidth="1"/>
    <col min="3063" max="3063" width="5.140625" style="2" customWidth="1"/>
    <col min="3064" max="3064" width="9.140625" style="2"/>
    <col min="3065" max="3065" width="4.85546875" style="2" customWidth="1"/>
    <col min="3066" max="3066" width="30.5703125" style="2" customWidth="1"/>
    <col min="3067" max="3067" width="33.85546875" style="2" customWidth="1"/>
    <col min="3068" max="3068" width="5.140625" style="2" customWidth="1"/>
    <col min="3069" max="3070" width="17.5703125" style="2" customWidth="1"/>
    <col min="3071" max="3314" width="9.140625" style="2"/>
    <col min="3315" max="3315" width="3.7109375" style="2" customWidth="1"/>
    <col min="3316" max="3316" width="96.85546875" style="2" customWidth="1"/>
    <col min="3317" max="3317" width="30.85546875" style="2" customWidth="1"/>
    <col min="3318" max="3318" width="12.5703125" style="2" customWidth="1"/>
    <col min="3319" max="3319" width="5.140625" style="2" customWidth="1"/>
    <col min="3320" max="3320" width="9.140625" style="2"/>
    <col min="3321" max="3321" width="4.85546875" style="2" customWidth="1"/>
    <col min="3322" max="3322" width="30.5703125" style="2" customWidth="1"/>
    <col min="3323" max="3323" width="33.85546875" style="2" customWidth="1"/>
    <col min="3324" max="3324" width="5.140625" style="2" customWidth="1"/>
    <col min="3325" max="3326" width="17.5703125" style="2" customWidth="1"/>
    <col min="3327" max="3570" width="9.140625" style="2"/>
    <col min="3571" max="3571" width="3.7109375" style="2" customWidth="1"/>
    <col min="3572" max="3572" width="96.85546875" style="2" customWidth="1"/>
    <col min="3573" max="3573" width="30.85546875" style="2" customWidth="1"/>
    <col min="3574" max="3574" width="12.5703125" style="2" customWidth="1"/>
    <col min="3575" max="3575" width="5.140625" style="2" customWidth="1"/>
    <col min="3576" max="3576" width="9.140625" style="2"/>
    <col min="3577" max="3577" width="4.85546875" style="2" customWidth="1"/>
    <col min="3578" max="3578" width="30.5703125" style="2" customWidth="1"/>
    <col min="3579" max="3579" width="33.85546875" style="2" customWidth="1"/>
    <col min="3580" max="3580" width="5.140625" style="2" customWidth="1"/>
    <col min="3581" max="3582" width="17.5703125" style="2" customWidth="1"/>
    <col min="3583" max="3826" width="9.140625" style="2"/>
    <col min="3827" max="3827" width="3.7109375" style="2" customWidth="1"/>
    <col min="3828" max="3828" width="96.85546875" style="2" customWidth="1"/>
    <col min="3829" max="3829" width="30.85546875" style="2" customWidth="1"/>
    <col min="3830" max="3830" width="12.5703125" style="2" customWidth="1"/>
    <col min="3831" max="3831" width="5.140625" style="2" customWidth="1"/>
    <col min="3832" max="3832" width="9.140625" style="2"/>
    <col min="3833" max="3833" width="4.85546875" style="2" customWidth="1"/>
    <col min="3834" max="3834" width="30.5703125" style="2" customWidth="1"/>
    <col min="3835" max="3835" width="33.85546875" style="2" customWidth="1"/>
    <col min="3836" max="3836" width="5.140625" style="2" customWidth="1"/>
    <col min="3837" max="3838" width="17.5703125" style="2" customWidth="1"/>
    <col min="3839" max="4082" width="9.140625" style="2"/>
    <col min="4083" max="4083" width="3.7109375" style="2" customWidth="1"/>
    <col min="4084" max="4084" width="96.85546875" style="2" customWidth="1"/>
    <col min="4085" max="4085" width="30.85546875" style="2" customWidth="1"/>
    <col min="4086" max="4086" width="12.5703125" style="2" customWidth="1"/>
    <col min="4087" max="4087" width="5.140625" style="2" customWidth="1"/>
    <col min="4088" max="4088" width="9.140625" style="2"/>
    <col min="4089" max="4089" width="4.85546875" style="2" customWidth="1"/>
    <col min="4090" max="4090" width="30.5703125" style="2" customWidth="1"/>
    <col min="4091" max="4091" width="33.85546875" style="2" customWidth="1"/>
    <col min="4092" max="4092" width="5.140625" style="2" customWidth="1"/>
    <col min="4093" max="4094" width="17.5703125" style="2" customWidth="1"/>
    <col min="4095" max="4338" width="9.140625" style="2"/>
    <col min="4339" max="4339" width="3.7109375" style="2" customWidth="1"/>
    <col min="4340" max="4340" width="96.85546875" style="2" customWidth="1"/>
    <col min="4341" max="4341" width="30.85546875" style="2" customWidth="1"/>
    <col min="4342" max="4342" width="12.5703125" style="2" customWidth="1"/>
    <col min="4343" max="4343" width="5.140625" style="2" customWidth="1"/>
    <col min="4344" max="4344" width="9.140625" style="2"/>
    <col min="4345" max="4345" width="4.85546875" style="2" customWidth="1"/>
    <col min="4346" max="4346" width="30.5703125" style="2" customWidth="1"/>
    <col min="4347" max="4347" width="33.85546875" style="2" customWidth="1"/>
    <col min="4348" max="4348" width="5.140625" style="2" customWidth="1"/>
    <col min="4349" max="4350" width="17.5703125" style="2" customWidth="1"/>
    <col min="4351" max="4594" width="9.140625" style="2"/>
    <col min="4595" max="4595" width="3.7109375" style="2" customWidth="1"/>
    <col min="4596" max="4596" width="96.85546875" style="2" customWidth="1"/>
    <col min="4597" max="4597" width="30.85546875" style="2" customWidth="1"/>
    <col min="4598" max="4598" width="12.5703125" style="2" customWidth="1"/>
    <col min="4599" max="4599" width="5.140625" style="2" customWidth="1"/>
    <col min="4600" max="4600" width="9.140625" style="2"/>
    <col min="4601" max="4601" width="4.85546875" style="2" customWidth="1"/>
    <col min="4602" max="4602" width="30.5703125" style="2" customWidth="1"/>
    <col min="4603" max="4603" width="33.85546875" style="2" customWidth="1"/>
    <col min="4604" max="4604" width="5.140625" style="2" customWidth="1"/>
    <col min="4605" max="4606" width="17.5703125" style="2" customWidth="1"/>
    <col min="4607" max="4850" width="9.140625" style="2"/>
    <col min="4851" max="4851" width="3.7109375" style="2" customWidth="1"/>
    <col min="4852" max="4852" width="96.85546875" style="2" customWidth="1"/>
    <col min="4853" max="4853" width="30.85546875" style="2" customWidth="1"/>
    <col min="4854" max="4854" width="12.5703125" style="2" customWidth="1"/>
    <col min="4855" max="4855" width="5.140625" style="2" customWidth="1"/>
    <col min="4856" max="4856" width="9.140625" style="2"/>
    <col min="4857" max="4857" width="4.85546875" style="2" customWidth="1"/>
    <col min="4858" max="4858" width="30.5703125" style="2" customWidth="1"/>
    <col min="4859" max="4859" width="33.85546875" style="2" customWidth="1"/>
    <col min="4860" max="4860" width="5.140625" style="2" customWidth="1"/>
    <col min="4861" max="4862" width="17.5703125" style="2" customWidth="1"/>
    <col min="4863" max="5106" width="9.140625" style="2"/>
    <col min="5107" max="5107" width="3.7109375" style="2" customWidth="1"/>
    <col min="5108" max="5108" width="96.85546875" style="2" customWidth="1"/>
    <col min="5109" max="5109" width="30.85546875" style="2" customWidth="1"/>
    <col min="5110" max="5110" width="12.5703125" style="2" customWidth="1"/>
    <col min="5111" max="5111" width="5.140625" style="2" customWidth="1"/>
    <col min="5112" max="5112" width="9.140625" style="2"/>
    <col min="5113" max="5113" width="4.85546875" style="2" customWidth="1"/>
    <col min="5114" max="5114" width="30.5703125" style="2" customWidth="1"/>
    <col min="5115" max="5115" width="33.85546875" style="2" customWidth="1"/>
    <col min="5116" max="5116" width="5.140625" style="2" customWidth="1"/>
    <col min="5117" max="5118" width="17.5703125" style="2" customWidth="1"/>
    <col min="5119" max="5362" width="9.140625" style="2"/>
    <col min="5363" max="5363" width="3.7109375" style="2" customWidth="1"/>
    <col min="5364" max="5364" width="96.85546875" style="2" customWidth="1"/>
    <col min="5365" max="5365" width="30.85546875" style="2" customWidth="1"/>
    <col min="5366" max="5366" width="12.5703125" style="2" customWidth="1"/>
    <col min="5367" max="5367" width="5.140625" style="2" customWidth="1"/>
    <col min="5368" max="5368" width="9.140625" style="2"/>
    <col min="5369" max="5369" width="4.85546875" style="2" customWidth="1"/>
    <col min="5370" max="5370" width="30.5703125" style="2" customWidth="1"/>
    <col min="5371" max="5371" width="33.85546875" style="2" customWidth="1"/>
    <col min="5372" max="5372" width="5.140625" style="2" customWidth="1"/>
    <col min="5373" max="5374" width="17.5703125" style="2" customWidth="1"/>
    <col min="5375" max="5618" width="9.140625" style="2"/>
    <col min="5619" max="5619" width="3.7109375" style="2" customWidth="1"/>
    <col min="5620" max="5620" width="96.85546875" style="2" customWidth="1"/>
    <col min="5621" max="5621" width="30.85546875" style="2" customWidth="1"/>
    <col min="5622" max="5622" width="12.5703125" style="2" customWidth="1"/>
    <col min="5623" max="5623" width="5.140625" style="2" customWidth="1"/>
    <col min="5624" max="5624" width="9.140625" style="2"/>
    <col min="5625" max="5625" width="4.85546875" style="2" customWidth="1"/>
    <col min="5626" max="5626" width="30.5703125" style="2" customWidth="1"/>
    <col min="5627" max="5627" width="33.85546875" style="2" customWidth="1"/>
    <col min="5628" max="5628" width="5.140625" style="2" customWidth="1"/>
    <col min="5629" max="5630" width="17.5703125" style="2" customWidth="1"/>
    <col min="5631" max="5874" width="9.140625" style="2"/>
    <col min="5875" max="5875" width="3.7109375" style="2" customWidth="1"/>
    <col min="5876" max="5876" width="96.85546875" style="2" customWidth="1"/>
    <col min="5877" max="5877" width="30.85546875" style="2" customWidth="1"/>
    <col min="5878" max="5878" width="12.5703125" style="2" customWidth="1"/>
    <col min="5879" max="5879" width="5.140625" style="2" customWidth="1"/>
    <col min="5880" max="5880" width="9.140625" style="2"/>
    <col min="5881" max="5881" width="4.85546875" style="2" customWidth="1"/>
    <col min="5882" max="5882" width="30.5703125" style="2" customWidth="1"/>
    <col min="5883" max="5883" width="33.85546875" style="2" customWidth="1"/>
    <col min="5884" max="5884" width="5.140625" style="2" customWidth="1"/>
    <col min="5885" max="5886" width="17.5703125" style="2" customWidth="1"/>
    <col min="5887" max="6130" width="9.140625" style="2"/>
    <col min="6131" max="6131" width="3.7109375" style="2" customWidth="1"/>
    <col min="6132" max="6132" width="96.85546875" style="2" customWidth="1"/>
    <col min="6133" max="6133" width="30.85546875" style="2" customWidth="1"/>
    <col min="6134" max="6134" width="12.5703125" style="2" customWidth="1"/>
    <col min="6135" max="6135" width="5.140625" style="2" customWidth="1"/>
    <col min="6136" max="6136" width="9.140625" style="2"/>
    <col min="6137" max="6137" width="4.85546875" style="2" customWidth="1"/>
    <col min="6138" max="6138" width="30.5703125" style="2" customWidth="1"/>
    <col min="6139" max="6139" width="33.85546875" style="2" customWidth="1"/>
    <col min="6140" max="6140" width="5.140625" style="2" customWidth="1"/>
    <col min="6141" max="6142" width="17.5703125" style="2" customWidth="1"/>
    <col min="6143" max="6386" width="9.140625" style="2"/>
    <col min="6387" max="6387" width="3.7109375" style="2" customWidth="1"/>
    <col min="6388" max="6388" width="96.85546875" style="2" customWidth="1"/>
    <col min="6389" max="6389" width="30.85546875" style="2" customWidth="1"/>
    <col min="6390" max="6390" width="12.5703125" style="2" customWidth="1"/>
    <col min="6391" max="6391" width="5.140625" style="2" customWidth="1"/>
    <col min="6392" max="6392" width="9.140625" style="2"/>
    <col min="6393" max="6393" width="4.85546875" style="2" customWidth="1"/>
    <col min="6394" max="6394" width="30.5703125" style="2" customWidth="1"/>
    <col min="6395" max="6395" width="33.85546875" style="2" customWidth="1"/>
    <col min="6396" max="6396" width="5.140625" style="2" customWidth="1"/>
    <col min="6397" max="6398" width="17.5703125" style="2" customWidth="1"/>
    <col min="6399" max="6642" width="9.140625" style="2"/>
    <col min="6643" max="6643" width="3.7109375" style="2" customWidth="1"/>
    <col min="6644" max="6644" width="96.85546875" style="2" customWidth="1"/>
    <col min="6645" max="6645" width="30.85546875" style="2" customWidth="1"/>
    <col min="6646" max="6646" width="12.5703125" style="2" customWidth="1"/>
    <col min="6647" max="6647" width="5.140625" style="2" customWidth="1"/>
    <col min="6648" max="6648" width="9.140625" style="2"/>
    <col min="6649" max="6649" width="4.85546875" style="2" customWidth="1"/>
    <col min="6650" max="6650" width="30.5703125" style="2" customWidth="1"/>
    <col min="6651" max="6651" width="33.85546875" style="2" customWidth="1"/>
    <col min="6652" max="6652" width="5.140625" style="2" customWidth="1"/>
    <col min="6653" max="6654" width="17.5703125" style="2" customWidth="1"/>
    <col min="6655" max="6898" width="9.140625" style="2"/>
    <col min="6899" max="6899" width="3.7109375" style="2" customWidth="1"/>
    <col min="6900" max="6900" width="96.85546875" style="2" customWidth="1"/>
    <col min="6901" max="6901" width="30.85546875" style="2" customWidth="1"/>
    <col min="6902" max="6902" width="12.5703125" style="2" customWidth="1"/>
    <col min="6903" max="6903" width="5.140625" style="2" customWidth="1"/>
    <col min="6904" max="6904" width="9.140625" style="2"/>
    <col min="6905" max="6905" width="4.85546875" style="2" customWidth="1"/>
    <col min="6906" max="6906" width="30.5703125" style="2" customWidth="1"/>
    <col min="6907" max="6907" width="33.85546875" style="2" customWidth="1"/>
    <col min="6908" max="6908" width="5.140625" style="2" customWidth="1"/>
    <col min="6909" max="6910" width="17.5703125" style="2" customWidth="1"/>
    <col min="6911" max="7154" width="9.140625" style="2"/>
    <col min="7155" max="7155" width="3.7109375" style="2" customWidth="1"/>
    <col min="7156" max="7156" width="96.85546875" style="2" customWidth="1"/>
    <col min="7157" max="7157" width="30.85546875" style="2" customWidth="1"/>
    <col min="7158" max="7158" width="12.5703125" style="2" customWidth="1"/>
    <col min="7159" max="7159" width="5.140625" style="2" customWidth="1"/>
    <col min="7160" max="7160" width="9.140625" style="2"/>
    <col min="7161" max="7161" width="4.85546875" style="2" customWidth="1"/>
    <col min="7162" max="7162" width="30.5703125" style="2" customWidth="1"/>
    <col min="7163" max="7163" width="33.85546875" style="2" customWidth="1"/>
    <col min="7164" max="7164" width="5.140625" style="2" customWidth="1"/>
    <col min="7165" max="7166" width="17.5703125" style="2" customWidth="1"/>
    <col min="7167" max="7410" width="9.140625" style="2"/>
    <col min="7411" max="7411" width="3.7109375" style="2" customWidth="1"/>
    <col min="7412" max="7412" width="96.85546875" style="2" customWidth="1"/>
    <col min="7413" max="7413" width="30.85546875" style="2" customWidth="1"/>
    <col min="7414" max="7414" width="12.5703125" style="2" customWidth="1"/>
    <col min="7415" max="7415" width="5.140625" style="2" customWidth="1"/>
    <col min="7416" max="7416" width="9.140625" style="2"/>
    <col min="7417" max="7417" width="4.85546875" style="2" customWidth="1"/>
    <col min="7418" max="7418" width="30.5703125" style="2" customWidth="1"/>
    <col min="7419" max="7419" width="33.85546875" style="2" customWidth="1"/>
    <col min="7420" max="7420" width="5.140625" style="2" customWidth="1"/>
    <col min="7421" max="7422" width="17.5703125" style="2" customWidth="1"/>
    <col min="7423" max="7666" width="9.140625" style="2"/>
    <col min="7667" max="7667" width="3.7109375" style="2" customWidth="1"/>
    <col min="7668" max="7668" width="96.85546875" style="2" customWidth="1"/>
    <col min="7669" max="7669" width="30.85546875" style="2" customWidth="1"/>
    <col min="7670" max="7670" width="12.5703125" style="2" customWidth="1"/>
    <col min="7671" max="7671" width="5.140625" style="2" customWidth="1"/>
    <col min="7672" max="7672" width="9.140625" style="2"/>
    <col min="7673" max="7673" width="4.85546875" style="2" customWidth="1"/>
    <col min="7674" max="7674" width="30.5703125" style="2" customWidth="1"/>
    <col min="7675" max="7675" width="33.85546875" style="2" customWidth="1"/>
    <col min="7676" max="7676" width="5.140625" style="2" customWidth="1"/>
    <col min="7677" max="7678" width="17.5703125" style="2" customWidth="1"/>
    <col min="7679" max="7922" width="9.140625" style="2"/>
    <col min="7923" max="7923" width="3.7109375" style="2" customWidth="1"/>
    <col min="7924" max="7924" width="96.85546875" style="2" customWidth="1"/>
    <col min="7925" max="7925" width="30.85546875" style="2" customWidth="1"/>
    <col min="7926" max="7926" width="12.5703125" style="2" customWidth="1"/>
    <col min="7927" max="7927" width="5.140625" style="2" customWidth="1"/>
    <col min="7928" max="7928" width="9.140625" style="2"/>
    <col min="7929" max="7929" width="4.85546875" style="2" customWidth="1"/>
    <col min="7930" max="7930" width="30.5703125" style="2" customWidth="1"/>
    <col min="7931" max="7931" width="33.85546875" style="2" customWidth="1"/>
    <col min="7932" max="7932" width="5.140625" style="2" customWidth="1"/>
    <col min="7933" max="7934" width="17.5703125" style="2" customWidth="1"/>
    <col min="7935" max="8178" width="9.140625" style="2"/>
    <col min="8179" max="8179" width="3.7109375" style="2" customWidth="1"/>
    <col min="8180" max="8180" width="96.85546875" style="2" customWidth="1"/>
    <col min="8181" max="8181" width="30.85546875" style="2" customWidth="1"/>
    <col min="8182" max="8182" width="12.5703125" style="2" customWidth="1"/>
    <col min="8183" max="8183" width="5.140625" style="2" customWidth="1"/>
    <col min="8184" max="8184" width="9.140625" style="2"/>
    <col min="8185" max="8185" width="4.85546875" style="2" customWidth="1"/>
    <col min="8186" max="8186" width="30.5703125" style="2" customWidth="1"/>
    <col min="8187" max="8187" width="33.85546875" style="2" customWidth="1"/>
    <col min="8188" max="8188" width="5.140625" style="2" customWidth="1"/>
    <col min="8189" max="8190" width="17.5703125" style="2" customWidth="1"/>
    <col min="8191" max="8434" width="9.140625" style="2"/>
    <col min="8435" max="8435" width="3.7109375" style="2" customWidth="1"/>
    <col min="8436" max="8436" width="96.85546875" style="2" customWidth="1"/>
    <col min="8437" max="8437" width="30.85546875" style="2" customWidth="1"/>
    <col min="8438" max="8438" width="12.5703125" style="2" customWidth="1"/>
    <col min="8439" max="8439" width="5.140625" style="2" customWidth="1"/>
    <col min="8440" max="8440" width="9.140625" style="2"/>
    <col min="8441" max="8441" width="4.85546875" style="2" customWidth="1"/>
    <col min="8442" max="8442" width="30.5703125" style="2" customWidth="1"/>
    <col min="8443" max="8443" width="33.85546875" style="2" customWidth="1"/>
    <col min="8444" max="8444" width="5.140625" style="2" customWidth="1"/>
    <col min="8445" max="8446" width="17.5703125" style="2" customWidth="1"/>
    <col min="8447" max="8690" width="9.140625" style="2"/>
    <col min="8691" max="8691" width="3.7109375" style="2" customWidth="1"/>
    <col min="8692" max="8692" width="96.85546875" style="2" customWidth="1"/>
    <col min="8693" max="8693" width="30.85546875" style="2" customWidth="1"/>
    <col min="8694" max="8694" width="12.5703125" style="2" customWidth="1"/>
    <col min="8695" max="8695" width="5.140625" style="2" customWidth="1"/>
    <col min="8696" max="8696" width="9.140625" style="2"/>
    <col min="8697" max="8697" width="4.85546875" style="2" customWidth="1"/>
    <col min="8698" max="8698" width="30.5703125" style="2" customWidth="1"/>
    <col min="8699" max="8699" width="33.85546875" style="2" customWidth="1"/>
    <col min="8700" max="8700" width="5.140625" style="2" customWidth="1"/>
    <col min="8701" max="8702" width="17.5703125" style="2" customWidth="1"/>
    <col min="8703" max="8946" width="9.140625" style="2"/>
    <col min="8947" max="8947" width="3.7109375" style="2" customWidth="1"/>
    <col min="8948" max="8948" width="96.85546875" style="2" customWidth="1"/>
    <col min="8949" max="8949" width="30.85546875" style="2" customWidth="1"/>
    <col min="8950" max="8950" width="12.5703125" style="2" customWidth="1"/>
    <col min="8951" max="8951" width="5.140625" style="2" customWidth="1"/>
    <col min="8952" max="8952" width="9.140625" style="2"/>
    <col min="8953" max="8953" width="4.85546875" style="2" customWidth="1"/>
    <col min="8954" max="8954" width="30.5703125" style="2" customWidth="1"/>
    <col min="8955" max="8955" width="33.85546875" style="2" customWidth="1"/>
    <col min="8956" max="8956" width="5.140625" style="2" customWidth="1"/>
    <col min="8957" max="8958" width="17.5703125" style="2" customWidth="1"/>
    <col min="8959" max="9202" width="9.140625" style="2"/>
    <col min="9203" max="9203" width="3.7109375" style="2" customWidth="1"/>
    <col min="9204" max="9204" width="96.85546875" style="2" customWidth="1"/>
    <col min="9205" max="9205" width="30.85546875" style="2" customWidth="1"/>
    <col min="9206" max="9206" width="12.5703125" style="2" customWidth="1"/>
    <col min="9207" max="9207" width="5.140625" style="2" customWidth="1"/>
    <col min="9208" max="9208" width="9.140625" style="2"/>
    <col min="9209" max="9209" width="4.85546875" style="2" customWidth="1"/>
    <col min="9210" max="9210" width="30.5703125" style="2" customWidth="1"/>
    <col min="9211" max="9211" width="33.85546875" style="2" customWidth="1"/>
    <col min="9212" max="9212" width="5.140625" style="2" customWidth="1"/>
    <col min="9213" max="9214" width="17.5703125" style="2" customWidth="1"/>
    <col min="9215" max="9458" width="9.140625" style="2"/>
    <col min="9459" max="9459" width="3.7109375" style="2" customWidth="1"/>
    <col min="9460" max="9460" width="96.85546875" style="2" customWidth="1"/>
    <col min="9461" max="9461" width="30.85546875" style="2" customWidth="1"/>
    <col min="9462" max="9462" width="12.5703125" style="2" customWidth="1"/>
    <col min="9463" max="9463" width="5.140625" style="2" customWidth="1"/>
    <col min="9464" max="9464" width="9.140625" style="2"/>
    <col min="9465" max="9465" width="4.85546875" style="2" customWidth="1"/>
    <col min="9466" max="9466" width="30.5703125" style="2" customWidth="1"/>
    <col min="9467" max="9467" width="33.85546875" style="2" customWidth="1"/>
    <col min="9468" max="9468" width="5.140625" style="2" customWidth="1"/>
    <col min="9469" max="9470" width="17.5703125" style="2" customWidth="1"/>
    <col min="9471" max="9714" width="9.140625" style="2"/>
    <col min="9715" max="9715" width="3.7109375" style="2" customWidth="1"/>
    <col min="9716" max="9716" width="96.85546875" style="2" customWidth="1"/>
    <col min="9717" max="9717" width="30.85546875" style="2" customWidth="1"/>
    <col min="9718" max="9718" width="12.5703125" style="2" customWidth="1"/>
    <col min="9719" max="9719" width="5.140625" style="2" customWidth="1"/>
    <col min="9720" max="9720" width="9.140625" style="2"/>
    <col min="9721" max="9721" width="4.85546875" style="2" customWidth="1"/>
    <col min="9722" max="9722" width="30.5703125" style="2" customWidth="1"/>
    <col min="9723" max="9723" width="33.85546875" style="2" customWidth="1"/>
    <col min="9724" max="9724" width="5.140625" style="2" customWidth="1"/>
    <col min="9725" max="9726" width="17.5703125" style="2" customWidth="1"/>
    <col min="9727" max="9970" width="9.140625" style="2"/>
    <col min="9971" max="9971" width="3.7109375" style="2" customWidth="1"/>
    <col min="9972" max="9972" width="96.85546875" style="2" customWidth="1"/>
    <col min="9973" max="9973" width="30.85546875" style="2" customWidth="1"/>
    <col min="9974" max="9974" width="12.5703125" style="2" customWidth="1"/>
    <col min="9975" max="9975" width="5.140625" style="2" customWidth="1"/>
    <col min="9976" max="9976" width="9.140625" style="2"/>
    <col min="9977" max="9977" width="4.85546875" style="2" customWidth="1"/>
    <col min="9978" max="9978" width="30.5703125" style="2" customWidth="1"/>
    <col min="9979" max="9979" width="33.85546875" style="2" customWidth="1"/>
    <col min="9980" max="9980" width="5.140625" style="2" customWidth="1"/>
    <col min="9981" max="9982" width="17.5703125" style="2" customWidth="1"/>
    <col min="9983" max="10226" width="9.140625" style="2"/>
    <col min="10227" max="10227" width="3.7109375" style="2" customWidth="1"/>
    <col min="10228" max="10228" width="96.85546875" style="2" customWidth="1"/>
    <col min="10229" max="10229" width="30.85546875" style="2" customWidth="1"/>
    <col min="10230" max="10230" width="12.5703125" style="2" customWidth="1"/>
    <col min="10231" max="10231" width="5.140625" style="2" customWidth="1"/>
    <col min="10232" max="10232" width="9.140625" style="2"/>
    <col min="10233" max="10233" width="4.85546875" style="2" customWidth="1"/>
    <col min="10234" max="10234" width="30.5703125" style="2" customWidth="1"/>
    <col min="10235" max="10235" width="33.85546875" style="2" customWidth="1"/>
    <col min="10236" max="10236" width="5.140625" style="2" customWidth="1"/>
    <col min="10237" max="10238" width="17.5703125" style="2" customWidth="1"/>
    <col min="10239" max="10482" width="9.140625" style="2"/>
    <col min="10483" max="10483" width="3.7109375" style="2" customWidth="1"/>
    <col min="10484" max="10484" width="96.85546875" style="2" customWidth="1"/>
    <col min="10485" max="10485" width="30.85546875" style="2" customWidth="1"/>
    <col min="10486" max="10486" width="12.5703125" style="2" customWidth="1"/>
    <col min="10487" max="10487" width="5.140625" style="2" customWidth="1"/>
    <col min="10488" max="10488" width="9.140625" style="2"/>
    <col min="10489" max="10489" width="4.85546875" style="2" customWidth="1"/>
    <col min="10490" max="10490" width="30.5703125" style="2" customWidth="1"/>
    <col min="10491" max="10491" width="33.85546875" style="2" customWidth="1"/>
    <col min="10492" max="10492" width="5.140625" style="2" customWidth="1"/>
    <col min="10493" max="10494" width="17.5703125" style="2" customWidth="1"/>
    <col min="10495" max="10738" width="9.140625" style="2"/>
    <col min="10739" max="10739" width="3.7109375" style="2" customWidth="1"/>
    <col min="10740" max="10740" width="96.85546875" style="2" customWidth="1"/>
    <col min="10741" max="10741" width="30.85546875" style="2" customWidth="1"/>
    <col min="10742" max="10742" width="12.5703125" style="2" customWidth="1"/>
    <col min="10743" max="10743" width="5.140625" style="2" customWidth="1"/>
    <col min="10744" max="10744" width="9.140625" style="2"/>
    <col min="10745" max="10745" width="4.85546875" style="2" customWidth="1"/>
    <col min="10746" max="10746" width="30.5703125" style="2" customWidth="1"/>
    <col min="10747" max="10747" width="33.85546875" style="2" customWidth="1"/>
    <col min="10748" max="10748" width="5.140625" style="2" customWidth="1"/>
    <col min="10749" max="10750" width="17.5703125" style="2" customWidth="1"/>
    <col min="10751" max="10994" width="9.140625" style="2"/>
    <col min="10995" max="10995" width="3.7109375" style="2" customWidth="1"/>
    <col min="10996" max="10996" width="96.85546875" style="2" customWidth="1"/>
    <col min="10997" max="10997" width="30.85546875" style="2" customWidth="1"/>
    <col min="10998" max="10998" width="12.5703125" style="2" customWidth="1"/>
    <col min="10999" max="10999" width="5.140625" style="2" customWidth="1"/>
    <col min="11000" max="11000" width="9.140625" style="2"/>
    <col min="11001" max="11001" width="4.85546875" style="2" customWidth="1"/>
    <col min="11002" max="11002" width="30.5703125" style="2" customWidth="1"/>
    <col min="11003" max="11003" width="33.85546875" style="2" customWidth="1"/>
    <col min="11004" max="11004" width="5.140625" style="2" customWidth="1"/>
    <col min="11005" max="11006" width="17.5703125" style="2" customWidth="1"/>
    <col min="11007" max="11250" width="9.140625" style="2"/>
    <col min="11251" max="11251" width="3.7109375" style="2" customWidth="1"/>
    <col min="11252" max="11252" width="96.85546875" style="2" customWidth="1"/>
    <col min="11253" max="11253" width="30.85546875" style="2" customWidth="1"/>
    <col min="11254" max="11254" width="12.5703125" style="2" customWidth="1"/>
    <col min="11255" max="11255" width="5.140625" style="2" customWidth="1"/>
    <col min="11256" max="11256" width="9.140625" style="2"/>
    <col min="11257" max="11257" width="4.85546875" style="2" customWidth="1"/>
    <col min="11258" max="11258" width="30.5703125" style="2" customWidth="1"/>
    <col min="11259" max="11259" width="33.85546875" style="2" customWidth="1"/>
    <col min="11260" max="11260" width="5.140625" style="2" customWidth="1"/>
    <col min="11261" max="11262" width="17.5703125" style="2" customWidth="1"/>
    <col min="11263" max="11506" width="9.140625" style="2"/>
    <col min="11507" max="11507" width="3.7109375" style="2" customWidth="1"/>
    <col min="11508" max="11508" width="96.85546875" style="2" customWidth="1"/>
    <col min="11509" max="11509" width="30.85546875" style="2" customWidth="1"/>
    <col min="11510" max="11510" width="12.5703125" style="2" customWidth="1"/>
    <col min="11511" max="11511" width="5.140625" style="2" customWidth="1"/>
    <col min="11512" max="11512" width="9.140625" style="2"/>
    <col min="11513" max="11513" width="4.85546875" style="2" customWidth="1"/>
    <col min="11514" max="11514" width="30.5703125" style="2" customWidth="1"/>
    <col min="11515" max="11515" width="33.85546875" style="2" customWidth="1"/>
    <col min="11516" max="11516" width="5.140625" style="2" customWidth="1"/>
    <col min="11517" max="11518" width="17.5703125" style="2" customWidth="1"/>
    <col min="11519" max="11762" width="9.140625" style="2"/>
    <col min="11763" max="11763" width="3.7109375" style="2" customWidth="1"/>
    <col min="11764" max="11764" width="96.85546875" style="2" customWidth="1"/>
    <col min="11765" max="11765" width="30.85546875" style="2" customWidth="1"/>
    <col min="11766" max="11766" width="12.5703125" style="2" customWidth="1"/>
    <col min="11767" max="11767" width="5.140625" style="2" customWidth="1"/>
    <col min="11768" max="11768" width="9.140625" style="2"/>
    <col min="11769" max="11769" width="4.85546875" style="2" customWidth="1"/>
    <col min="11770" max="11770" width="30.5703125" style="2" customWidth="1"/>
    <col min="11771" max="11771" width="33.85546875" style="2" customWidth="1"/>
    <col min="11772" max="11772" width="5.140625" style="2" customWidth="1"/>
    <col min="11773" max="11774" width="17.5703125" style="2" customWidth="1"/>
    <col min="11775" max="12018" width="9.140625" style="2"/>
    <col min="12019" max="12019" width="3.7109375" style="2" customWidth="1"/>
    <col min="12020" max="12020" width="96.85546875" style="2" customWidth="1"/>
    <col min="12021" max="12021" width="30.85546875" style="2" customWidth="1"/>
    <col min="12022" max="12022" width="12.5703125" style="2" customWidth="1"/>
    <col min="12023" max="12023" width="5.140625" style="2" customWidth="1"/>
    <col min="12024" max="12024" width="9.140625" style="2"/>
    <col min="12025" max="12025" width="4.85546875" style="2" customWidth="1"/>
    <col min="12026" max="12026" width="30.5703125" style="2" customWidth="1"/>
    <col min="12027" max="12027" width="33.85546875" style="2" customWidth="1"/>
    <col min="12028" max="12028" width="5.140625" style="2" customWidth="1"/>
    <col min="12029" max="12030" width="17.5703125" style="2" customWidth="1"/>
    <col min="12031" max="12274" width="9.140625" style="2"/>
    <col min="12275" max="12275" width="3.7109375" style="2" customWidth="1"/>
    <col min="12276" max="12276" width="96.85546875" style="2" customWidth="1"/>
    <col min="12277" max="12277" width="30.85546875" style="2" customWidth="1"/>
    <col min="12278" max="12278" width="12.5703125" style="2" customWidth="1"/>
    <col min="12279" max="12279" width="5.140625" style="2" customWidth="1"/>
    <col min="12280" max="12280" width="9.140625" style="2"/>
    <col min="12281" max="12281" width="4.85546875" style="2" customWidth="1"/>
    <col min="12282" max="12282" width="30.5703125" style="2" customWidth="1"/>
    <col min="12283" max="12283" width="33.85546875" style="2" customWidth="1"/>
    <col min="12284" max="12284" width="5.140625" style="2" customWidth="1"/>
    <col min="12285" max="12286" width="17.5703125" style="2" customWidth="1"/>
    <col min="12287" max="12530" width="9.140625" style="2"/>
    <col min="12531" max="12531" width="3.7109375" style="2" customWidth="1"/>
    <col min="12532" max="12532" width="96.85546875" style="2" customWidth="1"/>
    <col min="12533" max="12533" width="30.85546875" style="2" customWidth="1"/>
    <col min="12534" max="12534" width="12.5703125" style="2" customWidth="1"/>
    <col min="12535" max="12535" width="5.140625" style="2" customWidth="1"/>
    <col min="12536" max="12536" width="9.140625" style="2"/>
    <col min="12537" max="12537" width="4.85546875" style="2" customWidth="1"/>
    <col min="12538" max="12538" width="30.5703125" style="2" customWidth="1"/>
    <col min="12539" max="12539" width="33.85546875" style="2" customWidth="1"/>
    <col min="12540" max="12540" width="5.140625" style="2" customWidth="1"/>
    <col min="12541" max="12542" width="17.5703125" style="2" customWidth="1"/>
    <col min="12543" max="12786" width="9.140625" style="2"/>
    <col min="12787" max="12787" width="3.7109375" style="2" customWidth="1"/>
    <col min="12788" max="12788" width="96.85546875" style="2" customWidth="1"/>
    <col min="12789" max="12789" width="30.85546875" style="2" customWidth="1"/>
    <col min="12790" max="12790" width="12.5703125" style="2" customWidth="1"/>
    <col min="12791" max="12791" width="5.140625" style="2" customWidth="1"/>
    <col min="12792" max="12792" width="9.140625" style="2"/>
    <col min="12793" max="12793" width="4.85546875" style="2" customWidth="1"/>
    <col min="12794" max="12794" width="30.5703125" style="2" customWidth="1"/>
    <col min="12795" max="12795" width="33.85546875" style="2" customWidth="1"/>
    <col min="12796" max="12796" width="5.140625" style="2" customWidth="1"/>
    <col min="12797" max="12798" width="17.5703125" style="2" customWidth="1"/>
    <col min="12799" max="13042" width="9.140625" style="2"/>
    <col min="13043" max="13043" width="3.7109375" style="2" customWidth="1"/>
    <col min="13044" max="13044" width="96.85546875" style="2" customWidth="1"/>
    <col min="13045" max="13045" width="30.85546875" style="2" customWidth="1"/>
    <col min="13046" max="13046" width="12.5703125" style="2" customWidth="1"/>
    <col min="13047" max="13047" width="5.140625" style="2" customWidth="1"/>
    <col min="13048" max="13048" width="9.140625" style="2"/>
    <col min="13049" max="13049" width="4.85546875" style="2" customWidth="1"/>
    <col min="13050" max="13050" width="30.5703125" style="2" customWidth="1"/>
    <col min="13051" max="13051" width="33.85546875" style="2" customWidth="1"/>
    <col min="13052" max="13052" width="5.140625" style="2" customWidth="1"/>
    <col min="13053" max="13054" width="17.5703125" style="2" customWidth="1"/>
    <col min="13055" max="13298" width="9.140625" style="2"/>
    <col min="13299" max="13299" width="3.7109375" style="2" customWidth="1"/>
    <col min="13300" max="13300" width="96.85546875" style="2" customWidth="1"/>
    <col min="13301" max="13301" width="30.85546875" style="2" customWidth="1"/>
    <col min="13302" max="13302" width="12.5703125" style="2" customWidth="1"/>
    <col min="13303" max="13303" width="5.140625" style="2" customWidth="1"/>
    <col min="13304" max="13304" width="9.140625" style="2"/>
    <col min="13305" max="13305" width="4.85546875" style="2" customWidth="1"/>
    <col min="13306" max="13306" width="30.5703125" style="2" customWidth="1"/>
    <col min="13307" max="13307" width="33.85546875" style="2" customWidth="1"/>
    <col min="13308" max="13308" width="5.140625" style="2" customWidth="1"/>
    <col min="13309" max="13310" width="17.5703125" style="2" customWidth="1"/>
    <col min="13311" max="13554" width="9.140625" style="2"/>
    <col min="13555" max="13555" width="3.7109375" style="2" customWidth="1"/>
    <col min="13556" max="13556" width="96.85546875" style="2" customWidth="1"/>
    <col min="13557" max="13557" width="30.85546875" style="2" customWidth="1"/>
    <col min="13558" max="13558" width="12.5703125" style="2" customWidth="1"/>
    <col min="13559" max="13559" width="5.140625" style="2" customWidth="1"/>
    <col min="13560" max="13560" width="9.140625" style="2"/>
    <col min="13561" max="13561" width="4.85546875" style="2" customWidth="1"/>
    <col min="13562" max="13562" width="30.5703125" style="2" customWidth="1"/>
    <col min="13563" max="13563" width="33.85546875" style="2" customWidth="1"/>
    <col min="13564" max="13564" width="5.140625" style="2" customWidth="1"/>
    <col min="13565" max="13566" width="17.5703125" style="2" customWidth="1"/>
    <col min="13567" max="13810" width="9.140625" style="2"/>
    <col min="13811" max="13811" width="3.7109375" style="2" customWidth="1"/>
    <col min="13812" max="13812" width="96.85546875" style="2" customWidth="1"/>
    <col min="13813" max="13813" width="30.85546875" style="2" customWidth="1"/>
    <col min="13814" max="13814" width="12.5703125" style="2" customWidth="1"/>
    <col min="13815" max="13815" width="5.140625" style="2" customWidth="1"/>
    <col min="13816" max="13816" width="9.140625" style="2"/>
    <col min="13817" max="13817" width="4.85546875" style="2" customWidth="1"/>
    <col min="13818" max="13818" width="30.5703125" style="2" customWidth="1"/>
    <col min="13819" max="13819" width="33.85546875" style="2" customWidth="1"/>
    <col min="13820" max="13820" width="5.140625" style="2" customWidth="1"/>
    <col min="13821" max="13822" width="17.5703125" style="2" customWidth="1"/>
    <col min="13823" max="14066" width="9.140625" style="2"/>
    <col min="14067" max="14067" width="3.7109375" style="2" customWidth="1"/>
    <col min="14068" max="14068" width="96.85546875" style="2" customWidth="1"/>
    <col min="14069" max="14069" width="30.85546875" style="2" customWidth="1"/>
    <col min="14070" max="14070" width="12.5703125" style="2" customWidth="1"/>
    <col min="14071" max="14071" width="5.140625" style="2" customWidth="1"/>
    <col min="14072" max="14072" width="9.140625" style="2"/>
    <col min="14073" max="14073" width="4.85546875" style="2" customWidth="1"/>
    <col min="14074" max="14074" width="30.5703125" style="2" customWidth="1"/>
    <col min="14075" max="14075" width="33.85546875" style="2" customWidth="1"/>
    <col min="14076" max="14076" width="5.140625" style="2" customWidth="1"/>
    <col min="14077" max="14078" width="17.5703125" style="2" customWidth="1"/>
    <col min="14079" max="14322" width="9.140625" style="2"/>
    <col min="14323" max="14323" width="3.7109375" style="2" customWidth="1"/>
    <col min="14324" max="14324" width="96.85546875" style="2" customWidth="1"/>
    <col min="14325" max="14325" width="30.85546875" style="2" customWidth="1"/>
    <col min="14326" max="14326" width="12.5703125" style="2" customWidth="1"/>
    <col min="14327" max="14327" width="5.140625" style="2" customWidth="1"/>
    <col min="14328" max="14328" width="9.140625" style="2"/>
    <col min="14329" max="14329" width="4.85546875" style="2" customWidth="1"/>
    <col min="14330" max="14330" width="30.5703125" style="2" customWidth="1"/>
    <col min="14331" max="14331" width="33.85546875" style="2" customWidth="1"/>
    <col min="14332" max="14332" width="5.140625" style="2" customWidth="1"/>
    <col min="14333" max="14334" width="17.5703125" style="2" customWidth="1"/>
    <col min="14335" max="14578" width="9.140625" style="2"/>
    <col min="14579" max="14579" width="3.7109375" style="2" customWidth="1"/>
    <col min="14580" max="14580" width="96.85546875" style="2" customWidth="1"/>
    <col min="14581" max="14581" width="30.85546875" style="2" customWidth="1"/>
    <col min="14582" max="14582" width="12.5703125" style="2" customWidth="1"/>
    <col min="14583" max="14583" width="5.140625" style="2" customWidth="1"/>
    <col min="14584" max="14584" width="9.140625" style="2"/>
    <col min="14585" max="14585" width="4.85546875" style="2" customWidth="1"/>
    <col min="14586" max="14586" width="30.5703125" style="2" customWidth="1"/>
    <col min="14587" max="14587" width="33.85546875" style="2" customWidth="1"/>
    <col min="14588" max="14588" width="5.140625" style="2" customWidth="1"/>
    <col min="14589" max="14590" width="17.5703125" style="2" customWidth="1"/>
    <col min="14591" max="14834" width="9.140625" style="2"/>
    <col min="14835" max="14835" width="3.7109375" style="2" customWidth="1"/>
    <col min="14836" max="14836" width="96.85546875" style="2" customWidth="1"/>
    <col min="14837" max="14837" width="30.85546875" style="2" customWidth="1"/>
    <col min="14838" max="14838" width="12.5703125" style="2" customWidth="1"/>
    <col min="14839" max="14839" width="5.140625" style="2" customWidth="1"/>
    <col min="14840" max="14840" width="9.140625" style="2"/>
    <col min="14841" max="14841" width="4.85546875" style="2" customWidth="1"/>
    <col min="14842" max="14842" width="30.5703125" style="2" customWidth="1"/>
    <col min="14843" max="14843" width="33.85546875" style="2" customWidth="1"/>
    <col min="14844" max="14844" width="5.140625" style="2" customWidth="1"/>
    <col min="14845" max="14846" width="17.5703125" style="2" customWidth="1"/>
    <col min="14847" max="15090" width="9.140625" style="2"/>
    <col min="15091" max="15091" width="3.7109375" style="2" customWidth="1"/>
    <col min="15092" max="15092" width="96.85546875" style="2" customWidth="1"/>
    <col min="15093" max="15093" width="30.85546875" style="2" customWidth="1"/>
    <col min="15094" max="15094" width="12.5703125" style="2" customWidth="1"/>
    <col min="15095" max="15095" width="5.140625" style="2" customWidth="1"/>
    <col min="15096" max="15096" width="9.140625" style="2"/>
    <col min="15097" max="15097" width="4.85546875" style="2" customWidth="1"/>
    <col min="15098" max="15098" width="30.5703125" style="2" customWidth="1"/>
    <col min="15099" max="15099" width="33.85546875" style="2" customWidth="1"/>
    <col min="15100" max="15100" width="5.140625" style="2" customWidth="1"/>
    <col min="15101" max="15102" width="17.5703125" style="2" customWidth="1"/>
    <col min="15103" max="15346" width="9.140625" style="2"/>
    <col min="15347" max="15347" width="3.7109375" style="2" customWidth="1"/>
    <col min="15348" max="15348" width="96.85546875" style="2" customWidth="1"/>
    <col min="15349" max="15349" width="30.85546875" style="2" customWidth="1"/>
    <col min="15350" max="15350" width="12.5703125" style="2" customWidth="1"/>
    <col min="15351" max="15351" width="5.140625" style="2" customWidth="1"/>
    <col min="15352" max="15352" width="9.140625" style="2"/>
    <col min="15353" max="15353" width="4.85546875" style="2" customWidth="1"/>
    <col min="15354" max="15354" width="30.5703125" style="2" customWidth="1"/>
    <col min="15355" max="15355" width="33.85546875" style="2" customWidth="1"/>
    <col min="15356" max="15356" width="5.140625" style="2" customWidth="1"/>
    <col min="15357" max="15358" width="17.5703125" style="2" customWidth="1"/>
    <col min="15359" max="15602" width="9.140625" style="2"/>
    <col min="15603" max="15603" width="3.7109375" style="2" customWidth="1"/>
    <col min="15604" max="15604" width="96.85546875" style="2" customWidth="1"/>
    <col min="15605" max="15605" width="30.85546875" style="2" customWidth="1"/>
    <col min="15606" max="15606" width="12.5703125" style="2" customWidth="1"/>
    <col min="15607" max="15607" width="5.140625" style="2" customWidth="1"/>
    <col min="15608" max="15608" width="9.140625" style="2"/>
    <col min="15609" max="15609" width="4.85546875" style="2" customWidth="1"/>
    <col min="15610" max="15610" width="30.5703125" style="2" customWidth="1"/>
    <col min="15611" max="15611" width="33.85546875" style="2" customWidth="1"/>
    <col min="15612" max="15612" width="5.140625" style="2" customWidth="1"/>
    <col min="15613" max="15614" width="17.5703125" style="2" customWidth="1"/>
    <col min="15615" max="15858" width="9.140625" style="2"/>
    <col min="15859" max="15859" width="3.7109375" style="2" customWidth="1"/>
    <col min="15860" max="15860" width="96.85546875" style="2" customWidth="1"/>
    <col min="15861" max="15861" width="30.85546875" style="2" customWidth="1"/>
    <col min="15862" max="15862" width="12.5703125" style="2" customWidth="1"/>
    <col min="15863" max="15863" width="5.140625" style="2" customWidth="1"/>
    <col min="15864" max="15864" width="9.140625" style="2"/>
    <col min="15865" max="15865" width="4.85546875" style="2" customWidth="1"/>
    <col min="15866" max="15866" width="30.5703125" style="2" customWidth="1"/>
    <col min="15867" max="15867" width="33.85546875" style="2" customWidth="1"/>
    <col min="15868" max="15868" width="5.140625" style="2" customWidth="1"/>
    <col min="15869" max="15870" width="17.5703125" style="2" customWidth="1"/>
    <col min="15871" max="16114" width="9.140625" style="2"/>
    <col min="16115" max="16115" width="3.7109375" style="2" customWidth="1"/>
    <col min="16116" max="16116" width="96.85546875" style="2" customWidth="1"/>
    <col min="16117" max="16117" width="30.85546875" style="2" customWidth="1"/>
    <col min="16118" max="16118" width="12.5703125" style="2" customWidth="1"/>
    <col min="16119" max="16119" width="5.140625" style="2" customWidth="1"/>
    <col min="16120" max="16120" width="9.140625" style="2"/>
    <col min="16121" max="16121" width="4.85546875" style="2" customWidth="1"/>
    <col min="16122" max="16122" width="30.5703125" style="2" customWidth="1"/>
    <col min="16123" max="16123" width="33.85546875" style="2" customWidth="1"/>
    <col min="16124" max="16124" width="5.140625" style="2" customWidth="1"/>
    <col min="16125" max="16126" width="17.5703125" style="2" customWidth="1"/>
    <col min="16127" max="16384" width="9.140625" style="2"/>
  </cols>
  <sheetData>
    <row r="1" spans="1:3" ht="48" customHeight="1" x14ac:dyDescent="0.2">
      <c r="A1" s="3"/>
      <c r="B1" s="143" t="s">
        <v>227</v>
      </c>
      <c r="C1" s="143"/>
    </row>
    <row r="2" spans="1:3" x14ac:dyDescent="0.2">
      <c r="A2" s="3"/>
      <c r="B2" s="4" t="s">
        <v>1</v>
      </c>
      <c r="C2" s="5">
        <v>46052</v>
      </c>
    </row>
    <row r="3" spans="1:3" x14ac:dyDescent="0.2">
      <c r="A3" s="3"/>
      <c r="B3" s="117" t="s">
        <v>2</v>
      </c>
      <c r="C3" s="7"/>
    </row>
    <row r="4" spans="1:3" ht="21" customHeight="1" x14ac:dyDescent="0.2">
      <c r="A4" s="8"/>
      <c r="B4" s="9" t="str">
        <f>[36]И1!D13</f>
        <v>Субъект Российской Федерации</v>
      </c>
      <c r="C4" s="10" t="str">
        <f>[36]И1!E13</f>
        <v>Новосибирская область</v>
      </c>
    </row>
    <row r="5" spans="1:3" ht="37.5" customHeight="1" x14ac:dyDescent="0.2">
      <c r="A5" s="8"/>
      <c r="B5" s="9" t="str">
        <f>[36]И1!D14</f>
        <v>Тип муниципального образования (выберите из списка)</v>
      </c>
      <c r="C5" s="10" t="str">
        <f>[37]И1!E14</f>
        <v>поселок Чернореченский, Искитимский муниципальный район</v>
      </c>
    </row>
    <row r="6" spans="1:3" x14ac:dyDescent="0.2">
      <c r="A6" s="8"/>
      <c r="B6" s="9" t="str">
        <f>IF([36]И1!E15="","",[36]И1!D15)</f>
        <v/>
      </c>
      <c r="C6" s="7">
        <f>IF([36]И1!E15="","",[36]И1!E15)</f>
        <v>0</v>
      </c>
    </row>
    <row r="7" spans="1:3" x14ac:dyDescent="0.2">
      <c r="A7" s="8"/>
      <c r="B7" s="9" t="str">
        <f>[36]И1!D16</f>
        <v>Код ОКТМО</v>
      </c>
      <c r="C7" s="11" t="str">
        <f>[37]И1!E16</f>
        <v xml:space="preserve"> (50615437101)</v>
      </c>
    </row>
    <row r="8" spans="1:3" x14ac:dyDescent="0.2">
      <c r="A8" s="8"/>
      <c r="B8" s="12" t="str">
        <f>[36]И1!D17</f>
        <v>Система теплоснабжения</v>
      </c>
      <c r="C8" s="13">
        <f>[36]И1!E17</f>
        <v>0</v>
      </c>
    </row>
    <row r="9" spans="1:3" x14ac:dyDescent="0.2">
      <c r="A9" s="8"/>
      <c r="B9" s="9" t="str">
        <f>[36]И1!D8</f>
        <v>Период регулирования (i)-й</v>
      </c>
      <c r="C9" s="14">
        <f>[36]И1!E8</f>
        <v>2026</v>
      </c>
    </row>
    <row r="10" spans="1:3" x14ac:dyDescent="0.2">
      <c r="A10" s="8"/>
      <c r="B10" s="9" t="str">
        <f>[36]И1!D9</f>
        <v>Период регулирования (i-1)-й</v>
      </c>
      <c r="C10" s="14">
        <f>[36]И1!E9</f>
        <v>2025</v>
      </c>
    </row>
    <row r="11" spans="1:3" x14ac:dyDescent="0.2">
      <c r="A11" s="8"/>
      <c r="B11" s="9" t="str">
        <f>[36]И1!D10</f>
        <v>Период регулирования (i-2)-й</v>
      </c>
      <c r="C11" s="14">
        <f>[36]И1!E10</f>
        <v>2024</v>
      </c>
    </row>
    <row r="12" spans="1:3" x14ac:dyDescent="0.2">
      <c r="A12" s="8"/>
      <c r="B12" s="9" t="str">
        <f>[36]И1!D11</f>
        <v>Базовый год (б)</v>
      </c>
      <c r="C12" s="14">
        <f>[36]И1!E11</f>
        <v>2019</v>
      </c>
    </row>
    <row r="13" spans="1:3" x14ac:dyDescent="0.2">
      <c r="A13" s="8"/>
      <c r="B13" s="9" t="str">
        <f>[36]И1!D18</f>
        <v>Вид топлива, использование которого преобладает в системе теплоснабжения</v>
      </c>
      <c r="C13" s="15" t="str">
        <f>[36]И1!E18</f>
        <v>Газ</v>
      </c>
    </row>
    <row r="14" spans="1:3" ht="26.25" customHeight="1" thickBot="1" x14ac:dyDescent="0.25">
      <c r="A14" s="147" t="s">
        <v>3</v>
      </c>
      <c r="B14" s="147"/>
      <c r="C14" s="147"/>
    </row>
    <row r="15" spans="1:3" x14ac:dyDescent="0.2">
      <c r="A15" s="16" t="s">
        <v>4</v>
      </c>
      <c r="B15" s="30" t="s">
        <v>5</v>
      </c>
      <c r="C15" s="118" t="s">
        <v>6</v>
      </c>
    </row>
    <row r="16" spans="1:3" x14ac:dyDescent="0.2">
      <c r="A16" s="19">
        <v>1</v>
      </c>
      <c r="B16" s="119">
        <v>2</v>
      </c>
      <c r="C16" s="120">
        <v>3</v>
      </c>
    </row>
    <row r="17" spans="1:3" x14ac:dyDescent="0.2">
      <c r="A17" s="22">
        <v>1</v>
      </c>
      <c r="B17" s="23" t="s">
        <v>7</v>
      </c>
      <c r="C17" s="24">
        <f>SUM(C18:C23)</f>
        <v>4431.0720942024645</v>
      </c>
    </row>
    <row r="18" spans="1:3" ht="42.75" x14ac:dyDescent="0.2">
      <c r="A18" s="22" t="s">
        <v>8</v>
      </c>
      <c r="B18" s="25" t="s">
        <v>9</v>
      </c>
      <c r="C18" s="26">
        <f>[36]С1!F12</f>
        <v>1278.3072413778675</v>
      </c>
    </row>
    <row r="19" spans="1:3" ht="42.75" x14ac:dyDescent="0.2">
      <c r="A19" s="22" t="s">
        <v>10</v>
      </c>
      <c r="B19" s="25" t="s">
        <v>11</v>
      </c>
      <c r="C19" s="26">
        <f>[36]С2!F12</f>
        <v>2138.4809328120286</v>
      </c>
    </row>
    <row r="20" spans="1:3" ht="30" x14ac:dyDescent="0.2">
      <c r="A20" s="22" t="s">
        <v>12</v>
      </c>
      <c r="B20" s="25" t="s">
        <v>13</v>
      </c>
      <c r="C20" s="26">
        <f>[36]С3!F12</f>
        <v>648.30389958699197</v>
      </c>
    </row>
    <row r="21" spans="1:3" ht="42.75" x14ac:dyDescent="0.2">
      <c r="A21" s="22" t="s">
        <v>14</v>
      </c>
      <c r="B21" s="25" t="s">
        <v>228</v>
      </c>
      <c r="C21" s="26">
        <f>[36]С4!F12</f>
        <v>279.09625387258677</v>
      </c>
    </row>
    <row r="22" spans="1:3" ht="33" customHeight="1" x14ac:dyDescent="0.2">
      <c r="A22" s="22" t="s">
        <v>16</v>
      </c>
      <c r="B22" s="25" t="s">
        <v>229</v>
      </c>
      <c r="C22" s="26">
        <f>[36]С5!F12</f>
        <v>86.883766552989513</v>
      </c>
    </row>
    <row r="23" spans="1:3" ht="45.75" customHeight="1" thickBot="1" x14ac:dyDescent="0.25">
      <c r="A23" s="27" t="s">
        <v>18</v>
      </c>
      <c r="B23" s="140" t="s">
        <v>230</v>
      </c>
      <c r="C23" s="28">
        <f>[36]С6!F12</f>
        <v>0</v>
      </c>
    </row>
    <row r="24" spans="1:3" ht="13.5" thickBot="1" x14ac:dyDescent="0.25">
      <c r="A24" s="3"/>
      <c r="C24" s="7"/>
    </row>
    <row r="25" spans="1:3" x14ac:dyDescent="0.2">
      <c r="A25" s="16" t="s">
        <v>4</v>
      </c>
      <c r="B25" s="29" t="s">
        <v>5</v>
      </c>
      <c r="C25" s="30" t="s">
        <v>6</v>
      </c>
    </row>
    <row r="26" spans="1:3" x14ac:dyDescent="0.2">
      <c r="A26" s="19">
        <v>1</v>
      </c>
      <c r="B26" s="31">
        <v>2</v>
      </c>
      <c r="C26" s="32">
        <v>3</v>
      </c>
    </row>
    <row r="27" spans="1:3" ht="30" customHeight="1" x14ac:dyDescent="0.2">
      <c r="A27" s="22">
        <v>1</v>
      </c>
      <c r="B27" s="144" t="s">
        <v>20</v>
      </c>
      <c r="C27" s="144"/>
    </row>
    <row r="28" spans="1:3" x14ac:dyDescent="0.2">
      <c r="A28" s="22" t="s">
        <v>8</v>
      </c>
      <c r="B28" s="33" t="s">
        <v>231</v>
      </c>
      <c r="C28" s="34">
        <f>[36]С1.1!E16</f>
        <v>7900</v>
      </c>
    </row>
    <row r="29" spans="1:3" ht="42.75" x14ac:dyDescent="0.2">
      <c r="A29" s="22" t="s">
        <v>10</v>
      </c>
      <c r="B29" s="33" t="s">
        <v>232</v>
      </c>
      <c r="C29" s="34">
        <f>[36]С1.1!E32</f>
        <v>6710.12</v>
      </c>
    </row>
    <row r="30" spans="1:3" ht="128.25" customHeight="1" x14ac:dyDescent="0.2">
      <c r="A30" s="22" t="s">
        <v>233</v>
      </c>
      <c r="B30" s="33" t="s">
        <v>234</v>
      </c>
      <c r="C30" s="85" t="str">
        <f>[36]С1.1!E25</f>
        <v>ООО "Газпром межрегионгаз Новосибирск", ООО "Газпром газораспределение Томск" (с 17.02.2025 ООО "Газпром газораспределение Сибирь")</v>
      </c>
    </row>
    <row r="31" spans="1:3" ht="38.25" x14ac:dyDescent="0.2">
      <c r="A31" s="22" t="s">
        <v>235</v>
      </c>
      <c r="B31" s="33" t="str">
        <f>[36]С1.1!D26</f>
        <v>Среднеарифметическое значение между установленными предельными максимальным и минимальным уровнями оптовых цен, действовавшими на день окончания (i-2)-го расчетного периода регулирования в системе теплоснабжения, без НДС, руб./тыс. куб. м</v>
      </c>
      <c r="C31" s="34">
        <f>[36]С1.1!E26</f>
        <v>5670</v>
      </c>
    </row>
    <row r="32" spans="1:3" ht="46.5" customHeight="1" x14ac:dyDescent="0.2">
      <c r="A32" s="22" t="s">
        <v>236</v>
      </c>
      <c r="B32" s="33" t="str">
        <f>[36]С1.1!D27</f>
        <v>Тариф на услуги по транспортировке газа по газораспределительным сетям, действовавший на день окончания (i-2)-го расчетного периода регулирования в системе теплоснабжения, без НДС, руб./тыс. куб. м</v>
      </c>
      <c r="C32" s="34">
        <f>[36]С1.1!E27</f>
        <v>689.14</v>
      </c>
    </row>
    <row r="33" spans="1:3" ht="39" customHeight="1" x14ac:dyDescent="0.2">
      <c r="A33" s="22" t="s">
        <v>237</v>
      </c>
      <c r="B33" s="33" t="str">
        <f>[36]С1.1!D28</f>
        <v>Размер платы за снабженческо-сбытовые услуги, действовавший на день окончания (i-2)-го расчетного периода регулирования в системе теплоснабжения, без НДС, руб./тыс. куб. м</v>
      </c>
      <c r="C33" s="34">
        <f>[36]С1.1!E28</f>
        <v>144.72999999999999</v>
      </c>
    </row>
    <row r="34" spans="1:3" ht="90" customHeight="1" x14ac:dyDescent="0.2">
      <c r="A34" s="22" t="s">
        <v>238</v>
      </c>
      <c r="B34" s="33" t="str">
        <f>[36]С1.1!D29</f>
        <v>Специальная надбавка к тарифам на услуги по транспортировке газа по газораспределительным сетям, действовавшая на день окончания (i-2)-го расчетного периода регулирования в системе теплоснабжения, без НДС, руб./тыс. куб. м</v>
      </c>
      <c r="C34" s="34">
        <f>[36]С1.1!E29</f>
        <v>206.25</v>
      </c>
    </row>
    <row r="35" spans="1:3" ht="287.25" customHeight="1" x14ac:dyDescent="0.2">
      <c r="A35" s="22" t="s">
        <v>12</v>
      </c>
      <c r="B35" s="33" t="s">
        <v>23</v>
      </c>
      <c r="C35" s="35">
        <f>[36]С1.1!E20</f>
        <v>0.21299999999999999</v>
      </c>
    </row>
    <row r="36" spans="1:3" ht="298.5" customHeight="1" x14ac:dyDescent="0.2">
      <c r="A36" s="22" t="s">
        <v>14</v>
      </c>
      <c r="B36" s="33" t="s">
        <v>24</v>
      </c>
      <c r="C36" s="35">
        <f>[36]С1.1!E21</f>
        <v>9.6000000000000002E-2</v>
      </c>
    </row>
    <row r="37" spans="1:3" ht="30" x14ac:dyDescent="0.2">
      <c r="A37" s="22" t="s">
        <v>16</v>
      </c>
      <c r="B37" s="36" t="s">
        <v>239</v>
      </c>
      <c r="C37" s="121">
        <f>[36]С1!F13</f>
        <v>156.1</v>
      </c>
    </row>
    <row r="38" spans="1:3" x14ac:dyDescent="0.2">
      <c r="A38" s="22" t="s">
        <v>18</v>
      </c>
      <c r="B38" s="36" t="s">
        <v>26</v>
      </c>
      <c r="C38" s="38">
        <f>[36]С1!F16</f>
        <v>7000</v>
      </c>
    </row>
    <row r="39" spans="1:3" ht="14.25" x14ac:dyDescent="0.2">
      <c r="A39" s="122" t="s">
        <v>27</v>
      </c>
      <c r="B39" s="39" t="s">
        <v>240</v>
      </c>
      <c r="C39" s="40">
        <f>[36]С1!F17</f>
        <v>1.1285714285714286</v>
      </c>
    </row>
    <row r="40" spans="1:3" ht="15.75" x14ac:dyDescent="0.2">
      <c r="A40" s="123" t="s">
        <v>29</v>
      </c>
      <c r="B40" s="42" t="s">
        <v>30</v>
      </c>
      <c r="C40" s="40">
        <f>[36]С1!F20</f>
        <v>22.307053372799995</v>
      </c>
    </row>
    <row r="41" spans="1:3" ht="15.75" x14ac:dyDescent="0.2">
      <c r="A41" s="123" t="s">
        <v>31</v>
      </c>
      <c r="B41" s="43" t="s">
        <v>32</v>
      </c>
      <c r="C41" s="40">
        <f>[36]С1!F21</f>
        <v>21.531904799999996</v>
      </c>
    </row>
    <row r="42" spans="1:3" ht="14.25" x14ac:dyDescent="0.2">
      <c r="A42" s="123" t="s">
        <v>33</v>
      </c>
      <c r="B42" s="44" t="s">
        <v>34</v>
      </c>
      <c r="C42" s="40">
        <f>[36]С1!F22</f>
        <v>1.036</v>
      </c>
    </row>
    <row r="43" spans="1:3" ht="53.25" thickBot="1" x14ac:dyDescent="0.25">
      <c r="A43" s="27" t="s">
        <v>35</v>
      </c>
      <c r="B43" s="45" t="s">
        <v>36</v>
      </c>
      <c r="C43" s="46" t="str">
        <f>[36]С1!F23</f>
        <v>-</v>
      </c>
    </row>
    <row r="44" spans="1:3" ht="13.5" thickBot="1" x14ac:dyDescent="0.25">
      <c r="A44" s="47"/>
      <c r="B44" s="75"/>
      <c r="C44" s="15"/>
    </row>
    <row r="45" spans="1:3" ht="30" customHeight="1" x14ac:dyDescent="0.2">
      <c r="A45" s="50" t="s">
        <v>37</v>
      </c>
      <c r="B45" s="145" t="s">
        <v>38</v>
      </c>
      <c r="C45" s="145"/>
    </row>
    <row r="46" spans="1:3" ht="25.5" x14ac:dyDescent="0.2">
      <c r="A46" s="22" t="s">
        <v>39</v>
      </c>
      <c r="B46" s="36" t="s">
        <v>40</v>
      </c>
      <c r="C46" s="51" t="str">
        <f>[36]С2.1!E12</f>
        <v>V</v>
      </c>
    </row>
    <row r="47" spans="1:3" ht="25.5" x14ac:dyDescent="0.2">
      <c r="A47" s="22" t="s">
        <v>41</v>
      </c>
      <c r="B47" s="33" t="s">
        <v>42</v>
      </c>
      <c r="C47" s="51" t="str">
        <f>[36]С2.1!E13</f>
        <v>6 и менее баллов</v>
      </c>
    </row>
    <row r="48" spans="1:3" ht="25.5" x14ac:dyDescent="0.2">
      <c r="A48" s="22" t="s">
        <v>43</v>
      </c>
      <c r="B48" s="33" t="s">
        <v>241</v>
      </c>
      <c r="C48" s="51" t="str">
        <f>[36]С2.1!E14</f>
        <v>до 200</v>
      </c>
    </row>
    <row r="49" spans="1:3" ht="25.5" x14ac:dyDescent="0.2">
      <c r="A49" s="22" t="s">
        <v>45</v>
      </c>
      <c r="B49" s="33" t="s">
        <v>242</v>
      </c>
      <c r="C49" s="52" t="str">
        <f>[36]С2.1!E15</f>
        <v>нет</v>
      </c>
    </row>
    <row r="50" spans="1:3" ht="30" x14ac:dyDescent="0.2">
      <c r="A50" s="22" t="s">
        <v>47</v>
      </c>
      <c r="B50" s="33" t="s">
        <v>48</v>
      </c>
      <c r="C50" s="34">
        <f>[36]С2!F18</f>
        <v>40220.845230503684</v>
      </c>
    </row>
    <row r="51" spans="1:3" ht="30" x14ac:dyDescent="0.2">
      <c r="A51" s="22" t="s">
        <v>49</v>
      </c>
      <c r="B51" s="53" t="s">
        <v>50</v>
      </c>
      <c r="C51" s="34">
        <f>IF([36]С2!F19&gt;0,[36]С2!F19,[36]С2!F20)</f>
        <v>23441.524932855718</v>
      </c>
    </row>
    <row r="52" spans="1:3" ht="163.5" customHeight="1" x14ac:dyDescent="0.2">
      <c r="A52" s="22" t="s">
        <v>51</v>
      </c>
      <c r="B52" s="54" t="s">
        <v>52</v>
      </c>
      <c r="C52" s="34">
        <f>[36]С2.1!E20</f>
        <v>-37</v>
      </c>
    </row>
    <row r="53" spans="1:3" ht="42.75" customHeight="1" x14ac:dyDescent="0.2">
      <c r="A53" s="22" t="s">
        <v>53</v>
      </c>
      <c r="B53" s="54" t="s">
        <v>54</v>
      </c>
      <c r="C53" s="34" t="str">
        <f>[36]С2.1!E23</f>
        <v>нет</v>
      </c>
    </row>
    <row r="54" spans="1:3" ht="38.25" x14ac:dyDescent="0.2">
      <c r="A54" s="22" t="s">
        <v>55</v>
      </c>
      <c r="B54" s="55" t="s">
        <v>56</v>
      </c>
      <c r="C54" s="34">
        <f>[36]С2.2!E10</f>
        <v>1287</v>
      </c>
    </row>
    <row r="55" spans="1:3" ht="25.5" x14ac:dyDescent="0.2">
      <c r="A55" s="22" t="s">
        <v>57</v>
      </c>
      <c r="B55" s="56" t="s">
        <v>58</v>
      </c>
      <c r="C55" s="34">
        <f>[36]С2.2!E12</f>
        <v>5.97</v>
      </c>
    </row>
    <row r="56" spans="1:3" ht="52.5" x14ac:dyDescent="0.2">
      <c r="A56" s="22" t="s">
        <v>59</v>
      </c>
      <c r="B56" s="57" t="s">
        <v>60</v>
      </c>
      <c r="C56" s="34">
        <f>[36]С2.2!E13</f>
        <v>1</v>
      </c>
    </row>
    <row r="57" spans="1:3" ht="27.75" x14ac:dyDescent="0.2">
      <c r="A57" s="22" t="s">
        <v>61</v>
      </c>
      <c r="B57" s="56" t="s">
        <v>62</v>
      </c>
      <c r="C57" s="34">
        <f>[36]С2.2!E14</f>
        <v>12104</v>
      </c>
    </row>
    <row r="58" spans="1:3" ht="109.5" customHeight="1" x14ac:dyDescent="0.2">
      <c r="A58" s="22" t="s">
        <v>63</v>
      </c>
      <c r="B58" s="57" t="s">
        <v>64</v>
      </c>
      <c r="C58" s="35">
        <f>[36]С2.2!E15</f>
        <v>4.8000000000000001E-2</v>
      </c>
    </row>
    <row r="59" spans="1:3" ht="104.25" customHeight="1" x14ac:dyDescent="0.2">
      <c r="A59" s="22" t="s">
        <v>65</v>
      </c>
      <c r="B59" s="57" t="s">
        <v>66</v>
      </c>
      <c r="C59" s="124">
        <f>[36]С2.2!E16</f>
        <v>1</v>
      </c>
    </row>
    <row r="60" spans="1:3" ht="15.75" x14ac:dyDescent="0.2">
      <c r="A60" s="22" t="s">
        <v>67</v>
      </c>
      <c r="B60" s="58" t="s">
        <v>68</v>
      </c>
      <c r="C60" s="34">
        <f>[36]С2!F21</f>
        <v>1</v>
      </c>
    </row>
    <row r="61" spans="1:3" ht="30" x14ac:dyDescent="0.2">
      <c r="A61" s="59" t="s">
        <v>69</v>
      </c>
      <c r="B61" s="33" t="s">
        <v>243</v>
      </c>
      <c r="C61" s="34">
        <f>[36]С2!F13</f>
        <v>119259.45174981897</v>
      </c>
    </row>
    <row r="62" spans="1:3" ht="30" x14ac:dyDescent="0.2">
      <c r="A62" s="59" t="s">
        <v>71</v>
      </c>
      <c r="B62" s="60" t="s">
        <v>244</v>
      </c>
      <c r="C62" s="34">
        <f>[36]С2!F14</f>
        <v>64899</v>
      </c>
    </row>
    <row r="63" spans="1:3" ht="15.75" x14ac:dyDescent="0.2">
      <c r="A63" s="59" t="s">
        <v>73</v>
      </c>
      <c r="B63" s="60" t="s">
        <v>74</v>
      </c>
      <c r="C63" s="40">
        <f>[36]С2!F15</f>
        <v>1.071</v>
      </c>
    </row>
    <row r="64" spans="1:3" ht="15.75" x14ac:dyDescent="0.2">
      <c r="A64" s="59" t="s">
        <v>75</v>
      </c>
      <c r="B64" s="60" t="s">
        <v>76</v>
      </c>
      <c r="C64" s="125">
        <f>[36]С2!F16</f>
        <v>1</v>
      </c>
    </row>
    <row r="65" spans="1:3" ht="17.25" x14ac:dyDescent="0.2">
      <c r="A65" s="59" t="s">
        <v>77</v>
      </c>
      <c r="B65" s="60" t="s">
        <v>78</v>
      </c>
      <c r="C65" s="126">
        <f>[36]С2!F17</f>
        <v>1</v>
      </c>
    </row>
    <row r="66" spans="1:3" s="63" customFormat="1" ht="14.25" x14ac:dyDescent="0.2">
      <c r="A66" s="59" t="s">
        <v>79</v>
      </c>
      <c r="B66" s="61" t="s">
        <v>80</v>
      </c>
      <c r="C66" s="62">
        <f>[36]С2!F35</f>
        <v>10</v>
      </c>
    </row>
    <row r="67" spans="1:3" ht="30" x14ac:dyDescent="0.2">
      <c r="A67" s="59" t="s">
        <v>81</v>
      </c>
      <c r="B67" s="64" t="s">
        <v>82</v>
      </c>
      <c r="C67" s="34">
        <f>[36]С2!F28</f>
        <v>379.2714742785962</v>
      </c>
    </row>
    <row r="68" spans="1:3" ht="274.5" customHeight="1" x14ac:dyDescent="0.2">
      <c r="A68" s="59" t="s">
        <v>83</v>
      </c>
      <c r="B68" s="53" t="s">
        <v>245</v>
      </c>
      <c r="C68" s="40">
        <f>[36]С2!F29</f>
        <v>0.44209422600000003</v>
      </c>
    </row>
    <row r="69" spans="1:3" ht="17.25" x14ac:dyDescent="0.2">
      <c r="A69" s="59" t="s">
        <v>85</v>
      </c>
      <c r="B69" s="58" t="s">
        <v>246</v>
      </c>
      <c r="C69" s="62">
        <f>[36]С2!F30</f>
        <v>500</v>
      </c>
    </row>
    <row r="70" spans="1:3" ht="42.75" x14ac:dyDescent="0.2">
      <c r="A70" s="59" t="s">
        <v>87</v>
      </c>
      <c r="B70" s="33" t="s">
        <v>247</v>
      </c>
      <c r="C70" s="34">
        <f>[36]С2!F22</f>
        <v>24548.869037237404</v>
      </c>
    </row>
    <row r="71" spans="1:3" ht="30" x14ac:dyDescent="0.2">
      <c r="A71" s="59" t="s">
        <v>89</v>
      </c>
      <c r="B71" s="60" t="s">
        <v>248</v>
      </c>
      <c r="C71" s="34">
        <f>[36]С2!F23</f>
        <v>21</v>
      </c>
    </row>
    <row r="72" spans="1:3" ht="30" x14ac:dyDescent="0.2">
      <c r="A72" s="59" t="s">
        <v>91</v>
      </c>
      <c r="B72" s="53" t="s">
        <v>92</v>
      </c>
      <c r="C72" s="34">
        <f>[36]С2.1!E28</f>
        <v>5515.9310416666667</v>
      </c>
    </row>
    <row r="73" spans="1:3" ht="38.25" x14ac:dyDescent="0.2">
      <c r="A73" s="59" t="s">
        <v>93</v>
      </c>
      <c r="B73" s="65" t="s">
        <v>94</v>
      </c>
      <c r="C73" s="52" t="str">
        <f>[36]С2.3!E21</f>
        <v>МУП г. Новосибирска "Горводоканал"</v>
      </c>
    </row>
    <row r="74" spans="1:3" ht="25.5" x14ac:dyDescent="0.2">
      <c r="A74" s="59" t="s">
        <v>95</v>
      </c>
      <c r="B74" s="66" t="s">
        <v>96</v>
      </c>
      <c r="C74" s="67">
        <f>[36]С2.3!E11</f>
        <v>5.45</v>
      </c>
    </row>
    <row r="75" spans="1:3" ht="25.5" x14ac:dyDescent="0.2">
      <c r="A75" s="59" t="s">
        <v>97</v>
      </c>
      <c r="B75" s="66" t="s">
        <v>98</v>
      </c>
      <c r="C75" s="62">
        <f>[36]С2.3!E13</f>
        <v>300</v>
      </c>
    </row>
    <row r="76" spans="1:3" ht="336" customHeight="1" x14ac:dyDescent="0.2">
      <c r="A76" s="59" t="s">
        <v>99</v>
      </c>
      <c r="B76" s="65" t="s">
        <v>100</v>
      </c>
      <c r="C76" s="68">
        <f>IF([36]С2.3!E22&gt;0,[36]С2.3!E22,[36]С2.3!E14)</f>
        <v>20170.833333333332</v>
      </c>
    </row>
    <row r="77" spans="1:3" ht="38.25" x14ac:dyDescent="0.2">
      <c r="A77" s="59" t="s">
        <v>101</v>
      </c>
      <c r="B77" s="65" t="s">
        <v>102</v>
      </c>
      <c r="C77" s="68">
        <f>IF([36]С2.3!E23&gt;0,[36]С2.3!E23,[36]С2.3!E15)</f>
        <v>18020</v>
      </c>
    </row>
    <row r="78" spans="1:3" ht="30" x14ac:dyDescent="0.2">
      <c r="A78" s="59" t="s">
        <v>103</v>
      </c>
      <c r="B78" s="53" t="s">
        <v>104</v>
      </c>
      <c r="C78" s="34">
        <f>[36]С2.1!E29</f>
        <v>5878.6480833333326</v>
      </c>
    </row>
    <row r="79" spans="1:3" ht="38.25" x14ac:dyDescent="0.2">
      <c r="A79" s="59" t="s">
        <v>105</v>
      </c>
      <c r="B79" s="65" t="s">
        <v>106</v>
      </c>
      <c r="C79" s="52" t="str">
        <f>[36]С2.3!E25</f>
        <v>МУП г. Новосибирска "Горводоканал"</v>
      </c>
    </row>
    <row r="80" spans="1:3" ht="25.5" x14ac:dyDescent="0.2">
      <c r="A80" s="59" t="s">
        <v>107</v>
      </c>
      <c r="B80" s="66" t="s">
        <v>108</v>
      </c>
      <c r="C80" s="67">
        <f>[36]С2.3!E12</f>
        <v>0.2</v>
      </c>
    </row>
    <row r="81" spans="1:3" ht="25.5" x14ac:dyDescent="0.2">
      <c r="A81" s="59" t="s">
        <v>109</v>
      </c>
      <c r="B81" s="66" t="s">
        <v>98</v>
      </c>
      <c r="C81" s="62">
        <f>[36]С2.3!E13</f>
        <v>300</v>
      </c>
    </row>
    <row r="82" spans="1:3" ht="330" customHeight="1" x14ac:dyDescent="0.2">
      <c r="A82" s="59" t="s">
        <v>110</v>
      </c>
      <c r="B82" s="69" t="s">
        <v>111</v>
      </c>
      <c r="C82" s="68">
        <f>IF([36]С2.3!E26&gt;0,[36]С2.3!E26,[36]С2.3!E16)</f>
        <v>38240.416666666664</v>
      </c>
    </row>
    <row r="83" spans="1:3" ht="322.5" customHeight="1" x14ac:dyDescent="0.2">
      <c r="A83" s="59" t="s">
        <v>112</v>
      </c>
      <c r="B83" s="69" t="s">
        <v>113</v>
      </c>
      <c r="C83" s="68">
        <f>IF([36]С2.3!E27&gt;0,[36]С2.3!E27,[36]С2.3!E17)</f>
        <v>19570</v>
      </c>
    </row>
    <row r="84" spans="1:3" ht="30" x14ac:dyDescent="0.2">
      <c r="A84" s="59" t="s">
        <v>249</v>
      </c>
      <c r="B84" s="60" t="s">
        <v>250</v>
      </c>
      <c r="C84" s="68">
        <f>IF([36]С2.1!E19&gt;0,[36]С2.1!E19,[36]С2!F26)</f>
        <v>2892</v>
      </c>
    </row>
    <row r="85" spans="1:3" ht="17.25" x14ac:dyDescent="0.2">
      <c r="A85" s="59" t="s">
        <v>114</v>
      </c>
      <c r="B85" s="33" t="s">
        <v>115</v>
      </c>
      <c r="C85" s="35">
        <f>[36]С2!F31</f>
        <v>0.21369165990259753</v>
      </c>
    </row>
    <row r="86" spans="1:3" ht="30" x14ac:dyDescent="0.2">
      <c r="A86" s="59" t="s">
        <v>116</v>
      </c>
      <c r="B86" s="53" t="s">
        <v>117</v>
      </c>
      <c r="C86" s="70">
        <f>[36]С2!F32</f>
        <v>0.20047619047619047</v>
      </c>
    </row>
    <row r="87" spans="1:3" ht="17.25" x14ac:dyDescent="0.2">
      <c r="A87" s="59" t="s">
        <v>118</v>
      </c>
      <c r="B87" s="71" t="s">
        <v>119</v>
      </c>
      <c r="C87" s="35">
        <f>[36]С2!F33</f>
        <v>0.13880000000000001</v>
      </c>
    </row>
    <row r="88" spans="1:3" s="63" customFormat="1" ht="18" thickBot="1" x14ac:dyDescent="0.25">
      <c r="A88" s="72" t="s">
        <v>120</v>
      </c>
      <c r="B88" s="73" t="s">
        <v>121</v>
      </c>
      <c r="C88" s="74">
        <f>[36]С2!F34</f>
        <v>0.12640000000000001</v>
      </c>
    </row>
    <row r="89" spans="1:3" ht="13.5" thickBot="1" x14ac:dyDescent="0.25">
      <c r="A89" s="47"/>
      <c r="B89" s="75"/>
      <c r="C89" s="15"/>
    </row>
    <row r="90" spans="1:3" s="63" customFormat="1" ht="30" customHeight="1" x14ac:dyDescent="0.2">
      <c r="A90" s="76" t="s">
        <v>122</v>
      </c>
      <c r="B90" s="145" t="s">
        <v>123</v>
      </c>
      <c r="C90" s="145"/>
    </row>
    <row r="91" spans="1:3" s="63" customFormat="1" ht="30" x14ac:dyDescent="0.2">
      <c r="A91" s="77" t="s">
        <v>124</v>
      </c>
      <c r="B91" s="33" t="s">
        <v>125</v>
      </c>
      <c r="C91" s="34">
        <f>[36]С3!F14</f>
        <v>11258.985598028818</v>
      </c>
    </row>
    <row r="92" spans="1:3" s="63" customFormat="1" ht="42.75" x14ac:dyDescent="0.2">
      <c r="A92" s="77" t="s">
        <v>126</v>
      </c>
      <c r="B92" s="53" t="s">
        <v>127</v>
      </c>
      <c r="C92" s="78">
        <f>[36]С3!F15</f>
        <v>0.25</v>
      </c>
    </row>
    <row r="93" spans="1:3" s="63" customFormat="1" ht="14.25" x14ac:dyDescent="0.2">
      <c r="A93" s="77" t="s">
        <v>128</v>
      </c>
      <c r="B93" s="79" t="s">
        <v>129</v>
      </c>
      <c r="C93" s="62">
        <f>[36]С3!F18</f>
        <v>15</v>
      </c>
    </row>
    <row r="94" spans="1:3" s="63" customFormat="1" ht="17.25" x14ac:dyDescent="0.2">
      <c r="A94" s="77" t="s">
        <v>130</v>
      </c>
      <c r="B94" s="33" t="s">
        <v>131</v>
      </c>
      <c r="C94" s="34">
        <f>[36]С3!F19</f>
        <v>2699.0944349242141</v>
      </c>
    </row>
    <row r="95" spans="1:3" s="63" customFormat="1" ht="55.5" x14ac:dyDescent="0.2">
      <c r="A95" s="77" t="s">
        <v>132</v>
      </c>
      <c r="B95" s="53" t="s">
        <v>133</v>
      </c>
      <c r="C95" s="80">
        <f>[36]С3!F20</f>
        <v>2.1999999999999999E-2</v>
      </c>
    </row>
    <row r="96" spans="1:3" s="63" customFormat="1" ht="14.25" x14ac:dyDescent="0.2">
      <c r="A96" s="77" t="s">
        <v>134</v>
      </c>
      <c r="B96" s="58" t="s">
        <v>80</v>
      </c>
      <c r="C96" s="62">
        <f>[36]С3!F21</f>
        <v>10</v>
      </c>
    </row>
    <row r="97" spans="1:3" s="63" customFormat="1" ht="17.25" x14ac:dyDescent="0.2">
      <c r="A97" s="77" t="s">
        <v>135</v>
      </c>
      <c r="B97" s="33" t="s">
        <v>136</v>
      </c>
      <c r="C97" s="34">
        <f>[36]С3!F22</f>
        <v>1.1378144228357887</v>
      </c>
    </row>
    <row r="98" spans="1:3" s="63" customFormat="1" ht="161.25" customHeight="1" x14ac:dyDescent="0.2">
      <c r="A98" s="77" t="s">
        <v>137</v>
      </c>
      <c r="B98" s="53" t="s">
        <v>138</v>
      </c>
      <c r="C98" s="80">
        <f>[36]С3!F23</f>
        <v>3.0000000000000001E-3</v>
      </c>
    </row>
    <row r="99" spans="1:3" s="63" customFormat="1" ht="30.75" thickBot="1" x14ac:dyDescent="0.25">
      <c r="A99" s="81" t="s">
        <v>139</v>
      </c>
      <c r="B99" s="82" t="s">
        <v>82</v>
      </c>
      <c r="C99" s="83">
        <f>[36]С3!F24</f>
        <v>379.2714742785962</v>
      </c>
    </row>
    <row r="100" spans="1:3" ht="13.5" thickBot="1" x14ac:dyDescent="0.25">
      <c r="A100" s="47"/>
      <c r="B100" s="75"/>
      <c r="C100" s="15"/>
    </row>
    <row r="101" spans="1:3" ht="30" customHeight="1" x14ac:dyDescent="0.2">
      <c r="A101" s="84" t="s">
        <v>141</v>
      </c>
      <c r="B101" s="145" t="s">
        <v>142</v>
      </c>
      <c r="C101" s="145"/>
    </row>
    <row r="102" spans="1:3" ht="30" x14ac:dyDescent="0.2">
      <c r="A102" s="59" t="s">
        <v>143</v>
      </c>
      <c r="B102" s="33" t="s">
        <v>251</v>
      </c>
      <c r="C102" s="34">
        <f>[36]С4!F16</f>
        <v>832.33500000000004</v>
      </c>
    </row>
    <row r="103" spans="1:3" ht="30" x14ac:dyDescent="0.2">
      <c r="A103" s="59" t="s">
        <v>145</v>
      </c>
      <c r="B103" s="58" t="s">
        <v>252</v>
      </c>
      <c r="C103" s="34">
        <f>[36]С4!F17</f>
        <v>43385</v>
      </c>
    </row>
    <row r="104" spans="1:3" ht="17.25" x14ac:dyDescent="0.2">
      <c r="A104" s="59" t="s">
        <v>147</v>
      </c>
      <c r="B104" s="58" t="s">
        <v>148</v>
      </c>
      <c r="C104" s="40">
        <f>[36]С4!F18</f>
        <v>1.4999999999999999E-2</v>
      </c>
    </row>
    <row r="105" spans="1:3" ht="30" x14ac:dyDescent="0.2">
      <c r="A105" s="59" t="s">
        <v>149</v>
      </c>
      <c r="B105" s="58" t="s">
        <v>150</v>
      </c>
      <c r="C105" s="34">
        <f>[36]С4!F19</f>
        <v>12104</v>
      </c>
    </row>
    <row r="106" spans="1:3" ht="31.5" x14ac:dyDescent="0.2">
      <c r="A106" s="59" t="s">
        <v>151</v>
      </c>
      <c r="B106" s="58" t="s">
        <v>152</v>
      </c>
      <c r="C106" s="40">
        <f>[36]С4!F20</f>
        <v>1.4999999999999999E-2</v>
      </c>
    </row>
    <row r="107" spans="1:3" ht="30" x14ac:dyDescent="0.2">
      <c r="A107" s="59" t="s">
        <v>153</v>
      </c>
      <c r="B107" s="33" t="s">
        <v>253</v>
      </c>
      <c r="C107" s="34">
        <f>[36]С4!F21</f>
        <v>1221.9019409821399</v>
      </c>
    </row>
    <row r="108" spans="1:3" ht="45.6" customHeight="1" x14ac:dyDescent="0.2">
      <c r="A108" s="59" t="s">
        <v>155</v>
      </c>
      <c r="B108" s="53" t="s">
        <v>156</v>
      </c>
      <c r="C108" s="85" t="str">
        <f>IF([36]С4.2!F8="да",[36]С4.2!D21,[36]С4.2!D15)</f>
        <v>АО "Новосибирскэнергосбыт"</v>
      </c>
    </row>
    <row r="109" spans="1:3" ht="68.25" customHeight="1" x14ac:dyDescent="0.2">
      <c r="A109" s="59" t="s">
        <v>157</v>
      </c>
      <c r="B109" s="53" t="s">
        <v>158</v>
      </c>
      <c r="C109" s="34">
        <f>[36]С4!F22</f>
        <v>3.6112641666666665</v>
      </c>
    </row>
    <row r="110" spans="1:3" ht="30" x14ac:dyDescent="0.2">
      <c r="A110" s="59" t="s">
        <v>159</v>
      </c>
      <c r="B110" s="58" t="s">
        <v>254</v>
      </c>
      <c r="C110" s="62">
        <f>[36]С4!F23</f>
        <v>110</v>
      </c>
    </row>
    <row r="111" spans="1:3" ht="14.25" x14ac:dyDescent="0.2">
      <c r="A111" s="59" t="s">
        <v>161</v>
      </c>
      <c r="B111" s="53" t="s">
        <v>162</v>
      </c>
      <c r="C111" s="34">
        <f>[36]С4!F24</f>
        <v>8497.1999999999989</v>
      </c>
    </row>
    <row r="112" spans="1:3" ht="14.25" x14ac:dyDescent="0.2">
      <c r="A112" s="59" t="s">
        <v>163</v>
      </c>
      <c r="B112" s="58" t="s">
        <v>164</v>
      </c>
      <c r="C112" s="40">
        <f>[36]С4!F25</f>
        <v>0.36199999999999999</v>
      </c>
    </row>
    <row r="113" spans="1:3" ht="17.25" x14ac:dyDescent="0.2">
      <c r="A113" s="59" t="s">
        <v>165</v>
      </c>
      <c r="B113" s="33" t="s">
        <v>166</v>
      </c>
      <c r="C113" s="34">
        <f>[36]С4!F26</f>
        <v>47.569780000000002</v>
      </c>
    </row>
    <row r="114" spans="1:3" ht="25.5" x14ac:dyDescent="0.2">
      <c r="A114" s="59" t="s">
        <v>167</v>
      </c>
      <c r="B114" s="53" t="s">
        <v>94</v>
      </c>
      <c r="C114" s="85">
        <f>[36]С4.3!E16</f>
        <v>0</v>
      </c>
    </row>
    <row r="115" spans="1:3" ht="360" customHeight="1" x14ac:dyDescent="0.2">
      <c r="A115" s="59" t="s">
        <v>168</v>
      </c>
      <c r="B115" s="53" t="s">
        <v>169</v>
      </c>
      <c r="C115" s="34">
        <f>[36]С4.3!E17</f>
        <v>23.92</v>
      </c>
    </row>
    <row r="116" spans="1:3" ht="38.25" x14ac:dyDescent="0.2">
      <c r="A116" s="59" t="s">
        <v>170</v>
      </c>
      <c r="B116" s="53" t="s">
        <v>106</v>
      </c>
      <c r="C116" s="85">
        <f>[36]С4.3!E18</f>
        <v>0</v>
      </c>
    </row>
    <row r="117" spans="1:3" ht="374.25" customHeight="1" x14ac:dyDescent="0.2">
      <c r="A117" s="59" t="s">
        <v>171</v>
      </c>
      <c r="B117" s="53" t="s">
        <v>172</v>
      </c>
      <c r="C117" s="34">
        <f>[36]С4.3!E19</f>
        <v>18.579999999999998</v>
      </c>
    </row>
    <row r="118" spans="1:3" x14ac:dyDescent="0.2">
      <c r="A118" s="59" t="s">
        <v>173</v>
      </c>
      <c r="B118" s="58" t="s">
        <v>174</v>
      </c>
      <c r="C118" s="62">
        <f>[36]С4.3!E11</f>
        <v>1871</v>
      </c>
    </row>
    <row r="119" spans="1:3" x14ac:dyDescent="0.2">
      <c r="A119" s="59" t="s">
        <v>175</v>
      </c>
      <c r="B119" s="58" t="s">
        <v>176</v>
      </c>
      <c r="C119" s="52">
        <f>[36]С4.3!E12</f>
        <v>61</v>
      </c>
    </row>
    <row r="120" spans="1:3" x14ac:dyDescent="0.2">
      <c r="A120" s="59" t="s">
        <v>177</v>
      </c>
      <c r="B120" s="58" t="s">
        <v>178</v>
      </c>
      <c r="C120" s="52">
        <f>[36]С4.3!E13</f>
        <v>73</v>
      </c>
    </row>
    <row r="121" spans="1:3" ht="30" x14ac:dyDescent="0.2">
      <c r="A121" s="59" t="s">
        <v>179</v>
      </c>
      <c r="B121" s="33" t="s">
        <v>255</v>
      </c>
      <c r="C121" s="34">
        <f>[36]С4!F27</f>
        <v>904.62444244124072</v>
      </c>
    </row>
    <row r="122" spans="1:3" ht="25.5" x14ac:dyDescent="0.2">
      <c r="A122" s="59" t="s">
        <v>181</v>
      </c>
      <c r="B122" s="53" t="s">
        <v>256</v>
      </c>
      <c r="C122" s="34">
        <f>[36]С4!F28</f>
        <v>694.79603874135228</v>
      </c>
    </row>
    <row r="123" spans="1:3" ht="42.75" x14ac:dyDescent="0.2">
      <c r="A123" s="59" t="s">
        <v>183</v>
      </c>
      <c r="B123" s="53" t="s">
        <v>184</v>
      </c>
      <c r="C123" s="34">
        <f>[36]С4!F29</f>
        <v>209.82840369988838</v>
      </c>
    </row>
    <row r="124" spans="1:3" ht="30.75" thickBot="1" x14ac:dyDescent="0.25">
      <c r="A124" s="72" t="s">
        <v>185</v>
      </c>
      <c r="B124" s="90" t="s">
        <v>186</v>
      </c>
      <c r="C124" s="83">
        <f>[36]С4!F30</f>
        <v>851.05518523307683</v>
      </c>
    </row>
    <row r="125" spans="1:3" s="89" customFormat="1" ht="13.5" thickBot="1" x14ac:dyDescent="0.25">
      <c r="A125" s="47"/>
      <c r="B125" s="75"/>
      <c r="C125" s="15"/>
    </row>
    <row r="126" spans="1:3" s="63" customFormat="1" ht="30" customHeight="1" x14ac:dyDescent="0.2">
      <c r="A126" s="76" t="s">
        <v>195</v>
      </c>
      <c r="B126" s="145" t="s">
        <v>196</v>
      </c>
      <c r="C126" s="145"/>
    </row>
    <row r="127" spans="1:3" ht="30.6" customHeight="1" thickBot="1" x14ac:dyDescent="0.25">
      <c r="A127" s="27" t="s">
        <v>197</v>
      </c>
      <c r="B127" s="90" t="s">
        <v>198</v>
      </c>
      <c r="C127" s="83">
        <f>[36]С5!F17</f>
        <v>0.02</v>
      </c>
    </row>
    <row r="128" spans="1:3" s="89" customFormat="1" ht="13.5" thickBot="1" x14ac:dyDescent="0.25">
      <c r="A128" s="47"/>
      <c r="B128" s="75"/>
      <c r="C128" s="15"/>
    </row>
    <row r="129" spans="1:3" ht="42.75" customHeight="1" x14ac:dyDescent="0.2">
      <c r="A129" s="84" t="s">
        <v>199</v>
      </c>
      <c r="B129" s="145" t="s">
        <v>200</v>
      </c>
      <c r="C129" s="145"/>
    </row>
    <row r="130" spans="1:3" ht="68.25" x14ac:dyDescent="0.2">
      <c r="A130" s="59" t="s">
        <v>201</v>
      </c>
      <c r="B130" s="91" t="s">
        <v>202</v>
      </c>
      <c r="C130" s="34" t="str">
        <f>IF([36]С6.1!E11="нет",[36]С6!F13,"")</f>
        <v/>
      </c>
    </row>
    <row r="131" spans="1:3" ht="42.75" x14ac:dyDescent="0.2">
      <c r="A131" s="59" t="s">
        <v>204</v>
      </c>
      <c r="B131" s="86" t="s">
        <v>205</v>
      </c>
      <c r="C131" s="92" t="str">
        <f>IF([36]С6.1!E12="нет",[36]С6.1!E17,"")</f>
        <v/>
      </c>
    </row>
    <row r="132" spans="1:3" ht="68.25" x14ac:dyDescent="0.2">
      <c r="A132" s="59" t="s">
        <v>206</v>
      </c>
      <c r="B132" s="91" t="s">
        <v>207</v>
      </c>
      <c r="C132" s="127" t="str">
        <f>IF([36]С6.1!E18="нет",[36]С6!F19,"")</f>
        <v/>
      </c>
    </row>
    <row r="133" spans="1:3" ht="55.5" x14ac:dyDescent="0.2">
      <c r="A133" s="59" t="s">
        <v>208</v>
      </c>
      <c r="B133" s="86" t="s">
        <v>209</v>
      </c>
      <c r="C133" s="35" t="str">
        <f>IF([36]С6.1!E18="нет",[36]С6.1!E19,"")</f>
        <v/>
      </c>
    </row>
    <row r="134" spans="1:3" ht="61.5" customHeight="1" x14ac:dyDescent="0.2">
      <c r="A134" s="59" t="s">
        <v>210</v>
      </c>
      <c r="B134" s="86" t="s">
        <v>257</v>
      </c>
      <c r="C134" s="35" t="str">
        <f>IF([36]С6.1!E18="нет",[36]С6.1!E22,"")</f>
        <v/>
      </c>
    </row>
    <row r="135" spans="1:3" ht="69" thickBot="1" x14ac:dyDescent="0.25">
      <c r="A135" s="72" t="s">
        <v>212</v>
      </c>
      <c r="B135" s="98" t="s">
        <v>213</v>
      </c>
      <c r="C135" s="74" t="str">
        <f>IF([36]С6.1!E18="нет",[36]С6.1!E23,"")</f>
        <v/>
      </c>
    </row>
    <row r="136" spans="1:3" s="89" customFormat="1" ht="13.5" thickBot="1" x14ac:dyDescent="0.25">
      <c r="A136" s="47"/>
      <c r="B136" s="75"/>
      <c r="C136" s="15"/>
    </row>
    <row r="137" spans="1:3" ht="15.75" x14ac:dyDescent="0.2">
      <c r="A137" s="84" t="s">
        <v>214</v>
      </c>
      <c r="B137" s="99" t="s">
        <v>215</v>
      </c>
      <c r="C137" s="100">
        <f>[36]С2!F39</f>
        <v>21.531904799999996</v>
      </c>
    </row>
    <row r="138" spans="1:3" ht="14.25" x14ac:dyDescent="0.2">
      <c r="A138" s="59" t="s">
        <v>216</v>
      </c>
      <c r="B138" s="58" t="s">
        <v>217</v>
      </c>
      <c r="C138" s="34">
        <f>[36]С2!F40</f>
        <v>7</v>
      </c>
    </row>
    <row r="139" spans="1:3" ht="17.25" x14ac:dyDescent="0.2">
      <c r="A139" s="59" t="s">
        <v>218</v>
      </c>
      <c r="B139" s="58" t="s">
        <v>219</v>
      </c>
      <c r="C139" s="34">
        <f>[36]С2!F42</f>
        <v>0.97</v>
      </c>
    </row>
    <row r="140" spans="1:3" ht="15" thickBot="1" x14ac:dyDescent="0.25">
      <c r="A140" s="72" t="s">
        <v>220</v>
      </c>
      <c r="B140" s="73" t="s">
        <v>221</v>
      </c>
      <c r="C140" s="46">
        <f>[36]С2!F44</f>
        <v>0.36199999999999999</v>
      </c>
    </row>
    <row r="141" spans="1:3" s="89" customFormat="1" ht="13.5" thickBot="1" x14ac:dyDescent="0.25">
      <c r="A141" s="47"/>
      <c r="B141" s="75"/>
      <c r="C141" s="15"/>
    </row>
    <row r="142" spans="1:3" ht="17.25" x14ac:dyDescent="0.2">
      <c r="A142" s="84" t="s">
        <v>222</v>
      </c>
      <c r="B142" s="103" t="s">
        <v>258</v>
      </c>
      <c r="C142" s="128">
        <f>[36]С2!F37</f>
        <v>1.7157947422665329</v>
      </c>
    </row>
    <row r="143" spans="1:3" ht="17.25" customHeight="1" thickBot="1" x14ac:dyDescent="0.25">
      <c r="A143" s="72" t="s">
        <v>224</v>
      </c>
      <c r="B143" s="141" t="s">
        <v>225</v>
      </c>
      <c r="C143" s="141"/>
    </row>
    <row r="144" spans="1:3" x14ac:dyDescent="0.2">
      <c r="A144" s="105"/>
      <c r="B144" s="129" t="s">
        <v>226</v>
      </c>
      <c r="C144" s="130"/>
    </row>
    <row r="145" spans="1:3" x14ac:dyDescent="0.2">
      <c r="A145" s="105"/>
      <c r="B145" s="131">
        <v>2020</v>
      </c>
      <c r="C145" s="132">
        <f>[36]С2.5!$E$11</f>
        <v>-2.9000000000000026E-2</v>
      </c>
    </row>
    <row r="146" spans="1:3" x14ac:dyDescent="0.2">
      <c r="B146" s="131">
        <f>B145+1</f>
        <v>2021</v>
      </c>
      <c r="C146" s="133">
        <f>[36]С2.5!$F$11</f>
        <v>0.245</v>
      </c>
    </row>
    <row r="147" spans="1:3" x14ac:dyDescent="0.2">
      <c r="B147" s="131">
        <f t="shared" ref="B147:B210" si="0">B146+1</f>
        <v>2022</v>
      </c>
      <c r="C147" s="134">
        <f>[36]С2.5!$G$11</f>
        <v>0.114</v>
      </c>
    </row>
    <row r="148" spans="1:3" x14ac:dyDescent="0.2">
      <c r="B148" s="110">
        <f t="shared" si="0"/>
        <v>2023</v>
      </c>
      <c r="C148" s="135">
        <f>[36]С2.5!$H$11</f>
        <v>0.04</v>
      </c>
    </row>
    <row r="149" spans="1:3" x14ac:dyDescent="0.2">
      <c r="B149" s="110">
        <f t="shared" si="0"/>
        <v>2024</v>
      </c>
      <c r="C149" s="135">
        <f>[36]С2.5!$I$11</f>
        <v>0.121</v>
      </c>
    </row>
    <row r="150" spans="1:3" x14ac:dyDescent="0.2">
      <c r="B150" s="110">
        <f t="shared" si="0"/>
        <v>2025</v>
      </c>
      <c r="C150" s="135">
        <f>[36]С2.5!$J$11</f>
        <v>0.03</v>
      </c>
    </row>
    <row r="151" spans="1:3" ht="13.5" thickBot="1" x14ac:dyDescent="0.25">
      <c r="B151" s="110">
        <f t="shared" si="0"/>
        <v>2026</v>
      </c>
      <c r="C151" s="135">
        <f>[36]С2.5!$K$11</f>
        <v>6.0999999999999999E-2</v>
      </c>
    </row>
    <row r="152" spans="1:3" ht="13.5" hidden="1" thickBot="1" x14ac:dyDescent="0.25">
      <c r="B152" s="110">
        <f t="shared" si="0"/>
        <v>2027</v>
      </c>
      <c r="C152" s="135">
        <f>[36]С2.5!$L$11</f>
        <v>0</v>
      </c>
    </row>
    <row r="153" spans="1:3" ht="13.5" hidden="1" thickBot="1" x14ac:dyDescent="0.25">
      <c r="B153" s="110">
        <f t="shared" si="0"/>
        <v>2028</v>
      </c>
      <c r="C153" s="135">
        <f>[36]С2.5!$M$11</f>
        <v>0</v>
      </c>
    </row>
    <row r="154" spans="1:3" ht="13.5" hidden="1" thickBot="1" x14ac:dyDescent="0.25">
      <c r="B154" s="110">
        <f t="shared" si="0"/>
        <v>2029</v>
      </c>
      <c r="C154" s="135">
        <f>[36]С2.5!$N$11</f>
        <v>0</v>
      </c>
    </row>
    <row r="155" spans="1:3" ht="13.5" hidden="1" thickBot="1" x14ac:dyDescent="0.25">
      <c r="B155" s="110">
        <f t="shared" si="0"/>
        <v>2030</v>
      </c>
      <c r="C155" s="135">
        <f>[36]С2.5!$O$11</f>
        <v>0</v>
      </c>
    </row>
    <row r="156" spans="1:3" ht="13.5" hidden="1" thickBot="1" x14ac:dyDescent="0.25">
      <c r="B156" s="110">
        <f t="shared" si="0"/>
        <v>2031</v>
      </c>
      <c r="C156" s="135">
        <f>[36]С2.5!$P$11</f>
        <v>0</v>
      </c>
    </row>
    <row r="157" spans="1:3" ht="13.5" hidden="1" thickBot="1" x14ac:dyDescent="0.25">
      <c r="B157" s="110">
        <f t="shared" si="0"/>
        <v>2032</v>
      </c>
      <c r="C157" s="135">
        <f>[36]С2.5!$Q$11</f>
        <v>0</v>
      </c>
    </row>
    <row r="158" spans="1:3" ht="13.5" hidden="1" thickBot="1" x14ac:dyDescent="0.25">
      <c r="B158" s="110">
        <f t="shared" si="0"/>
        <v>2033</v>
      </c>
      <c r="C158" s="135">
        <f>[36]С2.5!$R$11</f>
        <v>0</v>
      </c>
    </row>
    <row r="159" spans="1:3" ht="13.5" hidden="1" thickBot="1" x14ac:dyDescent="0.25">
      <c r="B159" s="110">
        <f t="shared" si="0"/>
        <v>2034</v>
      </c>
      <c r="C159" s="135">
        <f>[36]С2.5!$S$11</f>
        <v>0</v>
      </c>
    </row>
    <row r="160" spans="1:3" ht="13.5" hidden="1" thickBot="1" x14ac:dyDescent="0.25">
      <c r="B160" s="110">
        <f t="shared" si="0"/>
        <v>2035</v>
      </c>
      <c r="C160" s="135">
        <f>[36]С2.5!$T$11</f>
        <v>0</v>
      </c>
    </row>
    <row r="161" spans="2:3" ht="13.5" hidden="1" thickBot="1" x14ac:dyDescent="0.25">
      <c r="B161" s="110">
        <f t="shared" si="0"/>
        <v>2036</v>
      </c>
      <c r="C161" s="135">
        <f>[36]С2.5!$U$11</f>
        <v>0</v>
      </c>
    </row>
    <row r="162" spans="2:3" ht="13.5" hidden="1" thickBot="1" x14ac:dyDescent="0.25">
      <c r="B162" s="110">
        <f t="shared" si="0"/>
        <v>2037</v>
      </c>
      <c r="C162" s="135">
        <f>[36]С2.5!$V$11</f>
        <v>0</v>
      </c>
    </row>
    <row r="163" spans="2:3" ht="13.5" hidden="1" thickBot="1" x14ac:dyDescent="0.25">
      <c r="B163" s="110">
        <f t="shared" si="0"/>
        <v>2038</v>
      </c>
      <c r="C163" s="135">
        <f>[36]С2.5!$W$11</f>
        <v>0</v>
      </c>
    </row>
    <row r="164" spans="2:3" ht="13.5" hidden="1" thickBot="1" x14ac:dyDescent="0.25">
      <c r="B164" s="110">
        <f t="shared" si="0"/>
        <v>2039</v>
      </c>
      <c r="C164" s="135">
        <f>[36]С2.5!$X$11</f>
        <v>0</v>
      </c>
    </row>
    <row r="165" spans="2:3" ht="13.5" hidden="1" thickBot="1" x14ac:dyDescent="0.25">
      <c r="B165" s="110">
        <f t="shared" si="0"/>
        <v>2040</v>
      </c>
      <c r="C165" s="135">
        <f>[36]С2.5!$Y$11</f>
        <v>0</v>
      </c>
    </row>
    <row r="166" spans="2:3" ht="13.5" hidden="1" thickBot="1" x14ac:dyDescent="0.25">
      <c r="B166" s="110">
        <f t="shared" si="0"/>
        <v>2041</v>
      </c>
      <c r="C166" s="135">
        <f>[36]С2.5!$Z$11</f>
        <v>0</v>
      </c>
    </row>
    <row r="167" spans="2:3" ht="13.5" hidden="1" thickBot="1" x14ac:dyDescent="0.25">
      <c r="B167" s="110">
        <f t="shared" si="0"/>
        <v>2042</v>
      </c>
      <c r="C167" s="135">
        <f>[36]С2.5!$AA$11</f>
        <v>0</v>
      </c>
    </row>
    <row r="168" spans="2:3" ht="13.5" hidden="1" thickBot="1" x14ac:dyDescent="0.25">
      <c r="B168" s="110">
        <f t="shared" si="0"/>
        <v>2043</v>
      </c>
      <c r="C168" s="135">
        <f>[36]С2.5!$AB$11</f>
        <v>0</v>
      </c>
    </row>
    <row r="169" spans="2:3" ht="13.5" hidden="1" thickBot="1" x14ac:dyDescent="0.25">
      <c r="B169" s="110">
        <f t="shared" si="0"/>
        <v>2044</v>
      </c>
      <c r="C169" s="135">
        <f>[36]С2.5!$AC$11</f>
        <v>0</v>
      </c>
    </row>
    <row r="170" spans="2:3" ht="13.5" hidden="1" thickBot="1" x14ac:dyDescent="0.25">
      <c r="B170" s="110">
        <f t="shared" si="0"/>
        <v>2045</v>
      </c>
      <c r="C170" s="135">
        <f>[36]С2.5!$AD$11</f>
        <v>0</v>
      </c>
    </row>
    <row r="171" spans="2:3" ht="13.5" hidden="1" thickBot="1" x14ac:dyDescent="0.25">
      <c r="B171" s="110">
        <f t="shared" si="0"/>
        <v>2046</v>
      </c>
      <c r="C171" s="135">
        <f>[36]С2.5!$AE$11</f>
        <v>0</v>
      </c>
    </row>
    <row r="172" spans="2:3" ht="13.5" hidden="1" thickBot="1" x14ac:dyDescent="0.25">
      <c r="B172" s="110">
        <f t="shared" si="0"/>
        <v>2047</v>
      </c>
      <c r="C172" s="135">
        <f>[36]С2.5!$AF$11</f>
        <v>0</v>
      </c>
    </row>
    <row r="173" spans="2:3" ht="13.5" hidden="1" thickBot="1" x14ac:dyDescent="0.25">
      <c r="B173" s="110">
        <f t="shared" si="0"/>
        <v>2048</v>
      </c>
      <c r="C173" s="135">
        <f>[36]С2.5!$AG$11</f>
        <v>0</v>
      </c>
    </row>
    <row r="174" spans="2:3" ht="13.5" hidden="1" thickBot="1" x14ac:dyDescent="0.25">
      <c r="B174" s="110">
        <f t="shared" si="0"/>
        <v>2049</v>
      </c>
      <c r="C174" s="135">
        <f>[36]С2.5!$AH$11</f>
        <v>0</v>
      </c>
    </row>
    <row r="175" spans="2:3" ht="13.5" hidden="1" thickBot="1" x14ac:dyDescent="0.25">
      <c r="B175" s="110">
        <f t="shared" si="0"/>
        <v>2050</v>
      </c>
      <c r="C175" s="135">
        <f>[36]С2.5!$AI$11</f>
        <v>0</v>
      </c>
    </row>
    <row r="176" spans="2:3" ht="13.5" hidden="1" thickBot="1" x14ac:dyDescent="0.25">
      <c r="B176" s="110">
        <f t="shared" si="0"/>
        <v>2051</v>
      </c>
      <c r="C176" s="135">
        <f>[36]С2.5!$AJ$11</f>
        <v>0</v>
      </c>
    </row>
    <row r="177" spans="2:3" ht="13.5" hidden="1" thickBot="1" x14ac:dyDescent="0.25">
      <c r="B177" s="110">
        <f t="shared" si="0"/>
        <v>2052</v>
      </c>
      <c r="C177" s="135">
        <f>[36]С2.5!$AK$11</f>
        <v>0</v>
      </c>
    </row>
    <row r="178" spans="2:3" ht="13.5" hidden="1" thickBot="1" x14ac:dyDescent="0.25">
      <c r="B178" s="110">
        <f t="shared" si="0"/>
        <v>2053</v>
      </c>
      <c r="C178" s="135">
        <f>[36]С2.5!$AL$11</f>
        <v>0</v>
      </c>
    </row>
    <row r="179" spans="2:3" ht="13.5" hidden="1" thickBot="1" x14ac:dyDescent="0.25">
      <c r="B179" s="110">
        <f t="shared" si="0"/>
        <v>2054</v>
      </c>
      <c r="C179" s="135">
        <f>[36]С2.5!$AM$11</f>
        <v>0</v>
      </c>
    </row>
    <row r="180" spans="2:3" ht="13.5" hidden="1" thickBot="1" x14ac:dyDescent="0.25">
      <c r="B180" s="110">
        <f t="shared" si="0"/>
        <v>2055</v>
      </c>
      <c r="C180" s="135">
        <f>[36]С2.5!$AN$11</f>
        <v>0</v>
      </c>
    </row>
    <row r="181" spans="2:3" ht="13.5" hidden="1" thickBot="1" x14ac:dyDescent="0.25">
      <c r="B181" s="110">
        <f t="shared" si="0"/>
        <v>2056</v>
      </c>
      <c r="C181" s="135">
        <f>[36]С2.5!$AO$11</f>
        <v>0</v>
      </c>
    </row>
    <row r="182" spans="2:3" ht="13.5" hidden="1" thickBot="1" x14ac:dyDescent="0.25">
      <c r="B182" s="110">
        <f t="shared" si="0"/>
        <v>2057</v>
      </c>
      <c r="C182" s="135">
        <f>[36]С2.5!$AP$11</f>
        <v>0</v>
      </c>
    </row>
    <row r="183" spans="2:3" ht="13.5" hidden="1" thickBot="1" x14ac:dyDescent="0.25">
      <c r="B183" s="110">
        <f t="shared" si="0"/>
        <v>2058</v>
      </c>
      <c r="C183" s="135">
        <f>[36]С2.5!$AQ$11</f>
        <v>0</v>
      </c>
    </row>
    <row r="184" spans="2:3" ht="13.5" hidden="1" thickBot="1" x14ac:dyDescent="0.25">
      <c r="B184" s="110">
        <f t="shared" si="0"/>
        <v>2059</v>
      </c>
      <c r="C184" s="135">
        <f>[36]С2.5!$AR$11</f>
        <v>0</v>
      </c>
    </row>
    <row r="185" spans="2:3" ht="13.5" hidden="1" thickBot="1" x14ac:dyDescent="0.25">
      <c r="B185" s="110">
        <f t="shared" si="0"/>
        <v>2060</v>
      </c>
      <c r="C185" s="135">
        <f>[36]С2.5!$AS$11</f>
        <v>0</v>
      </c>
    </row>
    <row r="186" spans="2:3" ht="13.5" hidden="1" thickBot="1" x14ac:dyDescent="0.25">
      <c r="B186" s="110">
        <f t="shared" si="0"/>
        <v>2061</v>
      </c>
      <c r="C186" s="135">
        <f>[36]С2.5!$AT$11</f>
        <v>0</v>
      </c>
    </row>
    <row r="187" spans="2:3" ht="13.5" hidden="1" thickBot="1" x14ac:dyDescent="0.25">
      <c r="B187" s="110">
        <f t="shared" si="0"/>
        <v>2062</v>
      </c>
      <c r="C187" s="135">
        <f>[36]С2.5!$AU$11</f>
        <v>0</v>
      </c>
    </row>
    <row r="188" spans="2:3" ht="13.5" hidden="1" thickBot="1" x14ac:dyDescent="0.25">
      <c r="B188" s="110">
        <f t="shared" si="0"/>
        <v>2063</v>
      </c>
      <c r="C188" s="135">
        <f>[36]С2.5!$AV$11</f>
        <v>0</v>
      </c>
    </row>
    <row r="189" spans="2:3" ht="13.5" hidden="1" thickBot="1" x14ac:dyDescent="0.25">
      <c r="B189" s="110">
        <f t="shared" si="0"/>
        <v>2064</v>
      </c>
      <c r="C189" s="135">
        <f>[36]С2.5!$AW$11</f>
        <v>0</v>
      </c>
    </row>
    <row r="190" spans="2:3" ht="13.5" hidden="1" thickBot="1" x14ac:dyDescent="0.25">
      <c r="B190" s="110">
        <f t="shared" si="0"/>
        <v>2065</v>
      </c>
      <c r="C190" s="135">
        <f>[36]С2.5!$AX$11</f>
        <v>0</v>
      </c>
    </row>
    <row r="191" spans="2:3" ht="13.5" hidden="1" thickBot="1" x14ac:dyDescent="0.25">
      <c r="B191" s="110">
        <f t="shared" si="0"/>
        <v>2066</v>
      </c>
      <c r="C191" s="135">
        <f>[36]С2.5!$AY$11</f>
        <v>0</v>
      </c>
    </row>
    <row r="192" spans="2:3" ht="13.5" hidden="1" thickBot="1" x14ac:dyDescent="0.25">
      <c r="B192" s="110">
        <f t="shared" si="0"/>
        <v>2067</v>
      </c>
      <c r="C192" s="135">
        <f>[36]С2.5!$AZ$11</f>
        <v>0</v>
      </c>
    </row>
    <row r="193" spans="2:3" ht="13.5" hidden="1" thickBot="1" x14ac:dyDescent="0.25">
      <c r="B193" s="110">
        <f t="shared" si="0"/>
        <v>2068</v>
      </c>
      <c r="C193" s="135">
        <f>[36]С2.5!$BA$11</f>
        <v>0</v>
      </c>
    </row>
    <row r="194" spans="2:3" ht="13.5" hidden="1" thickBot="1" x14ac:dyDescent="0.25">
      <c r="B194" s="110">
        <f t="shared" si="0"/>
        <v>2069</v>
      </c>
      <c r="C194" s="135">
        <f>[36]С2.5!$BB$11</f>
        <v>0</v>
      </c>
    </row>
    <row r="195" spans="2:3" ht="13.5" hidden="1" thickBot="1" x14ac:dyDescent="0.25">
      <c r="B195" s="110">
        <f t="shared" si="0"/>
        <v>2070</v>
      </c>
      <c r="C195" s="135">
        <f>[36]С2.5!$BC$11</f>
        <v>0</v>
      </c>
    </row>
    <row r="196" spans="2:3" ht="13.5" hidden="1" thickBot="1" x14ac:dyDescent="0.25">
      <c r="B196" s="110">
        <f t="shared" si="0"/>
        <v>2071</v>
      </c>
      <c r="C196" s="135">
        <f>[36]С2.5!$BD$11</f>
        <v>0</v>
      </c>
    </row>
    <row r="197" spans="2:3" ht="13.5" hidden="1" thickBot="1" x14ac:dyDescent="0.25">
      <c r="B197" s="110">
        <f t="shared" si="0"/>
        <v>2072</v>
      </c>
      <c r="C197" s="135">
        <f>[36]С2.5!$BE$11</f>
        <v>0</v>
      </c>
    </row>
    <row r="198" spans="2:3" ht="13.5" hidden="1" thickBot="1" x14ac:dyDescent="0.25">
      <c r="B198" s="110">
        <f t="shared" si="0"/>
        <v>2073</v>
      </c>
      <c r="C198" s="135">
        <f>[36]С2.5!$BF$11</f>
        <v>0</v>
      </c>
    </row>
    <row r="199" spans="2:3" ht="13.5" hidden="1" thickBot="1" x14ac:dyDescent="0.25">
      <c r="B199" s="110">
        <f t="shared" si="0"/>
        <v>2074</v>
      </c>
      <c r="C199" s="135">
        <f>[36]С2.5!$BG$11</f>
        <v>0</v>
      </c>
    </row>
    <row r="200" spans="2:3" ht="13.5" hidden="1" thickBot="1" x14ac:dyDescent="0.25">
      <c r="B200" s="110">
        <f t="shared" si="0"/>
        <v>2075</v>
      </c>
      <c r="C200" s="135">
        <f>[36]С2.5!$BH$11</f>
        <v>0</v>
      </c>
    </row>
    <row r="201" spans="2:3" ht="13.5" hidden="1" thickBot="1" x14ac:dyDescent="0.25">
      <c r="B201" s="110">
        <f t="shared" si="0"/>
        <v>2076</v>
      </c>
      <c r="C201" s="135">
        <f>[36]С2.5!$BI$11</f>
        <v>0</v>
      </c>
    </row>
    <row r="202" spans="2:3" ht="13.5" hidden="1" thickBot="1" x14ac:dyDescent="0.25">
      <c r="B202" s="110">
        <f t="shared" si="0"/>
        <v>2077</v>
      </c>
      <c r="C202" s="135">
        <f>[36]С2.5!$BJ$11</f>
        <v>0</v>
      </c>
    </row>
    <row r="203" spans="2:3" ht="13.5" hidden="1" thickBot="1" x14ac:dyDescent="0.25">
      <c r="B203" s="110">
        <f t="shared" si="0"/>
        <v>2078</v>
      </c>
      <c r="C203" s="135">
        <f>[36]С2.5!$BK$11</f>
        <v>0</v>
      </c>
    </row>
    <row r="204" spans="2:3" ht="13.5" hidden="1" thickBot="1" x14ac:dyDescent="0.25">
      <c r="B204" s="110">
        <f t="shared" si="0"/>
        <v>2079</v>
      </c>
      <c r="C204" s="135">
        <f>[36]С2.5!$BL$11</f>
        <v>0</v>
      </c>
    </row>
    <row r="205" spans="2:3" ht="13.5" hidden="1" thickBot="1" x14ac:dyDescent="0.25">
      <c r="B205" s="110">
        <f t="shared" si="0"/>
        <v>2080</v>
      </c>
      <c r="C205" s="135">
        <f>[36]С2.5!$BM$11</f>
        <v>0</v>
      </c>
    </row>
    <row r="206" spans="2:3" ht="13.5" hidden="1" thickBot="1" x14ac:dyDescent="0.25">
      <c r="B206" s="110">
        <f t="shared" si="0"/>
        <v>2081</v>
      </c>
      <c r="C206" s="135">
        <f>[36]С2.5!$BN$11</f>
        <v>0</v>
      </c>
    </row>
    <row r="207" spans="2:3" ht="13.5" hidden="1" thickBot="1" x14ac:dyDescent="0.25">
      <c r="B207" s="110">
        <f t="shared" si="0"/>
        <v>2082</v>
      </c>
      <c r="C207" s="135">
        <f>[36]С2.5!$BO$11</f>
        <v>0</v>
      </c>
    </row>
    <row r="208" spans="2:3" ht="13.5" hidden="1" thickBot="1" x14ac:dyDescent="0.25">
      <c r="B208" s="110">
        <f t="shared" si="0"/>
        <v>2083</v>
      </c>
      <c r="C208" s="135">
        <f>[36]С2.5!$BP$11</f>
        <v>0</v>
      </c>
    </row>
    <row r="209" spans="2:3" ht="13.5" hidden="1" thickBot="1" x14ac:dyDescent="0.25">
      <c r="B209" s="110">
        <f t="shared" si="0"/>
        <v>2084</v>
      </c>
      <c r="C209" s="135">
        <f>[36]С2.5!$BQ$11</f>
        <v>0</v>
      </c>
    </row>
    <row r="210" spans="2:3" ht="13.5" hidden="1" thickBot="1" x14ac:dyDescent="0.25">
      <c r="B210" s="110">
        <f t="shared" si="0"/>
        <v>2085</v>
      </c>
      <c r="C210" s="135">
        <f>[36]С2.5!$BR$11</f>
        <v>0</v>
      </c>
    </row>
    <row r="211" spans="2:3" ht="13.5" hidden="1" thickBot="1" x14ac:dyDescent="0.25">
      <c r="B211" s="110">
        <f t="shared" ref="B211:B224" si="1">B210+1</f>
        <v>2086</v>
      </c>
      <c r="C211" s="135">
        <f>[36]С2.5!$BS$11</f>
        <v>0</v>
      </c>
    </row>
    <row r="212" spans="2:3" ht="13.5" hidden="1" thickBot="1" x14ac:dyDescent="0.25">
      <c r="B212" s="110">
        <f t="shared" si="1"/>
        <v>2087</v>
      </c>
      <c r="C212" s="135">
        <f>[36]С2.5!$BT$11</f>
        <v>0</v>
      </c>
    </row>
    <row r="213" spans="2:3" ht="13.5" hidden="1" thickBot="1" x14ac:dyDescent="0.25">
      <c r="B213" s="110">
        <f t="shared" si="1"/>
        <v>2088</v>
      </c>
      <c r="C213" s="135">
        <f>[36]С2.5!$BU$11</f>
        <v>0</v>
      </c>
    </row>
    <row r="214" spans="2:3" ht="13.5" hidden="1" thickBot="1" x14ac:dyDescent="0.25">
      <c r="B214" s="110">
        <f t="shared" si="1"/>
        <v>2089</v>
      </c>
      <c r="C214" s="135">
        <f>[36]С2.5!$BV$11</f>
        <v>0</v>
      </c>
    </row>
    <row r="215" spans="2:3" ht="13.5" hidden="1" thickBot="1" x14ac:dyDescent="0.25">
      <c r="B215" s="110">
        <f t="shared" si="1"/>
        <v>2090</v>
      </c>
      <c r="C215" s="135">
        <f>[36]С2.5!$BW$11</f>
        <v>0</v>
      </c>
    </row>
    <row r="216" spans="2:3" ht="13.5" hidden="1" thickBot="1" x14ac:dyDescent="0.25">
      <c r="B216" s="110">
        <f t="shared" si="1"/>
        <v>2091</v>
      </c>
      <c r="C216" s="135">
        <f>[36]С2.5!$BX$11</f>
        <v>0</v>
      </c>
    </row>
    <row r="217" spans="2:3" ht="13.5" hidden="1" thickBot="1" x14ac:dyDescent="0.25">
      <c r="B217" s="110">
        <f t="shared" si="1"/>
        <v>2092</v>
      </c>
      <c r="C217" s="135">
        <f>[36]С2.5!$BY$11</f>
        <v>0</v>
      </c>
    </row>
    <row r="218" spans="2:3" ht="13.5" hidden="1" thickBot="1" x14ac:dyDescent="0.25">
      <c r="B218" s="110">
        <f t="shared" si="1"/>
        <v>2093</v>
      </c>
      <c r="C218" s="135">
        <f>[36]С2.5!$BZ$11</f>
        <v>0</v>
      </c>
    </row>
    <row r="219" spans="2:3" ht="13.5" hidden="1" thickBot="1" x14ac:dyDescent="0.25">
      <c r="B219" s="110">
        <f t="shared" si="1"/>
        <v>2094</v>
      </c>
      <c r="C219" s="135">
        <f>[36]С2.5!$CA$11</f>
        <v>0</v>
      </c>
    </row>
    <row r="220" spans="2:3" ht="13.5" hidden="1" thickBot="1" x14ac:dyDescent="0.25">
      <c r="B220" s="110">
        <f t="shared" si="1"/>
        <v>2095</v>
      </c>
      <c r="C220" s="135">
        <f>[36]С2.5!$CB$11</f>
        <v>0</v>
      </c>
    </row>
    <row r="221" spans="2:3" ht="13.5" hidden="1" thickBot="1" x14ac:dyDescent="0.25">
      <c r="B221" s="110">
        <f t="shared" si="1"/>
        <v>2096</v>
      </c>
      <c r="C221" s="135">
        <f>[36]С2.5!$CC$11</f>
        <v>0</v>
      </c>
    </row>
    <row r="222" spans="2:3" ht="13.5" hidden="1" thickBot="1" x14ac:dyDescent="0.25">
      <c r="B222" s="110">
        <f t="shared" si="1"/>
        <v>2097</v>
      </c>
      <c r="C222" s="135">
        <f>[36]С2.5!$CD$11</f>
        <v>0</v>
      </c>
    </row>
    <row r="223" spans="2:3" ht="13.5" hidden="1" thickBot="1" x14ac:dyDescent="0.25">
      <c r="B223" s="110">
        <f t="shared" si="1"/>
        <v>2098</v>
      </c>
      <c r="C223" s="135">
        <f>[36]С2.5!$CE$11</f>
        <v>0</v>
      </c>
    </row>
    <row r="224" spans="2:3" ht="13.5" hidden="1" thickBot="1" x14ac:dyDescent="0.25">
      <c r="B224" s="110">
        <f t="shared" si="1"/>
        <v>2099</v>
      </c>
      <c r="C224" s="135">
        <f>[36]С2.5!$CF$11</f>
        <v>0</v>
      </c>
    </row>
    <row r="225" spans="2:3" ht="13.5" hidden="1" thickBot="1" x14ac:dyDescent="0.25">
      <c r="B225" s="112">
        <f>B162+1</f>
        <v>2038</v>
      </c>
      <c r="C225" s="136" t="e">
        <f>[36]С2.5!#REF!</f>
        <v>#REF!</v>
      </c>
    </row>
    <row r="226" spans="2:3" x14ac:dyDescent="0.2">
      <c r="B226" s="137"/>
      <c r="C226" s="138"/>
    </row>
  </sheetData>
  <mergeCells count="9">
    <mergeCell ref="B143:C143"/>
    <mergeCell ref="A14:C14"/>
    <mergeCell ref="B1:C1"/>
    <mergeCell ref="B27:C27"/>
    <mergeCell ref="B45:C45"/>
    <mergeCell ref="B90:C90"/>
    <mergeCell ref="B101:C101"/>
    <mergeCell ref="B126:C126"/>
    <mergeCell ref="B129:C12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26"/>
  <sheetViews>
    <sheetView workbookViewId="0">
      <selection activeCell="C7" sqref="C7"/>
    </sheetView>
  </sheetViews>
  <sheetFormatPr defaultRowHeight="12.75" x14ac:dyDescent="0.2"/>
  <cols>
    <col min="1" max="1" width="9.140625" style="2" customWidth="1"/>
    <col min="2" max="2" width="100.5703125" style="2" customWidth="1"/>
    <col min="3" max="3" width="20.85546875" style="7" customWidth="1"/>
    <col min="4" max="244" width="9.140625" style="2"/>
    <col min="245" max="245" width="3.5703125" style="2" customWidth="1"/>
    <col min="246" max="246" width="96.85546875" style="2" customWidth="1"/>
    <col min="247" max="247" width="30.85546875" style="2" customWidth="1"/>
    <col min="248" max="248" width="12.5703125" style="2" customWidth="1"/>
    <col min="249" max="249" width="5.140625" style="2" customWidth="1"/>
    <col min="250" max="250" width="9.140625" style="2"/>
    <col min="251" max="251" width="4.85546875" style="2" customWidth="1"/>
    <col min="252" max="252" width="30.5703125" style="2" customWidth="1"/>
    <col min="253" max="253" width="33.85546875" style="2" customWidth="1"/>
    <col min="254" max="254" width="5.140625" style="2" customWidth="1"/>
    <col min="255" max="256" width="17.5703125" style="2" customWidth="1"/>
    <col min="257" max="500" width="9.140625" style="2"/>
    <col min="501" max="501" width="3.5703125" style="2" customWidth="1"/>
    <col min="502" max="502" width="96.85546875" style="2" customWidth="1"/>
    <col min="503" max="503" width="30.85546875" style="2" customWidth="1"/>
    <col min="504" max="504" width="12.5703125" style="2" customWidth="1"/>
    <col min="505" max="505" width="5.140625" style="2" customWidth="1"/>
    <col min="506" max="506" width="9.140625" style="2"/>
    <col min="507" max="507" width="4.85546875" style="2" customWidth="1"/>
    <col min="508" max="508" width="30.5703125" style="2" customWidth="1"/>
    <col min="509" max="509" width="33.85546875" style="2" customWidth="1"/>
    <col min="510" max="510" width="5.140625" style="2" customWidth="1"/>
    <col min="511" max="512" width="17.5703125" style="2" customWidth="1"/>
    <col min="513" max="756" width="9.140625" style="2"/>
    <col min="757" max="757" width="3.5703125" style="2" customWidth="1"/>
    <col min="758" max="758" width="96.85546875" style="2" customWidth="1"/>
    <col min="759" max="759" width="30.85546875" style="2" customWidth="1"/>
    <col min="760" max="760" width="12.5703125" style="2" customWidth="1"/>
    <col min="761" max="761" width="5.140625" style="2" customWidth="1"/>
    <col min="762" max="762" width="9.140625" style="2"/>
    <col min="763" max="763" width="4.85546875" style="2" customWidth="1"/>
    <col min="764" max="764" width="30.5703125" style="2" customWidth="1"/>
    <col min="765" max="765" width="33.85546875" style="2" customWidth="1"/>
    <col min="766" max="766" width="5.140625" style="2" customWidth="1"/>
    <col min="767" max="768" width="17.5703125" style="2" customWidth="1"/>
    <col min="769" max="1012" width="9.140625" style="2"/>
    <col min="1013" max="1013" width="3.5703125" style="2" customWidth="1"/>
    <col min="1014" max="1014" width="96.85546875" style="2" customWidth="1"/>
    <col min="1015" max="1015" width="30.85546875" style="2" customWidth="1"/>
    <col min="1016" max="1016" width="12.5703125" style="2" customWidth="1"/>
    <col min="1017" max="1017" width="5.140625" style="2" customWidth="1"/>
    <col min="1018" max="1018" width="9.140625" style="2"/>
    <col min="1019" max="1019" width="4.85546875" style="2" customWidth="1"/>
    <col min="1020" max="1020" width="30.5703125" style="2" customWidth="1"/>
    <col min="1021" max="1021" width="33.85546875" style="2" customWidth="1"/>
    <col min="1022" max="1022" width="5.140625" style="2" customWidth="1"/>
    <col min="1023" max="1024" width="17.5703125" style="2" customWidth="1"/>
    <col min="1025" max="1268" width="9.140625" style="2"/>
    <col min="1269" max="1269" width="3.5703125" style="2" customWidth="1"/>
    <col min="1270" max="1270" width="96.85546875" style="2" customWidth="1"/>
    <col min="1271" max="1271" width="30.85546875" style="2" customWidth="1"/>
    <col min="1272" max="1272" width="12.5703125" style="2" customWidth="1"/>
    <col min="1273" max="1273" width="5.140625" style="2" customWidth="1"/>
    <col min="1274" max="1274" width="9.140625" style="2"/>
    <col min="1275" max="1275" width="4.85546875" style="2" customWidth="1"/>
    <col min="1276" max="1276" width="30.5703125" style="2" customWidth="1"/>
    <col min="1277" max="1277" width="33.85546875" style="2" customWidth="1"/>
    <col min="1278" max="1278" width="5.140625" style="2" customWidth="1"/>
    <col min="1279" max="1280" width="17.5703125" style="2" customWidth="1"/>
    <col min="1281" max="1524" width="9.140625" style="2"/>
    <col min="1525" max="1525" width="3.5703125" style="2" customWidth="1"/>
    <col min="1526" max="1526" width="96.85546875" style="2" customWidth="1"/>
    <col min="1527" max="1527" width="30.85546875" style="2" customWidth="1"/>
    <col min="1528" max="1528" width="12.5703125" style="2" customWidth="1"/>
    <col min="1529" max="1529" width="5.140625" style="2" customWidth="1"/>
    <col min="1530" max="1530" width="9.140625" style="2"/>
    <col min="1531" max="1531" width="4.85546875" style="2" customWidth="1"/>
    <col min="1532" max="1532" width="30.5703125" style="2" customWidth="1"/>
    <col min="1533" max="1533" width="33.85546875" style="2" customWidth="1"/>
    <col min="1534" max="1534" width="5.140625" style="2" customWidth="1"/>
    <col min="1535" max="1536" width="17.5703125" style="2" customWidth="1"/>
    <col min="1537" max="1780" width="9.140625" style="2"/>
    <col min="1781" max="1781" width="3.5703125" style="2" customWidth="1"/>
    <col min="1782" max="1782" width="96.85546875" style="2" customWidth="1"/>
    <col min="1783" max="1783" width="30.85546875" style="2" customWidth="1"/>
    <col min="1784" max="1784" width="12.5703125" style="2" customWidth="1"/>
    <col min="1785" max="1785" width="5.140625" style="2" customWidth="1"/>
    <col min="1786" max="1786" width="9.140625" style="2"/>
    <col min="1787" max="1787" width="4.85546875" style="2" customWidth="1"/>
    <col min="1788" max="1788" width="30.5703125" style="2" customWidth="1"/>
    <col min="1789" max="1789" width="33.85546875" style="2" customWidth="1"/>
    <col min="1790" max="1790" width="5.140625" style="2" customWidth="1"/>
    <col min="1791" max="1792" width="17.5703125" style="2" customWidth="1"/>
    <col min="1793" max="2036" width="9.140625" style="2"/>
    <col min="2037" max="2037" width="3.5703125" style="2" customWidth="1"/>
    <col min="2038" max="2038" width="96.85546875" style="2" customWidth="1"/>
    <col min="2039" max="2039" width="30.85546875" style="2" customWidth="1"/>
    <col min="2040" max="2040" width="12.5703125" style="2" customWidth="1"/>
    <col min="2041" max="2041" width="5.140625" style="2" customWidth="1"/>
    <col min="2042" max="2042" width="9.140625" style="2"/>
    <col min="2043" max="2043" width="4.85546875" style="2" customWidth="1"/>
    <col min="2044" max="2044" width="30.5703125" style="2" customWidth="1"/>
    <col min="2045" max="2045" width="33.85546875" style="2" customWidth="1"/>
    <col min="2046" max="2046" width="5.140625" style="2" customWidth="1"/>
    <col min="2047" max="2048" width="17.5703125" style="2" customWidth="1"/>
    <col min="2049" max="2292" width="9.140625" style="2"/>
    <col min="2293" max="2293" width="3.5703125" style="2" customWidth="1"/>
    <col min="2294" max="2294" width="96.85546875" style="2" customWidth="1"/>
    <col min="2295" max="2295" width="30.85546875" style="2" customWidth="1"/>
    <col min="2296" max="2296" width="12.5703125" style="2" customWidth="1"/>
    <col min="2297" max="2297" width="5.140625" style="2" customWidth="1"/>
    <col min="2298" max="2298" width="9.140625" style="2"/>
    <col min="2299" max="2299" width="4.85546875" style="2" customWidth="1"/>
    <col min="2300" max="2300" width="30.5703125" style="2" customWidth="1"/>
    <col min="2301" max="2301" width="33.85546875" style="2" customWidth="1"/>
    <col min="2302" max="2302" width="5.140625" style="2" customWidth="1"/>
    <col min="2303" max="2304" width="17.5703125" style="2" customWidth="1"/>
    <col min="2305" max="2548" width="9.140625" style="2"/>
    <col min="2549" max="2549" width="3.5703125" style="2" customWidth="1"/>
    <col min="2550" max="2550" width="96.85546875" style="2" customWidth="1"/>
    <col min="2551" max="2551" width="30.85546875" style="2" customWidth="1"/>
    <col min="2552" max="2552" width="12.5703125" style="2" customWidth="1"/>
    <col min="2553" max="2553" width="5.140625" style="2" customWidth="1"/>
    <col min="2554" max="2554" width="9.140625" style="2"/>
    <col min="2555" max="2555" width="4.85546875" style="2" customWidth="1"/>
    <col min="2556" max="2556" width="30.5703125" style="2" customWidth="1"/>
    <col min="2557" max="2557" width="33.85546875" style="2" customWidth="1"/>
    <col min="2558" max="2558" width="5.140625" style="2" customWidth="1"/>
    <col min="2559" max="2560" width="17.5703125" style="2" customWidth="1"/>
    <col min="2561" max="2804" width="9.140625" style="2"/>
    <col min="2805" max="2805" width="3.5703125" style="2" customWidth="1"/>
    <col min="2806" max="2806" width="96.85546875" style="2" customWidth="1"/>
    <col min="2807" max="2807" width="30.85546875" style="2" customWidth="1"/>
    <col min="2808" max="2808" width="12.5703125" style="2" customWidth="1"/>
    <col min="2809" max="2809" width="5.140625" style="2" customWidth="1"/>
    <col min="2810" max="2810" width="9.140625" style="2"/>
    <col min="2811" max="2811" width="4.85546875" style="2" customWidth="1"/>
    <col min="2812" max="2812" width="30.5703125" style="2" customWidth="1"/>
    <col min="2813" max="2813" width="33.85546875" style="2" customWidth="1"/>
    <col min="2814" max="2814" width="5.140625" style="2" customWidth="1"/>
    <col min="2815" max="2816" width="17.5703125" style="2" customWidth="1"/>
    <col min="2817" max="3060" width="9.140625" style="2"/>
    <col min="3061" max="3061" width="3.5703125" style="2" customWidth="1"/>
    <col min="3062" max="3062" width="96.85546875" style="2" customWidth="1"/>
    <col min="3063" max="3063" width="30.85546875" style="2" customWidth="1"/>
    <col min="3064" max="3064" width="12.5703125" style="2" customWidth="1"/>
    <col min="3065" max="3065" width="5.140625" style="2" customWidth="1"/>
    <col min="3066" max="3066" width="9.140625" style="2"/>
    <col min="3067" max="3067" width="4.85546875" style="2" customWidth="1"/>
    <col min="3068" max="3068" width="30.5703125" style="2" customWidth="1"/>
    <col min="3069" max="3069" width="33.85546875" style="2" customWidth="1"/>
    <col min="3070" max="3070" width="5.140625" style="2" customWidth="1"/>
    <col min="3071" max="3072" width="17.5703125" style="2" customWidth="1"/>
    <col min="3073" max="3316" width="9.140625" style="2"/>
    <col min="3317" max="3317" width="3.5703125" style="2" customWidth="1"/>
    <col min="3318" max="3318" width="96.85546875" style="2" customWidth="1"/>
    <col min="3319" max="3319" width="30.85546875" style="2" customWidth="1"/>
    <col min="3320" max="3320" width="12.5703125" style="2" customWidth="1"/>
    <col min="3321" max="3321" width="5.140625" style="2" customWidth="1"/>
    <col min="3322" max="3322" width="9.140625" style="2"/>
    <col min="3323" max="3323" width="4.85546875" style="2" customWidth="1"/>
    <col min="3324" max="3324" width="30.5703125" style="2" customWidth="1"/>
    <col min="3325" max="3325" width="33.85546875" style="2" customWidth="1"/>
    <col min="3326" max="3326" width="5.140625" style="2" customWidth="1"/>
    <col min="3327" max="3328" width="17.5703125" style="2" customWidth="1"/>
    <col min="3329" max="3572" width="9.140625" style="2"/>
    <col min="3573" max="3573" width="3.5703125" style="2" customWidth="1"/>
    <col min="3574" max="3574" width="96.85546875" style="2" customWidth="1"/>
    <col min="3575" max="3575" width="30.85546875" style="2" customWidth="1"/>
    <col min="3576" max="3576" width="12.5703125" style="2" customWidth="1"/>
    <col min="3577" max="3577" width="5.140625" style="2" customWidth="1"/>
    <col min="3578" max="3578" width="9.140625" style="2"/>
    <col min="3579" max="3579" width="4.85546875" style="2" customWidth="1"/>
    <col min="3580" max="3580" width="30.5703125" style="2" customWidth="1"/>
    <col min="3581" max="3581" width="33.85546875" style="2" customWidth="1"/>
    <col min="3582" max="3582" width="5.140625" style="2" customWidth="1"/>
    <col min="3583" max="3584" width="17.5703125" style="2" customWidth="1"/>
    <col min="3585" max="3828" width="9.140625" style="2"/>
    <col min="3829" max="3829" width="3.5703125" style="2" customWidth="1"/>
    <col min="3830" max="3830" width="96.85546875" style="2" customWidth="1"/>
    <col min="3831" max="3831" width="30.85546875" style="2" customWidth="1"/>
    <col min="3832" max="3832" width="12.5703125" style="2" customWidth="1"/>
    <col min="3833" max="3833" width="5.140625" style="2" customWidth="1"/>
    <col min="3834" max="3834" width="9.140625" style="2"/>
    <col min="3835" max="3835" width="4.85546875" style="2" customWidth="1"/>
    <col min="3836" max="3836" width="30.5703125" style="2" customWidth="1"/>
    <col min="3837" max="3837" width="33.85546875" style="2" customWidth="1"/>
    <col min="3838" max="3838" width="5.140625" style="2" customWidth="1"/>
    <col min="3839" max="3840" width="17.5703125" style="2" customWidth="1"/>
    <col min="3841" max="4084" width="9.140625" style="2"/>
    <col min="4085" max="4085" width="3.5703125" style="2" customWidth="1"/>
    <col min="4086" max="4086" width="96.85546875" style="2" customWidth="1"/>
    <col min="4087" max="4087" width="30.85546875" style="2" customWidth="1"/>
    <col min="4088" max="4088" width="12.5703125" style="2" customWidth="1"/>
    <col min="4089" max="4089" width="5.140625" style="2" customWidth="1"/>
    <col min="4090" max="4090" width="9.140625" style="2"/>
    <col min="4091" max="4091" width="4.85546875" style="2" customWidth="1"/>
    <col min="4092" max="4092" width="30.5703125" style="2" customWidth="1"/>
    <col min="4093" max="4093" width="33.85546875" style="2" customWidth="1"/>
    <col min="4094" max="4094" width="5.140625" style="2" customWidth="1"/>
    <col min="4095" max="4096" width="17.5703125" style="2" customWidth="1"/>
    <col min="4097" max="4340" width="9.140625" style="2"/>
    <col min="4341" max="4341" width="3.5703125" style="2" customWidth="1"/>
    <col min="4342" max="4342" width="96.85546875" style="2" customWidth="1"/>
    <col min="4343" max="4343" width="30.85546875" style="2" customWidth="1"/>
    <col min="4344" max="4344" width="12.5703125" style="2" customWidth="1"/>
    <col min="4345" max="4345" width="5.140625" style="2" customWidth="1"/>
    <col min="4346" max="4346" width="9.140625" style="2"/>
    <col min="4347" max="4347" width="4.85546875" style="2" customWidth="1"/>
    <col min="4348" max="4348" width="30.5703125" style="2" customWidth="1"/>
    <col min="4349" max="4349" width="33.85546875" style="2" customWidth="1"/>
    <col min="4350" max="4350" width="5.140625" style="2" customWidth="1"/>
    <col min="4351" max="4352" width="17.5703125" style="2" customWidth="1"/>
    <col min="4353" max="4596" width="9.140625" style="2"/>
    <col min="4597" max="4597" width="3.5703125" style="2" customWidth="1"/>
    <col min="4598" max="4598" width="96.85546875" style="2" customWidth="1"/>
    <col min="4599" max="4599" width="30.85546875" style="2" customWidth="1"/>
    <col min="4600" max="4600" width="12.5703125" style="2" customWidth="1"/>
    <col min="4601" max="4601" width="5.140625" style="2" customWidth="1"/>
    <col min="4602" max="4602" width="9.140625" style="2"/>
    <col min="4603" max="4603" width="4.85546875" style="2" customWidth="1"/>
    <col min="4604" max="4604" width="30.5703125" style="2" customWidth="1"/>
    <col min="4605" max="4605" width="33.85546875" style="2" customWidth="1"/>
    <col min="4606" max="4606" width="5.140625" style="2" customWidth="1"/>
    <col min="4607" max="4608" width="17.5703125" style="2" customWidth="1"/>
    <col min="4609" max="4852" width="9.140625" style="2"/>
    <col min="4853" max="4853" width="3.5703125" style="2" customWidth="1"/>
    <col min="4854" max="4854" width="96.85546875" style="2" customWidth="1"/>
    <col min="4855" max="4855" width="30.85546875" style="2" customWidth="1"/>
    <col min="4856" max="4856" width="12.5703125" style="2" customWidth="1"/>
    <col min="4857" max="4857" width="5.140625" style="2" customWidth="1"/>
    <col min="4858" max="4858" width="9.140625" style="2"/>
    <col min="4859" max="4859" width="4.85546875" style="2" customWidth="1"/>
    <col min="4860" max="4860" width="30.5703125" style="2" customWidth="1"/>
    <col min="4861" max="4861" width="33.85546875" style="2" customWidth="1"/>
    <col min="4862" max="4862" width="5.140625" style="2" customWidth="1"/>
    <col min="4863" max="4864" width="17.5703125" style="2" customWidth="1"/>
    <col min="4865" max="5108" width="9.140625" style="2"/>
    <col min="5109" max="5109" width="3.5703125" style="2" customWidth="1"/>
    <col min="5110" max="5110" width="96.85546875" style="2" customWidth="1"/>
    <col min="5111" max="5111" width="30.85546875" style="2" customWidth="1"/>
    <col min="5112" max="5112" width="12.5703125" style="2" customWidth="1"/>
    <col min="5113" max="5113" width="5.140625" style="2" customWidth="1"/>
    <col min="5114" max="5114" width="9.140625" style="2"/>
    <col min="5115" max="5115" width="4.85546875" style="2" customWidth="1"/>
    <col min="5116" max="5116" width="30.5703125" style="2" customWidth="1"/>
    <col min="5117" max="5117" width="33.85546875" style="2" customWidth="1"/>
    <col min="5118" max="5118" width="5.140625" style="2" customWidth="1"/>
    <col min="5119" max="5120" width="17.5703125" style="2" customWidth="1"/>
    <col min="5121" max="5364" width="9.140625" style="2"/>
    <col min="5365" max="5365" width="3.5703125" style="2" customWidth="1"/>
    <col min="5366" max="5366" width="96.85546875" style="2" customWidth="1"/>
    <col min="5367" max="5367" width="30.85546875" style="2" customWidth="1"/>
    <col min="5368" max="5368" width="12.5703125" style="2" customWidth="1"/>
    <col min="5369" max="5369" width="5.140625" style="2" customWidth="1"/>
    <col min="5370" max="5370" width="9.140625" style="2"/>
    <col min="5371" max="5371" width="4.85546875" style="2" customWidth="1"/>
    <col min="5372" max="5372" width="30.5703125" style="2" customWidth="1"/>
    <col min="5373" max="5373" width="33.85546875" style="2" customWidth="1"/>
    <col min="5374" max="5374" width="5.140625" style="2" customWidth="1"/>
    <col min="5375" max="5376" width="17.5703125" style="2" customWidth="1"/>
    <col min="5377" max="5620" width="9.140625" style="2"/>
    <col min="5621" max="5621" width="3.5703125" style="2" customWidth="1"/>
    <col min="5622" max="5622" width="96.85546875" style="2" customWidth="1"/>
    <col min="5623" max="5623" width="30.85546875" style="2" customWidth="1"/>
    <col min="5624" max="5624" width="12.5703125" style="2" customWidth="1"/>
    <col min="5625" max="5625" width="5.140625" style="2" customWidth="1"/>
    <col min="5626" max="5626" width="9.140625" style="2"/>
    <col min="5627" max="5627" width="4.85546875" style="2" customWidth="1"/>
    <col min="5628" max="5628" width="30.5703125" style="2" customWidth="1"/>
    <col min="5629" max="5629" width="33.85546875" style="2" customWidth="1"/>
    <col min="5630" max="5630" width="5.140625" style="2" customWidth="1"/>
    <col min="5631" max="5632" width="17.5703125" style="2" customWidth="1"/>
    <col min="5633" max="5876" width="9.140625" style="2"/>
    <col min="5877" max="5877" width="3.5703125" style="2" customWidth="1"/>
    <col min="5878" max="5878" width="96.85546875" style="2" customWidth="1"/>
    <col min="5879" max="5879" width="30.85546875" style="2" customWidth="1"/>
    <col min="5880" max="5880" width="12.5703125" style="2" customWidth="1"/>
    <col min="5881" max="5881" width="5.140625" style="2" customWidth="1"/>
    <col min="5882" max="5882" width="9.140625" style="2"/>
    <col min="5883" max="5883" width="4.85546875" style="2" customWidth="1"/>
    <col min="5884" max="5884" width="30.5703125" style="2" customWidth="1"/>
    <col min="5885" max="5885" width="33.85546875" style="2" customWidth="1"/>
    <col min="5886" max="5886" width="5.140625" style="2" customWidth="1"/>
    <col min="5887" max="5888" width="17.5703125" style="2" customWidth="1"/>
    <col min="5889" max="6132" width="9.140625" style="2"/>
    <col min="6133" max="6133" width="3.5703125" style="2" customWidth="1"/>
    <col min="6134" max="6134" width="96.85546875" style="2" customWidth="1"/>
    <col min="6135" max="6135" width="30.85546875" style="2" customWidth="1"/>
    <col min="6136" max="6136" width="12.5703125" style="2" customWidth="1"/>
    <col min="6137" max="6137" width="5.140625" style="2" customWidth="1"/>
    <col min="6138" max="6138" width="9.140625" style="2"/>
    <col min="6139" max="6139" width="4.85546875" style="2" customWidth="1"/>
    <col min="6140" max="6140" width="30.5703125" style="2" customWidth="1"/>
    <col min="6141" max="6141" width="33.85546875" style="2" customWidth="1"/>
    <col min="6142" max="6142" width="5.140625" style="2" customWidth="1"/>
    <col min="6143" max="6144" width="17.5703125" style="2" customWidth="1"/>
    <col min="6145" max="6388" width="9.140625" style="2"/>
    <col min="6389" max="6389" width="3.5703125" style="2" customWidth="1"/>
    <col min="6390" max="6390" width="96.85546875" style="2" customWidth="1"/>
    <col min="6391" max="6391" width="30.85546875" style="2" customWidth="1"/>
    <col min="6392" max="6392" width="12.5703125" style="2" customWidth="1"/>
    <col min="6393" max="6393" width="5.140625" style="2" customWidth="1"/>
    <col min="6394" max="6394" width="9.140625" style="2"/>
    <col min="6395" max="6395" width="4.85546875" style="2" customWidth="1"/>
    <col min="6396" max="6396" width="30.5703125" style="2" customWidth="1"/>
    <col min="6397" max="6397" width="33.85546875" style="2" customWidth="1"/>
    <col min="6398" max="6398" width="5.140625" style="2" customWidth="1"/>
    <col min="6399" max="6400" width="17.5703125" style="2" customWidth="1"/>
    <col min="6401" max="6644" width="9.140625" style="2"/>
    <col min="6645" max="6645" width="3.5703125" style="2" customWidth="1"/>
    <col min="6646" max="6646" width="96.85546875" style="2" customWidth="1"/>
    <col min="6647" max="6647" width="30.85546875" style="2" customWidth="1"/>
    <col min="6648" max="6648" width="12.5703125" style="2" customWidth="1"/>
    <col min="6649" max="6649" width="5.140625" style="2" customWidth="1"/>
    <col min="6650" max="6650" width="9.140625" style="2"/>
    <col min="6651" max="6651" width="4.85546875" style="2" customWidth="1"/>
    <col min="6652" max="6652" width="30.5703125" style="2" customWidth="1"/>
    <col min="6653" max="6653" width="33.85546875" style="2" customWidth="1"/>
    <col min="6654" max="6654" width="5.140625" style="2" customWidth="1"/>
    <col min="6655" max="6656" width="17.5703125" style="2" customWidth="1"/>
    <col min="6657" max="6900" width="9.140625" style="2"/>
    <col min="6901" max="6901" width="3.5703125" style="2" customWidth="1"/>
    <col min="6902" max="6902" width="96.85546875" style="2" customWidth="1"/>
    <col min="6903" max="6903" width="30.85546875" style="2" customWidth="1"/>
    <col min="6904" max="6904" width="12.5703125" style="2" customWidth="1"/>
    <col min="6905" max="6905" width="5.140625" style="2" customWidth="1"/>
    <col min="6906" max="6906" width="9.140625" style="2"/>
    <col min="6907" max="6907" width="4.85546875" style="2" customWidth="1"/>
    <col min="6908" max="6908" width="30.5703125" style="2" customWidth="1"/>
    <col min="6909" max="6909" width="33.85546875" style="2" customWidth="1"/>
    <col min="6910" max="6910" width="5.140625" style="2" customWidth="1"/>
    <col min="6911" max="6912" width="17.5703125" style="2" customWidth="1"/>
    <col min="6913" max="7156" width="9.140625" style="2"/>
    <col min="7157" max="7157" width="3.5703125" style="2" customWidth="1"/>
    <col min="7158" max="7158" width="96.85546875" style="2" customWidth="1"/>
    <col min="7159" max="7159" width="30.85546875" style="2" customWidth="1"/>
    <col min="7160" max="7160" width="12.5703125" style="2" customWidth="1"/>
    <col min="7161" max="7161" width="5.140625" style="2" customWidth="1"/>
    <col min="7162" max="7162" width="9.140625" style="2"/>
    <col min="7163" max="7163" width="4.85546875" style="2" customWidth="1"/>
    <col min="7164" max="7164" width="30.5703125" style="2" customWidth="1"/>
    <col min="7165" max="7165" width="33.85546875" style="2" customWidth="1"/>
    <col min="7166" max="7166" width="5.140625" style="2" customWidth="1"/>
    <col min="7167" max="7168" width="17.5703125" style="2" customWidth="1"/>
    <col min="7169" max="7412" width="9.140625" style="2"/>
    <col min="7413" max="7413" width="3.5703125" style="2" customWidth="1"/>
    <col min="7414" max="7414" width="96.85546875" style="2" customWidth="1"/>
    <col min="7415" max="7415" width="30.85546875" style="2" customWidth="1"/>
    <col min="7416" max="7416" width="12.5703125" style="2" customWidth="1"/>
    <col min="7417" max="7417" width="5.140625" style="2" customWidth="1"/>
    <col min="7418" max="7418" width="9.140625" style="2"/>
    <col min="7419" max="7419" width="4.85546875" style="2" customWidth="1"/>
    <col min="7420" max="7420" width="30.5703125" style="2" customWidth="1"/>
    <col min="7421" max="7421" width="33.85546875" style="2" customWidth="1"/>
    <col min="7422" max="7422" width="5.140625" style="2" customWidth="1"/>
    <col min="7423" max="7424" width="17.5703125" style="2" customWidth="1"/>
    <col min="7425" max="7668" width="9.140625" style="2"/>
    <col min="7669" max="7669" width="3.5703125" style="2" customWidth="1"/>
    <col min="7670" max="7670" width="96.85546875" style="2" customWidth="1"/>
    <col min="7671" max="7671" width="30.85546875" style="2" customWidth="1"/>
    <col min="7672" max="7672" width="12.5703125" style="2" customWidth="1"/>
    <col min="7673" max="7673" width="5.140625" style="2" customWidth="1"/>
    <col min="7674" max="7674" width="9.140625" style="2"/>
    <col min="7675" max="7675" width="4.85546875" style="2" customWidth="1"/>
    <col min="7676" max="7676" width="30.5703125" style="2" customWidth="1"/>
    <col min="7677" max="7677" width="33.85546875" style="2" customWidth="1"/>
    <col min="7678" max="7678" width="5.140625" style="2" customWidth="1"/>
    <col min="7679" max="7680" width="17.5703125" style="2" customWidth="1"/>
    <col min="7681" max="7924" width="9.140625" style="2"/>
    <col min="7925" max="7925" width="3.5703125" style="2" customWidth="1"/>
    <col min="7926" max="7926" width="96.85546875" style="2" customWidth="1"/>
    <col min="7927" max="7927" width="30.85546875" style="2" customWidth="1"/>
    <col min="7928" max="7928" width="12.5703125" style="2" customWidth="1"/>
    <col min="7929" max="7929" width="5.140625" style="2" customWidth="1"/>
    <col min="7930" max="7930" width="9.140625" style="2"/>
    <col min="7931" max="7931" width="4.85546875" style="2" customWidth="1"/>
    <col min="7932" max="7932" width="30.5703125" style="2" customWidth="1"/>
    <col min="7933" max="7933" width="33.85546875" style="2" customWidth="1"/>
    <col min="7934" max="7934" width="5.140625" style="2" customWidth="1"/>
    <col min="7935" max="7936" width="17.5703125" style="2" customWidth="1"/>
    <col min="7937" max="8180" width="9.140625" style="2"/>
    <col min="8181" max="8181" width="3.5703125" style="2" customWidth="1"/>
    <col min="8182" max="8182" width="96.85546875" style="2" customWidth="1"/>
    <col min="8183" max="8183" width="30.85546875" style="2" customWidth="1"/>
    <col min="8184" max="8184" width="12.5703125" style="2" customWidth="1"/>
    <col min="8185" max="8185" width="5.140625" style="2" customWidth="1"/>
    <col min="8186" max="8186" width="9.140625" style="2"/>
    <col min="8187" max="8187" width="4.85546875" style="2" customWidth="1"/>
    <col min="8188" max="8188" width="30.5703125" style="2" customWidth="1"/>
    <col min="8189" max="8189" width="33.85546875" style="2" customWidth="1"/>
    <col min="8190" max="8190" width="5.140625" style="2" customWidth="1"/>
    <col min="8191" max="8192" width="17.5703125" style="2" customWidth="1"/>
    <col min="8193" max="8436" width="9.140625" style="2"/>
    <col min="8437" max="8437" width="3.5703125" style="2" customWidth="1"/>
    <col min="8438" max="8438" width="96.85546875" style="2" customWidth="1"/>
    <col min="8439" max="8439" width="30.85546875" style="2" customWidth="1"/>
    <col min="8440" max="8440" width="12.5703125" style="2" customWidth="1"/>
    <col min="8441" max="8441" width="5.140625" style="2" customWidth="1"/>
    <col min="8442" max="8442" width="9.140625" style="2"/>
    <col min="8443" max="8443" width="4.85546875" style="2" customWidth="1"/>
    <col min="8444" max="8444" width="30.5703125" style="2" customWidth="1"/>
    <col min="8445" max="8445" width="33.85546875" style="2" customWidth="1"/>
    <col min="8446" max="8446" width="5.140625" style="2" customWidth="1"/>
    <col min="8447" max="8448" width="17.5703125" style="2" customWidth="1"/>
    <col min="8449" max="8692" width="9.140625" style="2"/>
    <col min="8693" max="8693" width="3.5703125" style="2" customWidth="1"/>
    <col min="8694" max="8694" width="96.85546875" style="2" customWidth="1"/>
    <col min="8695" max="8695" width="30.85546875" style="2" customWidth="1"/>
    <col min="8696" max="8696" width="12.5703125" style="2" customWidth="1"/>
    <col min="8697" max="8697" width="5.140625" style="2" customWidth="1"/>
    <col min="8698" max="8698" width="9.140625" style="2"/>
    <col min="8699" max="8699" width="4.85546875" style="2" customWidth="1"/>
    <col min="8700" max="8700" width="30.5703125" style="2" customWidth="1"/>
    <col min="8701" max="8701" width="33.85546875" style="2" customWidth="1"/>
    <col min="8702" max="8702" width="5.140625" style="2" customWidth="1"/>
    <col min="8703" max="8704" width="17.5703125" style="2" customWidth="1"/>
    <col min="8705" max="8948" width="9.140625" style="2"/>
    <col min="8949" max="8949" width="3.5703125" style="2" customWidth="1"/>
    <col min="8950" max="8950" width="96.85546875" style="2" customWidth="1"/>
    <col min="8951" max="8951" width="30.85546875" style="2" customWidth="1"/>
    <col min="8952" max="8952" width="12.5703125" style="2" customWidth="1"/>
    <col min="8953" max="8953" width="5.140625" style="2" customWidth="1"/>
    <col min="8954" max="8954" width="9.140625" style="2"/>
    <col min="8955" max="8955" width="4.85546875" style="2" customWidth="1"/>
    <col min="8956" max="8956" width="30.5703125" style="2" customWidth="1"/>
    <col min="8957" max="8957" width="33.85546875" style="2" customWidth="1"/>
    <col min="8958" max="8958" width="5.140625" style="2" customWidth="1"/>
    <col min="8959" max="8960" width="17.5703125" style="2" customWidth="1"/>
    <col min="8961" max="9204" width="9.140625" style="2"/>
    <col min="9205" max="9205" width="3.5703125" style="2" customWidth="1"/>
    <col min="9206" max="9206" width="96.85546875" style="2" customWidth="1"/>
    <col min="9207" max="9207" width="30.85546875" style="2" customWidth="1"/>
    <col min="9208" max="9208" width="12.5703125" style="2" customWidth="1"/>
    <col min="9209" max="9209" width="5.140625" style="2" customWidth="1"/>
    <col min="9210" max="9210" width="9.140625" style="2"/>
    <col min="9211" max="9211" width="4.85546875" style="2" customWidth="1"/>
    <col min="9212" max="9212" width="30.5703125" style="2" customWidth="1"/>
    <col min="9213" max="9213" width="33.85546875" style="2" customWidth="1"/>
    <col min="9214" max="9214" width="5.140625" style="2" customWidth="1"/>
    <col min="9215" max="9216" width="17.5703125" style="2" customWidth="1"/>
    <col min="9217" max="9460" width="9.140625" style="2"/>
    <col min="9461" max="9461" width="3.5703125" style="2" customWidth="1"/>
    <col min="9462" max="9462" width="96.85546875" style="2" customWidth="1"/>
    <col min="9463" max="9463" width="30.85546875" style="2" customWidth="1"/>
    <col min="9464" max="9464" width="12.5703125" style="2" customWidth="1"/>
    <col min="9465" max="9465" width="5.140625" style="2" customWidth="1"/>
    <col min="9466" max="9466" width="9.140625" style="2"/>
    <col min="9467" max="9467" width="4.85546875" style="2" customWidth="1"/>
    <col min="9468" max="9468" width="30.5703125" style="2" customWidth="1"/>
    <col min="9469" max="9469" width="33.85546875" style="2" customWidth="1"/>
    <col min="9470" max="9470" width="5.140625" style="2" customWidth="1"/>
    <col min="9471" max="9472" width="17.5703125" style="2" customWidth="1"/>
    <col min="9473" max="9716" width="9.140625" style="2"/>
    <col min="9717" max="9717" width="3.5703125" style="2" customWidth="1"/>
    <col min="9718" max="9718" width="96.85546875" style="2" customWidth="1"/>
    <col min="9719" max="9719" width="30.85546875" style="2" customWidth="1"/>
    <col min="9720" max="9720" width="12.5703125" style="2" customWidth="1"/>
    <col min="9721" max="9721" width="5.140625" style="2" customWidth="1"/>
    <col min="9722" max="9722" width="9.140625" style="2"/>
    <col min="9723" max="9723" width="4.85546875" style="2" customWidth="1"/>
    <col min="9724" max="9724" width="30.5703125" style="2" customWidth="1"/>
    <col min="9725" max="9725" width="33.85546875" style="2" customWidth="1"/>
    <col min="9726" max="9726" width="5.140625" style="2" customWidth="1"/>
    <col min="9727" max="9728" width="17.5703125" style="2" customWidth="1"/>
    <col min="9729" max="9972" width="9.140625" style="2"/>
    <col min="9973" max="9973" width="3.5703125" style="2" customWidth="1"/>
    <col min="9974" max="9974" width="96.85546875" style="2" customWidth="1"/>
    <col min="9975" max="9975" width="30.85546875" style="2" customWidth="1"/>
    <col min="9976" max="9976" width="12.5703125" style="2" customWidth="1"/>
    <col min="9977" max="9977" width="5.140625" style="2" customWidth="1"/>
    <col min="9978" max="9978" width="9.140625" style="2"/>
    <col min="9979" max="9979" width="4.85546875" style="2" customWidth="1"/>
    <col min="9980" max="9980" width="30.5703125" style="2" customWidth="1"/>
    <col min="9981" max="9981" width="33.85546875" style="2" customWidth="1"/>
    <col min="9982" max="9982" width="5.140625" style="2" customWidth="1"/>
    <col min="9983" max="9984" width="17.5703125" style="2" customWidth="1"/>
    <col min="9985" max="10228" width="9.140625" style="2"/>
    <col min="10229" max="10229" width="3.5703125" style="2" customWidth="1"/>
    <col min="10230" max="10230" width="96.85546875" style="2" customWidth="1"/>
    <col min="10231" max="10231" width="30.85546875" style="2" customWidth="1"/>
    <col min="10232" max="10232" width="12.5703125" style="2" customWidth="1"/>
    <col min="10233" max="10233" width="5.140625" style="2" customWidth="1"/>
    <col min="10234" max="10234" width="9.140625" style="2"/>
    <col min="10235" max="10235" width="4.85546875" style="2" customWidth="1"/>
    <col min="10236" max="10236" width="30.5703125" style="2" customWidth="1"/>
    <col min="10237" max="10237" width="33.85546875" style="2" customWidth="1"/>
    <col min="10238" max="10238" width="5.140625" style="2" customWidth="1"/>
    <col min="10239" max="10240" width="17.5703125" style="2" customWidth="1"/>
    <col min="10241" max="10484" width="9.140625" style="2"/>
    <col min="10485" max="10485" width="3.5703125" style="2" customWidth="1"/>
    <col min="10486" max="10486" width="96.85546875" style="2" customWidth="1"/>
    <col min="10487" max="10487" width="30.85546875" style="2" customWidth="1"/>
    <col min="10488" max="10488" width="12.5703125" style="2" customWidth="1"/>
    <col min="10489" max="10489" width="5.140625" style="2" customWidth="1"/>
    <col min="10490" max="10490" width="9.140625" style="2"/>
    <col min="10491" max="10491" width="4.85546875" style="2" customWidth="1"/>
    <col min="10492" max="10492" width="30.5703125" style="2" customWidth="1"/>
    <col min="10493" max="10493" width="33.85546875" style="2" customWidth="1"/>
    <col min="10494" max="10494" width="5.140625" style="2" customWidth="1"/>
    <col min="10495" max="10496" width="17.5703125" style="2" customWidth="1"/>
    <col min="10497" max="10740" width="9.140625" style="2"/>
    <col min="10741" max="10741" width="3.5703125" style="2" customWidth="1"/>
    <col min="10742" max="10742" width="96.85546875" style="2" customWidth="1"/>
    <col min="10743" max="10743" width="30.85546875" style="2" customWidth="1"/>
    <col min="10744" max="10744" width="12.5703125" style="2" customWidth="1"/>
    <col min="10745" max="10745" width="5.140625" style="2" customWidth="1"/>
    <col min="10746" max="10746" width="9.140625" style="2"/>
    <col min="10747" max="10747" width="4.85546875" style="2" customWidth="1"/>
    <col min="10748" max="10748" width="30.5703125" style="2" customWidth="1"/>
    <col min="10749" max="10749" width="33.85546875" style="2" customWidth="1"/>
    <col min="10750" max="10750" width="5.140625" style="2" customWidth="1"/>
    <col min="10751" max="10752" width="17.5703125" style="2" customWidth="1"/>
    <col min="10753" max="10996" width="9.140625" style="2"/>
    <col min="10997" max="10997" width="3.5703125" style="2" customWidth="1"/>
    <col min="10998" max="10998" width="96.85546875" style="2" customWidth="1"/>
    <col min="10999" max="10999" width="30.85546875" style="2" customWidth="1"/>
    <col min="11000" max="11000" width="12.5703125" style="2" customWidth="1"/>
    <col min="11001" max="11001" width="5.140625" style="2" customWidth="1"/>
    <col min="11002" max="11002" width="9.140625" style="2"/>
    <col min="11003" max="11003" width="4.85546875" style="2" customWidth="1"/>
    <col min="11004" max="11004" width="30.5703125" style="2" customWidth="1"/>
    <col min="11005" max="11005" width="33.85546875" style="2" customWidth="1"/>
    <col min="11006" max="11006" width="5.140625" style="2" customWidth="1"/>
    <col min="11007" max="11008" width="17.5703125" style="2" customWidth="1"/>
    <col min="11009" max="11252" width="9.140625" style="2"/>
    <col min="11253" max="11253" width="3.5703125" style="2" customWidth="1"/>
    <col min="11254" max="11254" width="96.85546875" style="2" customWidth="1"/>
    <col min="11255" max="11255" width="30.85546875" style="2" customWidth="1"/>
    <col min="11256" max="11256" width="12.5703125" style="2" customWidth="1"/>
    <col min="11257" max="11257" width="5.140625" style="2" customWidth="1"/>
    <col min="11258" max="11258" width="9.140625" style="2"/>
    <col min="11259" max="11259" width="4.85546875" style="2" customWidth="1"/>
    <col min="11260" max="11260" width="30.5703125" style="2" customWidth="1"/>
    <col min="11261" max="11261" width="33.85546875" style="2" customWidth="1"/>
    <col min="11262" max="11262" width="5.140625" style="2" customWidth="1"/>
    <col min="11263" max="11264" width="17.5703125" style="2" customWidth="1"/>
    <col min="11265" max="11508" width="9.140625" style="2"/>
    <col min="11509" max="11509" width="3.5703125" style="2" customWidth="1"/>
    <col min="11510" max="11510" width="96.85546875" style="2" customWidth="1"/>
    <col min="11511" max="11511" width="30.85546875" style="2" customWidth="1"/>
    <col min="11512" max="11512" width="12.5703125" style="2" customWidth="1"/>
    <col min="11513" max="11513" width="5.140625" style="2" customWidth="1"/>
    <col min="11514" max="11514" width="9.140625" style="2"/>
    <col min="11515" max="11515" width="4.85546875" style="2" customWidth="1"/>
    <col min="11516" max="11516" width="30.5703125" style="2" customWidth="1"/>
    <col min="11517" max="11517" width="33.85546875" style="2" customWidth="1"/>
    <col min="11518" max="11518" width="5.140625" style="2" customWidth="1"/>
    <col min="11519" max="11520" width="17.5703125" style="2" customWidth="1"/>
    <col min="11521" max="11764" width="9.140625" style="2"/>
    <col min="11765" max="11765" width="3.5703125" style="2" customWidth="1"/>
    <col min="11766" max="11766" width="96.85546875" style="2" customWidth="1"/>
    <col min="11767" max="11767" width="30.85546875" style="2" customWidth="1"/>
    <col min="11768" max="11768" width="12.5703125" style="2" customWidth="1"/>
    <col min="11769" max="11769" width="5.140625" style="2" customWidth="1"/>
    <col min="11770" max="11770" width="9.140625" style="2"/>
    <col min="11771" max="11771" width="4.85546875" style="2" customWidth="1"/>
    <col min="11772" max="11772" width="30.5703125" style="2" customWidth="1"/>
    <col min="11773" max="11773" width="33.85546875" style="2" customWidth="1"/>
    <col min="11774" max="11774" width="5.140625" style="2" customWidth="1"/>
    <col min="11775" max="11776" width="17.5703125" style="2" customWidth="1"/>
    <col min="11777" max="12020" width="9.140625" style="2"/>
    <col min="12021" max="12021" width="3.5703125" style="2" customWidth="1"/>
    <col min="12022" max="12022" width="96.85546875" style="2" customWidth="1"/>
    <col min="12023" max="12023" width="30.85546875" style="2" customWidth="1"/>
    <col min="12024" max="12024" width="12.5703125" style="2" customWidth="1"/>
    <col min="12025" max="12025" width="5.140625" style="2" customWidth="1"/>
    <col min="12026" max="12026" width="9.140625" style="2"/>
    <col min="12027" max="12027" width="4.85546875" style="2" customWidth="1"/>
    <col min="12028" max="12028" width="30.5703125" style="2" customWidth="1"/>
    <col min="12029" max="12029" width="33.85546875" style="2" customWidth="1"/>
    <col min="12030" max="12030" width="5.140625" style="2" customWidth="1"/>
    <col min="12031" max="12032" width="17.5703125" style="2" customWidth="1"/>
    <col min="12033" max="12276" width="9.140625" style="2"/>
    <col min="12277" max="12277" width="3.5703125" style="2" customWidth="1"/>
    <col min="12278" max="12278" width="96.85546875" style="2" customWidth="1"/>
    <col min="12279" max="12279" width="30.85546875" style="2" customWidth="1"/>
    <col min="12280" max="12280" width="12.5703125" style="2" customWidth="1"/>
    <col min="12281" max="12281" width="5.140625" style="2" customWidth="1"/>
    <col min="12282" max="12282" width="9.140625" style="2"/>
    <col min="12283" max="12283" width="4.85546875" style="2" customWidth="1"/>
    <col min="12284" max="12284" width="30.5703125" style="2" customWidth="1"/>
    <col min="12285" max="12285" width="33.85546875" style="2" customWidth="1"/>
    <col min="12286" max="12286" width="5.140625" style="2" customWidth="1"/>
    <col min="12287" max="12288" width="17.5703125" style="2" customWidth="1"/>
    <col min="12289" max="12532" width="9.140625" style="2"/>
    <col min="12533" max="12533" width="3.5703125" style="2" customWidth="1"/>
    <col min="12534" max="12534" width="96.85546875" style="2" customWidth="1"/>
    <col min="12535" max="12535" width="30.85546875" style="2" customWidth="1"/>
    <col min="12536" max="12536" width="12.5703125" style="2" customWidth="1"/>
    <col min="12537" max="12537" width="5.140625" style="2" customWidth="1"/>
    <col min="12538" max="12538" width="9.140625" style="2"/>
    <col min="12539" max="12539" width="4.85546875" style="2" customWidth="1"/>
    <col min="12540" max="12540" width="30.5703125" style="2" customWidth="1"/>
    <col min="12541" max="12541" width="33.85546875" style="2" customWidth="1"/>
    <col min="12542" max="12542" width="5.140625" style="2" customWidth="1"/>
    <col min="12543" max="12544" width="17.5703125" style="2" customWidth="1"/>
    <col min="12545" max="12788" width="9.140625" style="2"/>
    <col min="12789" max="12789" width="3.5703125" style="2" customWidth="1"/>
    <col min="12790" max="12790" width="96.85546875" style="2" customWidth="1"/>
    <col min="12791" max="12791" width="30.85546875" style="2" customWidth="1"/>
    <col min="12792" max="12792" width="12.5703125" style="2" customWidth="1"/>
    <col min="12793" max="12793" width="5.140625" style="2" customWidth="1"/>
    <col min="12794" max="12794" width="9.140625" style="2"/>
    <col min="12795" max="12795" width="4.85546875" style="2" customWidth="1"/>
    <col min="12796" max="12796" width="30.5703125" style="2" customWidth="1"/>
    <col min="12797" max="12797" width="33.85546875" style="2" customWidth="1"/>
    <col min="12798" max="12798" width="5.140625" style="2" customWidth="1"/>
    <col min="12799" max="12800" width="17.5703125" style="2" customWidth="1"/>
    <col min="12801" max="13044" width="9.140625" style="2"/>
    <col min="13045" max="13045" width="3.5703125" style="2" customWidth="1"/>
    <col min="13046" max="13046" width="96.85546875" style="2" customWidth="1"/>
    <col min="13047" max="13047" width="30.85546875" style="2" customWidth="1"/>
    <col min="13048" max="13048" width="12.5703125" style="2" customWidth="1"/>
    <col min="13049" max="13049" width="5.140625" style="2" customWidth="1"/>
    <col min="13050" max="13050" width="9.140625" style="2"/>
    <col min="13051" max="13051" width="4.85546875" style="2" customWidth="1"/>
    <col min="13052" max="13052" width="30.5703125" style="2" customWidth="1"/>
    <col min="13053" max="13053" width="33.85546875" style="2" customWidth="1"/>
    <col min="13054" max="13054" width="5.140625" style="2" customWidth="1"/>
    <col min="13055" max="13056" width="17.5703125" style="2" customWidth="1"/>
    <col min="13057" max="13300" width="9.140625" style="2"/>
    <col min="13301" max="13301" width="3.5703125" style="2" customWidth="1"/>
    <col min="13302" max="13302" width="96.85546875" style="2" customWidth="1"/>
    <col min="13303" max="13303" width="30.85546875" style="2" customWidth="1"/>
    <col min="13304" max="13304" width="12.5703125" style="2" customWidth="1"/>
    <col min="13305" max="13305" width="5.140625" style="2" customWidth="1"/>
    <col min="13306" max="13306" width="9.140625" style="2"/>
    <col min="13307" max="13307" width="4.85546875" style="2" customWidth="1"/>
    <col min="13308" max="13308" width="30.5703125" style="2" customWidth="1"/>
    <col min="13309" max="13309" width="33.85546875" style="2" customWidth="1"/>
    <col min="13310" max="13310" width="5.140625" style="2" customWidth="1"/>
    <col min="13311" max="13312" width="17.5703125" style="2" customWidth="1"/>
    <col min="13313" max="13556" width="9.140625" style="2"/>
    <col min="13557" max="13557" width="3.5703125" style="2" customWidth="1"/>
    <col min="13558" max="13558" width="96.85546875" style="2" customWidth="1"/>
    <col min="13559" max="13559" width="30.85546875" style="2" customWidth="1"/>
    <col min="13560" max="13560" width="12.5703125" style="2" customWidth="1"/>
    <col min="13561" max="13561" width="5.140625" style="2" customWidth="1"/>
    <col min="13562" max="13562" width="9.140625" style="2"/>
    <col min="13563" max="13563" width="4.85546875" style="2" customWidth="1"/>
    <col min="13564" max="13564" width="30.5703125" style="2" customWidth="1"/>
    <col min="13565" max="13565" width="33.85546875" style="2" customWidth="1"/>
    <col min="13566" max="13566" width="5.140625" style="2" customWidth="1"/>
    <col min="13567" max="13568" width="17.5703125" style="2" customWidth="1"/>
    <col min="13569" max="13812" width="9.140625" style="2"/>
    <col min="13813" max="13813" width="3.5703125" style="2" customWidth="1"/>
    <col min="13814" max="13814" width="96.85546875" style="2" customWidth="1"/>
    <col min="13815" max="13815" width="30.85546875" style="2" customWidth="1"/>
    <col min="13816" max="13816" width="12.5703125" style="2" customWidth="1"/>
    <col min="13817" max="13817" width="5.140625" style="2" customWidth="1"/>
    <col min="13818" max="13818" width="9.140625" style="2"/>
    <col min="13819" max="13819" width="4.85546875" style="2" customWidth="1"/>
    <col min="13820" max="13820" width="30.5703125" style="2" customWidth="1"/>
    <col min="13821" max="13821" width="33.85546875" style="2" customWidth="1"/>
    <col min="13822" max="13822" width="5.140625" style="2" customWidth="1"/>
    <col min="13823" max="13824" width="17.5703125" style="2" customWidth="1"/>
    <col min="13825" max="14068" width="9.140625" style="2"/>
    <col min="14069" max="14069" width="3.5703125" style="2" customWidth="1"/>
    <col min="14070" max="14070" width="96.85546875" style="2" customWidth="1"/>
    <col min="14071" max="14071" width="30.85546875" style="2" customWidth="1"/>
    <col min="14072" max="14072" width="12.5703125" style="2" customWidth="1"/>
    <col min="14073" max="14073" width="5.140625" style="2" customWidth="1"/>
    <col min="14074" max="14074" width="9.140625" style="2"/>
    <col min="14075" max="14075" width="4.85546875" style="2" customWidth="1"/>
    <col min="14076" max="14076" width="30.5703125" style="2" customWidth="1"/>
    <col min="14077" max="14077" width="33.85546875" style="2" customWidth="1"/>
    <col min="14078" max="14078" width="5.140625" style="2" customWidth="1"/>
    <col min="14079" max="14080" width="17.5703125" style="2" customWidth="1"/>
    <col min="14081" max="14324" width="9.140625" style="2"/>
    <col min="14325" max="14325" width="3.5703125" style="2" customWidth="1"/>
    <col min="14326" max="14326" width="96.85546875" style="2" customWidth="1"/>
    <col min="14327" max="14327" width="30.85546875" style="2" customWidth="1"/>
    <col min="14328" max="14328" width="12.5703125" style="2" customWidth="1"/>
    <col min="14329" max="14329" width="5.140625" style="2" customWidth="1"/>
    <col min="14330" max="14330" width="9.140625" style="2"/>
    <col min="14331" max="14331" width="4.85546875" style="2" customWidth="1"/>
    <col min="14332" max="14332" width="30.5703125" style="2" customWidth="1"/>
    <col min="14333" max="14333" width="33.85546875" style="2" customWidth="1"/>
    <col min="14334" max="14334" width="5.140625" style="2" customWidth="1"/>
    <col min="14335" max="14336" width="17.5703125" style="2" customWidth="1"/>
    <col min="14337" max="14580" width="9.140625" style="2"/>
    <col min="14581" max="14581" width="3.5703125" style="2" customWidth="1"/>
    <col min="14582" max="14582" width="96.85546875" style="2" customWidth="1"/>
    <col min="14583" max="14583" width="30.85546875" style="2" customWidth="1"/>
    <col min="14584" max="14584" width="12.5703125" style="2" customWidth="1"/>
    <col min="14585" max="14585" width="5.140625" style="2" customWidth="1"/>
    <col min="14586" max="14586" width="9.140625" style="2"/>
    <col min="14587" max="14587" width="4.85546875" style="2" customWidth="1"/>
    <col min="14588" max="14588" width="30.5703125" style="2" customWidth="1"/>
    <col min="14589" max="14589" width="33.85546875" style="2" customWidth="1"/>
    <col min="14590" max="14590" width="5.140625" style="2" customWidth="1"/>
    <col min="14591" max="14592" width="17.5703125" style="2" customWidth="1"/>
    <col min="14593" max="14836" width="9.140625" style="2"/>
    <col min="14837" max="14837" width="3.5703125" style="2" customWidth="1"/>
    <col min="14838" max="14838" width="96.85546875" style="2" customWidth="1"/>
    <col min="14839" max="14839" width="30.85546875" style="2" customWidth="1"/>
    <col min="14840" max="14840" width="12.5703125" style="2" customWidth="1"/>
    <col min="14841" max="14841" width="5.140625" style="2" customWidth="1"/>
    <col min="14842" max="14842" width="9.140625" style="2"/>
    <col min="14843" max="14843" width="4.85546875" style="2" customWidth="1"/>
    <col min="14844" max="14844" width="30.5703125" style="2" customWidth="1"/>
    <col min="14845" max="14845" width="33.85546875" style="2" customWidth="1"/>
    <col min="14846" max="14846" width="5.140625" style="2" customWidth="1"/>
    <col min="14847" max="14848" width="17.5703125" style="2" customWidth="1"/>
    <col min="14849" max="15092" width="9.140625" style="2"/>
    <col min="15093" max="15093" width="3.5703125" style="2" customWidth="1"/>
    <col min="15094" max="15094" width="96.85546875" style="2" customWidth="1"/>
    <col min="15095" max="15095" width="30.85546875" style="2" customWidth="1"/>
    <col min="15096" max="15096" width="12.5703125" style="2" customWidth="1"/>
    <col min="15097" max="15097" width="5.140625" style="2" customWidth="1"/>
    <col min="15098" max="15098" width="9.140625" style="2"/>
    <col min="15099" max="15099" width="4.85546875" style="2" customWidth="1"/>
    <col min="15100" max="15100" width="30.5703125" style="2" customWidth="1"/>
    <col min="15101" max="15101" width="33.85546875" style="2" customWidth="1"/>
    <col min="15102" max="15102" width="5.140625" style="2" customWidth="1"/>
    <col min="15103" max="15104" width="17.5703125" style="2" customWidth="1"/>
    <col min="15105" max="15348" width="9.140625" style="2"/>
    <col min="15349" max="15349" width="3.5703125" style="2" customWidth="1"/>
    <col min="15350" max="15350" width="96.85546875" style="2" customWidth="1"/>
    <col min="15351" max="15351" width="30.85546875" style="2" customWidth="1"/>
    <col min="15352" max="15352" width="12.5703125" style="2" customWidth="1"/>
    <col min="15353" max="15353" width="5.140625" style="2" customWidth="1"/>
    <col min="15354" max="15354" width="9.140625" style="2"/>
    <col min="15355" max="15355" width="4.85546875" style="2" customWidth="1"/>
    <col min="15356" max="15356" width="30.5703125" style="2" customWidth="1"/>
    <col min="15357" max="15357" width="33.85546875" style="2" customWidth="1"/>
    <col min="15358" max="15358" width="5.140625" style="2" customWidth="1"/>
    <col min="15359" max="15360" width="17.5703125" style="2" customWidth="1"/>
    <col min="15361" max="15604" width="9.140625" style="2"/>
    <col min="15605" max="15605" width="3.5703125" style="2" customWidth="1"/>
    <col min="15606" max="15606" width="96.85546875" style="2" customWidth="1"/>
    <col min="15607" max="15607" width="30.85546875" style="2" customWidth="1"/>
    <col min="15608" max="15608" width="12.5703125" style="2" customWidth="1"/>
    <col min="15609" max="15609" width="5.140625" style="2" customWidth="1"/>
    <col min="15610" max="15610" width="9.140625" style="2"/>
    <col min="15611" max="15611" width="4.85546875" style="2" customWidth="1"/>
    <col min="15612" max="15612" width="30.5703125" style="2" customWidth="1"/>
    <col min="15613" max="15613" width="33.85546875" style="2" customWidth="1"/>
    <col min="15614" max="15614" width="5.140625" style="2" customWidth="1"/>
    <col min="15615" max="15616" width="17.5703125" style="2" customWidth="1"/>
    <col min="15617" max="15860" width="9.140625" style="2"/>
    <col min="15861" max="15861" width="3.5703125" style="2" customWidth="1"/>
    <col min="15862" max="15862" width="96.85546875" style="2" customWidth="1"/>
    <col min="15863" max="15863" width="30.85546875" style="2" customWidth="1"/>
    <col min="15864" max="15864" width="12.5703125" style="2" customWidth="1"/>
    <col min="15865" max="15865" width="5.140625" style="2" customWidth="1"/>
    <col min="15866" max="15866" width="9.140625" style="2"/>
    <col min="15867" max="15867" width="4.85546875" style="2" customWidth="1"/>
    <col min="15868" max="15868" width="30.5703125" style="2" customWidth="1"/>
    <col min="15869" max="15869" width="33.85546875" style="2" customWidth="1"/>
    <col min="15870" max="15870" width="5.140625" style="2" customWidth="1"/>
    <col min="15871" max="15872" width="17.5703125" style="2" customWidth="1"/>
    <col min="15873" max="16116" width="9.140625" style="2"/>
    <col min="16117" max="16117" width="3.5703125" style="2" customWidth="1"/>
    <col min="16118" max="16118" width="96.85546875" style="2" customWidth="1"/>
    <col min="16119" max="16119" width="30.85546875" style="2" customWidth="1"/>
    <col min="16120" max="16120" width="12.5703125" style="2" customWidth="1"/>
    <col min="16121" max="16121" width="5.140625" style="2" customWidth="1"/>
    <col min="16122" max="16122" width="9.140625" style="2"/>
    <col min="16123" max="16123" width="4.85546875" style="2" customWidth="1"/>
    <col min="16124" max="16124" width="30.5703125" style="2" customWidth="1"/>
    <col min="16125" max="16125" width="33.85546875" style="2" customWidth="1"/>
    <col min="16126" max="16126" width="5.140625" style="2" customWidth="1"/>
    <col min="16127" max="16128" width="17.5703125" style="2" customWidth="1"/>
    <col min="16129" max="16384" width="9.140625" style="2"/>
  </cols>
  <sheetData>
    <row r="1" spans="1:3" ht="48" customHeight="1" x14ac:dyDescent="0.2">
      <c r="A1" s="1"/>
      <c r="B1" s="143" t="s">
        <v>0</v>
      </c>
      <c r="C1" s="143"/>
    </row>
    <row r="2" spans="1:3" x14ac:dyDescent="0.2">
      <c r="A2" s="3"/>
      <c r="B2" s="4" t="s">
        <v>1</v>
      </c>
      <c r="C2" s="5">
        <v>46052</v>
      </c>
    </row>
    <row r="3" spans="1:3" x14ac:dyDescent="0.2">
      <c r="A3" s="3"/>
      <c r="B3" s="6" t="s">
        <v>2</v>
      </c>
    </row>
    <row r="4" spans="1:3" ht="25.5" x14ac:dyDescent="0.2">
      <c r="A4" s="8"/>
      <c r="B4" s="9" t="str">
        <f>[3]И1!D13</f>
        <v>Субъект Российской Федерации</v>
      </c>
      <c r="C4" s="10" t="str">
        <f>[3]И1!E13</f>
        <v>Новосибирская область</v>
      </c>
    </row>
    <row r="5" spans="1:3" ht="51.75" customHeight="1" x14ac:dyDescent="0.2">
      <c r="A5" s="8"/>
      <c r="B5" s="9" t="str">
        <f>[3]И1!D14</f>
        <v>Тип муниципального образования (выберите из списка)</v>
      </c>
      <c r="C5" s="10" t="str">
        <f>[4]И1!E14</f>
        <v xml:space="preserve">село Быстровка, Искитимский муниципальный район </v>
      </c>
    </row>
    <row r="6" spans="1:3" x14ac:dyDescent="0.2">
      <c r="A6" s="8"/>
      <c r="B6" s="9" t="str">
        <f>IF([3]И1!E15="","",[3]И1!D15)</f>
        <v/>
      </c>
      <c r="C6" s="10">
        <f>IF([3]И1!E15="","",[3]И1!E15)</f>
        <v>0</v>
      </c>
    </row>
    <row r="7" spans="1:3" x14ac:dyDescent="0.2">
      <c r="A7" s="8"/>
      <c r="B7" s="9" t="str">
        <f>[3]И1!D16</f>
        <v>Код ОКТМО</v>
      </c>
      <c r="C7" s="11" t="str">
        <f>[6]И1!E16</f>
        <v>(50615404101)</v>
      </c>
    </row>
    <row r="8" spans="1:3" x14ac:dyDescent="0.2">
      <c r="A8" s="8"/>
      <c r="B8" s="12" t="str">
        <f>[3]И1!D17</f>
        <v>Система теплоснабжения</v>
      </c>
      <c r="C8" s="13">
        <f>[3]И1!E17</f>
        <v>0</v>
      </c>
    </row>
    <row r="9" spans="1:3" x14ac:dyDescent="0.2">
      <c r="A9" s="8"/>
      <c r="B9" s="9" t="str">
        <f>[3]И1!D8</f>
        <v>Период регулирования (i)-й</v>
      </c>
      <c r="C9" s="14">
        <f>[3]И1!E8</f>
        <v>2026</v>
      </c>
    </row>
    <row r="10" spans="1:3" x14ac:dyDescent="0.2">
      <c r="A10" s="8"/>
      <c r="B10" s="9" t="str">
        <f>[3]И1!D9</f>
        <v>Период регулирования (i-1)-й</v>
      </c>
      <c r="C10" s="14">
        <f>[3]И1!E9</f>
        <v>2025</v>
      </c>
    </row>
    <row r="11" spans="1:3" x14ac:dyDescent="0.2">
      <c r="A11" s="8"/>
      <c r="B11" s="9" t="str">
        <f>[3]И1!D10</f>
        <v>Период регулирования (i-2)-й</v>
      </c>
      <c r="C11" s="14">
        <f>[3]И1!E10</f>
        <v>2024</v>
      </c>
    </row>
    <row r="12" spans="1:3" x14ac:dyDescent="0.2">
      <c r="A12" s="8"/>
      <c r="B12" s="9" t="str">
        <f>[3]И1!D11</f>
        <v>Базовый год (б)</v>
      </c>
      <c r="C12" s="14">
        <f>[3]И1!E11</f>
        <v>2019</v>
      </c>
    </row>
    <row r="13" spans="1:3" x14ac:dyDescent="0.2">
      <c r="A13" s="8"/>
      <c r="B13" s="9" t="str">
        <f>[3]И1!D18</f>
        <v>Вид топлива, использование которого преобладает в системе теплоснабжения</v>
      </c>
      <c r="C13" s="15" t="str">
        <f>[3]С1.1!E13</f>
        <v>каменный уголь</v>
      </c>
    </row>
    <row r="14" spans="1:3" ht="31.7" customHeight="1" thickBot="1" x14ac:dyDescent="0.25">
      <c r="A14" s="142" t="s">
        <v>3</v>
      </c>
      <c r="B14" s="142"/>
      <c r="C14" s="142"/>
    </row>
    <row r="15" spans="1:3" x14ac:dyDescent="0.2">
      <c r="A15" s="16" t="s">
        <v>4</v>
      </c>
      <c r="B15" s="17" t="s">
        <v>5</v>
      </c>
      <c r="C15" s="18" t="s">
        <v>6</v>
      </c>
    </row>
    <row r="16" spans="1:3" x14ac:dyDescent="0.2">
      <c r="A16" s="19">
        <v>1</v>
      </c>
      <c r="B16" s="20">
        <v>2</v>
      </c>
      <c r="C16" s="21">
        <v>3</v>
      </c>
    </row>
    <row r="17" spans="1:3" x14ac:dyDescent="0.2">
      <c r="A17" s="22">
        <v>1</v>
      </c>
      <c r="B17" s="23" t="s">
        <v>7</v>
      </c>
      <c r="C17" s="24">
        <f>SUM(C18:C22)</f>
        <v>5740.5110962048893</v>
      </c>
    </row>
    <row r="18" spans="1:3" ht="42.75" x14ac:dyDescent="0.2">
      <c r="A18" s="22" t="s">
        <v>8</v>
      </c>
      <c r="B18" s="25" t="s">
        <v>9</v>
      </c>
      <c r="C18" s="26">
        <f>[3]С1!F12</f>
        <v>1046.5335332950929</v>
      </c>
    </row>
    <row r="19" spans="1:3" ht="42.75" x14ac:dyDescent="0.2">
      <c r="A19" s="22" t="s">
        <v>10</v>
      </c>
      <c r="B19" s="25" t="s">
        <v>11</v>
      </c>
      <c r="C19" s="26">
        <f>[3]С2!F12</f>
        <v>3097.7824122172187</v>
      </c>
    </row>
    <row r="20" spans="1:3" ht="30" x14ac:dyDescent="0.2">
      <c r="A20" s="22" t="s">
        <v>12</v>
      </c>
      <c r="B20" s="25" t="s">
        <v>13</v>
      </c>
      <c r="C20" s="26">
        <f>[3]С3!F12</f>
        <v>940.47266370947932</v>
      </c>
    </row>
    <row r="21" spans="1:3" ht="42.75" x14ac:dyDescent="0.2">
      <c r="A21" s="22" t="s">
        <v>14</v>
      </c>
      <c r="B21" s="25" t="s">
        <v>15</v>
      </c>
      <c r="C21" s="26">
        <f>[3]С4!F12</f>
        <v>543.16344588104198</v>
      </c>
    </row>
    <row r="22" spans="1:3" ht="30" x14ac:dyDescent="0.2">
      <c r="A22" s="22" t="s">
        <v>16</v>
      </c>
      <c r="B22" s="25" t="s">
        <v>17</v>
      </c>
      <c r="C22" s="26">
        <f>[3]С5!F12</f>
        <v>112.55904110205665</v>
      </c>
    </row>
    <row r="23" spans="1:3" ht="43.5" thickBot="1" x14ac:dyDescent="0.25">
      <c r="A23" s="27" t="s">
        <v>18</v>
      </c>
      <c r="B23" s="140" t="s">
        <v>19</v>
      </c>
      <c r="C23" s="28" t="str">
        <f>[3]С6!F12</f>
        <v>-</v>
      </c>
    </row>
    <row r="24" spans="1:3" ht="13.5" thickBot="1" x14ac:dyDescent="0.25">
      <c r="A24" s="3"/>
    </row>
    <row r="25" spans="1:3" x14ac:dyDescent="0.2">
      <c r="A25" s="16" t="s">
        <v>4</v>
      </c>
      <c r="B25" s="29" t="s">
        <v>5</v>
      </c>
      <c r="C25" s="30" t="s">
        <v>6</v>
      </c>
    </row>
    <row r="26" spans="1:3" x14ac:dyDescent="0.2">
      <c r="A26" s="19">
        <v>1</v>
      </c>
      <c r="B26" s="31">
        <v>2</v>
      </c>
      <c r="C26" s="32">
        <v>3</v>
      </c>
    </row>
    <row r="27" spans="1:3" ht="39.75" customHeight="1" x14ac:dyDescent="0.2">
      <c r="A27" s="22">
        <v>1</v>
      </c>
      <c r="B27" s="144" t="s">
        <v>20</v>
      </c>
      <c r="C27" s="144"/>
    </row>
    <row r="28" spans="1:3" ht="128.25" customHeight="1" x14ac:dyDescent="0.2">
      <c r="A28" s="22" t="s">
        <v>8</v>
      </c>
      <c r="B28" s="33" t="s">
        <v>21</v>
      </c>
      <c r="C28" s="34">
        <f>[3]С1.1!E16</f>
        <v>5100</v>
      </c>
    </row>
    <row r="29" spans="1:3" ht="57.75" customHeight="1" x14ac:dyDescent="0.2">
      <c r="A29" s="22" t="s">
        <v>10</v>
      </c>
      <c r="B29" s="33" t="s">
        <v>22</v>
      </c>
      <c r="C29" s="34">
        <f>[3]С1.1!E27</f>
        <v>4500.82</v>
      </c>
    </row>
    <row r="30" spans="1:3" ht="261.75" customHeight="1" x14ac:dyDescent="0.2">
      <c r="A30" s="22" t="s">
        <v>12</v>
      </c>
      <c r="B30" s="33" t="s">
        <v>23</v>
      </c>
      <c r="C30" s="35">
        <f>[3]С1.1!E19</f>
        <v>-0.11899999999999999</v>
      </c>
    </row>
    <row r="31" spans="1:3" ht="17.25" x14ac:dyDescent="0.2">
      <c r="A31" s="22" t="s">
        <v>14</v>
      </c>
      <c r="B31" s="33" t="s">
        <v>24</v>
      </c>
      <c r="C31" s="35">
        <f>[3]С1.1!E20</f>
        <v>4.0000000000000001E-3</v>
      </c>
    </row>
    <row r="32" spans="1:3" ht="30" x14ac:dyDescent="0.2">
      <c r="A32" s="22" t="s">
        <v>16</v>
      </c>
      <c r="B32" s="36" t="s">
        <v>25</v>
      </c>
      <c r="C32" s="37">
        <f>[3]С1!F13</f>
        <v>176.4</v>
      </c>
    </row>
    <row r="33" spans="1:3" x14ac:dyDescent="0.2">
      <c r="A33" s="22" t="s">
        <v>18</v>
      </c>
      <c r="B33" s="36" t="s">
        <v>26</v>
      </c>
      <c r="C33" s="38">
        <f>[3]С1!F16</f>
        <v>7000</v>
      </c>
    </row>
    <row r="34" spans="1:3" ht="14.25" x14ac:dyDescent="0.2">
      <c r="A34" s="22" t="s">
        <v>27</v>
      </c>
      <c r="B34" s="39" t="s">
        <v>28</v>
      </c>
      <c r="C34" s="40">
        <f>[3]С1!F17</f>
        <v>0.72857142857142854</v>
      </c>
    </row>
    <row r="35" spans="1:3" ht="15.75" x14ac:dyDescent="0.2">
      <c r="A35" s="41" t="s">
        <v>29</v>
      </c>
      <c r="B35" s="42" t="s">
        <v>30</v>
      </c>
      <c r="C35" s="40">
        <f>[3]С1!F20</f>
        <v>21.588411179999994</v>
      </c>
    </row>
    <row r="36" spans="1:3" ht="15.75" x14ac:dyDescent="0.2">
      <c r="A36" s="41" t="s">
        <v>31</v>
      </c>
      <c r="B36" s="43" t="s">
        <v>32</v>
      </c>
      <c r="C36" s="40">
        <f>[3]С1!F21</f>
        <v>20.818139999999996</v>
      </c>
    </row>
    <row r="37" spans="1:3" ht="14.25" x14ac:dyDescent="0.2">
      <c r="A37" s="41" t="s">
        <v>33</v>
      </c>
      <c r="B37" s="44" t="s">
        <v>34</v>
      </c>
      <c r="C37" s="40">
        <f>[3]С1!F22</f>
        <v>1.0369999999999999</v>
      </c>
    </row>
    <row r="38" spans="1:3" ht="53.25" thickBot="1" x14ac:dyDescent="0.25">
      <c r="A38" s="27" t="s">
        <v>35</v>
      </c>
      <c r="B38" s="45" t="s">
        <v>36</v>
      </c>
      <c r="C38" s="46">
        <f>[3]С1!F23</f>
        <v>1.0469999999999999</v>
      </c>
    </row>
    <row r="39" spans="1:3" ht="13.5" thickBot="1" x14ac:dyDescent="0.25">
      <c r="A39" s="47"/>
      <c r="B39" s="48"/>
      <c r="C39" s="49"/>
    </row>
    <row r="40" spans="1:3" ht="30" customHeight="1" x14ac:dyDescent="0.2">
      <c r="A40" s="50" t="s">
        <v>37</v>
      </c>
      <c r="B40" s="145" t="s">
        <v>38</v>
      </c>
      <c r="C40" s="145"/>
    </row>
    <row r="41" spans="1:3" ht="25.5" x14ac:dyDescent="0.2">
      <c r="A41" s="22" t="s">
        <v>39</v>
      </c>
      <c r="B41" s="36" t="s">
        <v>40</v>
      </c>
      <c r="C41" s="51" t="str">
        <f>[3]С2.1!E12</f>
        <v>V</v>
      </c>
    </row>
    <row r="42" spans="1:3" ht="233.25" customHeight="1" x14ac:dyDescent="0.2">
      <c r="A42" s="22" t="s">
        <v>41</v>
      </c>
      <c r="B42" s="33" t="s">
        <v>42</v>
      </c>
      <c r="C42" s="51" t="str">
        <f>[3]С2.1!E13</f>
        <v>6 и менее баллов</v>
      </c>
    </row>
    <row r="43" spans="1:3" ht="144.75" customHeight="1" x14ac:dyDescent="0.2">
      <c r="A43" s="22" t="s">
        <v>43</v>
      </c>
      <c r="B43" s="33" t="s">
        <v>44</v>
      </c>
      <c r="C43" s="51" t="str">
        <f>[3]С2.1!E14</f>
        <v>от 200 до 500</v>
      </c>
    </row>
    <row r="44" spans="1:3" ht="25.5" x14ac:dyDescent="0.2">
      <c r="A44" s="22" t="s">
        <v>45</v>
      </c>
      <c r="B44" s="33" t="s">
        <v>46</v>
      </c>
      <c r="C44" s="52" t="str">
        <f>[3]С2.1!E15</f>
        <v>нет</v>
      </c>
    </row>
    <row r="45" spans="1:3" ht="30" x14ac:dyDescent="0.2">
      <c r="A45" s="22" t="s">
        <v>47</v>
      </c>
      <c r="B45" s="33" t="s">
        <v>48</v>
      </c>
      <c r="C45" s="34">
        <f>[3]С2!F18</f>
        <v>40220.845230503684</v>
      </c>
    </row>
    <row r="46" spans="1:3" ht="30" x14ac:dyDescent="0.2">
      <c r="A46" s="22" t="s">
        <v>49</v>
      </c>
      <c r="B46" s="53" t="s">
        <v>50</v>
      </c>
      <c r="C46" s="34">
        <f>IF([3]С2!F19&gt;0,[3]С2!F19,[3]С2!F20)</f>
        <v>23441.524932855718</v>
      </c>
    </row>
    <row r="47" spans="1:3" ht="46.5" customHeight="1" x14ac:dyDescent="0.2">
      <c r="A47" s="22" t="s">
        <v>51</v>
      </c>
      <c r="B47" s="54" t="s">
        <v>52</v>
      </c>
      <c r="C47" s="34">
        <f>[3]С2.1!E19</f>
        <v>-38</v>
      </c>
    </row>
    <row r="48" spans="1:3" ht="25.5" x14ac:dyDescent="0.2">
      <c r="A48" s="22" t="s">
        <v>53</v>
      </c>
      <c r="B48" s="54" t="s">
        <v>54</v>
      </c>
      <c r="C48" s="34" t="str">
        <f>[3]С2.1!E22</f>
        <v>нет</v>
      </c>
    </row>
    <row r="49" spans="1:3" ht="38.25" x14ac:dyDescent="0.2">
      <c r="A49" s="22" t="s">
        <v>55</v>
      </c>
      <c r="B49" s="55" t="s">
        <v>56</v>
      </c>
      <c r="C49" s="34">
        <f>[3]С2.2!E10</f>
        <v>1287</v>
      </c>
    </row>
    <row r="50" spans="1:3" ht="25.5" x14ac:dyDescent="0.2">
      <c r="A50" s="22" t="s">
        <v>57</v>
      </c>
      <c r="B50" s="56" t="s">
        <v>58</v>
      </c>
      <c r="C50" s="34">
        <f>[3]С2.2!E12</f>
        <v>5.97</v>
      </c>
    </row>
    <row r="51" spans="1:3" ht="52.5" x14ac:dyDescent="0.2">
      <c r="A51" s="22" t="s">
        <v>59</v>
      </c>
      <c r="B51" s="57" t="s">
        <v>60</v>
      </c>
      <c r="C51" s="34">
        <f>[3]С2.2!E13</f>
        <v>1</v>
      </c>
    </row>
    <row r="52" spans="1:3" ht="27.75" x14ac:dyDescent="0.2">
      <c r="A52" s="22" t="s">
        <v>61</v>
      </c>
      <c r="B52" s="56" t="s">
        <v>62</v>
      </c>
      <c r="C52" s="34">
        <f>[3]С2.2!E14</f>
        <v>12104</v>
      </c>
    </row>
    <row r="53" spans="1:3" ht="79.5" customHeight="1" x14ac:dyDescent="0.2">
      <c r="A53" s="22" t="s">
        <v>63</v>
      </c>
      <c r="B53" s="57" t="s">
        <v>64</v>
      </c>
      <c r="C53" s="35">
        <f>[3]С2.2!E15</f>
        <v>4.8000000000000001E-2</v>
      </c>
    </row>
    <row r="54" spans="1:3" x14ac:dyDescent="0.2">
      <c r="A54" s="22" t="s">
        <v>65</v>
      </c>
      <c r="B54" s="57" t="s">
        <v>66</v>
      </c>
      <c r="C54" s="34">
        <f>[3]С2.2!E16</f>
        <v>1</v>
      </c>
    </row>
    <row r="55" spans="1:3" ht="15.75" x14ac:dyDescent="0.2">
      <c r="A55" s="22" t="s">
        <v>67</v>
      </c>
      <c r="B55" s="58" t="s">
        <v>68</v>
      </c>
      <c r="C55" s="34">
        <f>[3]С2!F21</f>
        <v>1</v>
      </c>
    </row>
    <row r="56" spans="1:3" ht="30" x14ac:dyDescent="0.2">
      <c r="A56" s="59" t="s">
        <v>69</v>
      </c>
      <c r="B56" s="33" t="s">
        <v>70</v>
      </c>
      <c r="C56" s="34">
        <f>[3]С2!F13</f>
        <v>210571.60987470482</v>
      </c>
    </row>
    <row r="57" spans="1:3" ht="30" x14ac:dyDescent="0.2">
      <c r="A57" s="59" t="s">
        <v>71</v>
      </c>
      <c r="B57" s="58" t="s">
        <v>72</v>
      </c>
      <c r="C57" s="34">
        <f>[3]С2!F14</f>
        <v>113455</v>
      </c>
    </row>
    <row r="58" spans="1:3" ht="15.75" x14ac:dyDescent="0.2">
      <c r="A58" s="59" t="s">
        <v>73</v>
      </c>
      <c r="B58" s="60" t="s">
        <v>74</v>
      </c>
      <c r="C58" s="40">
        <f>[3]С2!F15</f>
        <v>1.071</v>
      </c>
    </row>
    <row r="59" spans="1:3" ht="15.75" x14ac:dyDescent="0.2">
      <c r="A59" s="59" t="s">
        <v>75</v>
      </c>
      <c r="B59" s="60" t="s">
        <v>76</v>
      </c>
      <c r="C59" s="40">
        <f>[3]С2!F16</f>
        <v>1</v>
      </c>
    </row>
    <row r="60" spans="1:3" ht="17.25" x14ac:dyDescent="0.2">
      <c r="A60" s="59" t="s">
        <v>77</v>
      </c>
      <c r="B60" s="58" t="s">
        <v>78</v>
      </c>
      <c r="C60" s="34">
        <f>[3]С2!F17</f>
        <v>1.01</v>
      </c>
    </row>
    <row r="61" spans="1:3" s="63" customFormat="1" ht="14.25" x14ac:dyDescent="0.2">
      <c r="A61" s="59" t="s">
        <v>79</v>
      </c>
      <c r="B61" s="61" t="s">
        <v>80</v>
      </c>
      <c r="C61" s="62">
        <f>[3]С2!F33</f>
        <v>10</v>
      </c>
    </row>
    <row r="62" spans="1:3" ht="30" x14ac:dyDescent="0.2">
      <c r="A62" s="59" t="s">
        <v>81</v>
      </c>
      <c r="B62" s="64" t="s">
        <v>82</v>
      </c>
      <c r="C62" s="34">
        <f>[3]С2!F26</f>
        <v>3185.880383940208</v>
      </c>
    </row>
    <row r="63" spans="1:3" ht="168" customHeight="1" x14ac:dyDescent="0.2">
      <c r="A63" s="59" t="s">
        <v>83</v>
      </c>
      <c r="B63" s="53" t="s">
        <v>84</v>
      </c>
      <c r="C63" s="34">
        <f>[3]С2!F27</f>
        <v>0.44209422600000003</v>
      </c>
    </row>
    <row r="64" spans="1:3" ht="17.25" x14ac:dyDescent="0.2">
      <c r="A64" s="59" t="s">
        <v>85</v>
      </c>
      <c r="B64" s="58" t="s">
        <v>86</v>
      </c>
      <c r="C64" s="62">
        <f>[3]С2!F28</f>
        <v>4200</v>
      </c>
    </row>
    <row r="65" spans="1:3" ht="42.75" x14ac:dyDescent="0.2">
      <c r="A65" s="59" t="s">
        <v>87</v>
      </c>
      <c r="B65" s="33" t="s">
        <v>88</v>
      </c>
      <c r="C65" s="34">
        <f>[3]С2!F22</f>
        <v>4298.6978080550834</v>
      </c>
    </row>
    <row r="66" spans="1:3" ht="30" x14ac:dyDescent="0.2">
      <c r="A66" s="59" t="s">
        <v>89</v>
      </c>
      <c r="B66" s="60" t="s">
        <v>90</v>
      </c>
      <c r="C66" s="34">
        <f>[3]С2!F23</f>
        <v>1990</v>
      </c>
    </row>
    <row r="67" spans="1:3" ht="30" x14ac:dyDescent="0.2">
      <c r="A67" s="59" t="s">
        <v>91</v>
      </c>
      <c r="B67" s="53" t="s">
        <v>92</v>
      </c>
      <c r="C67" s="34">
        <f>[3]С2.1!E27</f>
        <v>246.24401</v>
      </c>
    </row>
    <row r="68" spans="1:3" ht="73.5" customHeight="1" x14ac:dyDescent="0.2">
      <c r="A68" s="59" t="s">
        <v>93</v>
      </c>
      <c r="B68" s="65" t="s">
        <v>94</v>
      </c>
      <c r="C68" s="52" t="str">
        <f>[3]С2.3!E21</f>
        <v>Муниципальное унитарное предприятие города Куйбышева Куйбышевского района Новосибирской области "Горводоканал"</v>
      </c>
    </row>
    <row r="69" spans="1:3" ht="25.5" x14ac:dyDescent="0.2">
      <c r="A69" s="59" t="s">
        <v>95</v>
      </c>
      <c r="B69" s="66" t="s">
        <v>96</v>
      </c>
      <c r="C69" s="67">
        <f>[3]С2.3!E11</f>
        <v>9.89</v>
      </c>
    </row>
    <row r="70" spans="1:3" ht="25.5" x14ac:dyDescent="0.2">
      <c r="A70" s="59" t="s">
        <v>97</v>
      </c>
      <c r="B70" s="66" t="s">
        <v>98</v>
      </c>
      <c r="C70" s="62">
        <f>[3]С2.3!E13</f>
        <v>300</v>
      </c>
    </row>
    <row r="71" spans="1:3" ht="192.75" customHeight="1" x14ac:dyDescent="0.2">
      <c r="A71" s="59" t="s">
        <v>99</v>
      </c>
      <c r="B71" s="65" t="s">
        <v>100</v>
      </c>
      <c r="C71" s="68">
        <f>IF([3]С2.3!E22&gt;0,[3]С2.3!E22,[3]С2.3!E14)</f>
        <v>8809</v>
      </c>
    </row>
    <row r="72" spans="1:3" ht="192.75" customHeight="1" x14ac:dyDescent="0.2">
      <c r="A72" s="59" t="s">
        <v>101</v>
      </c>
      <c r="B72" s="65" t="s">
        <v>102</v>
      </c>
      <c r="C72" s="68">
        <f>IF([3]С2.3!E23&gt;0,[3]С2.3!E23,[3]С2.3!E15)</f>
        <v>530.41</v>
      </c>
    </row>
    <row r="73" spans="1:3" ht="30" x14ac:dyDescent="0.2">
      <c r="A73" s="59" t="s">
        <v>103</v>
      </c>
      <c r="B73" s="53" t="s">
        <v>104</v>
      </c>
      <c r="C73" s="34">
        <f>[3]С2.1!E28</f>
        <v>269.12432000000001</v>
      </c>
    </row>
    <row r="74" spans="1:3" ht="87" customHeight="1" x14ac:dyDescent="0.2">
      <c r="A74" s="59" t="s">
        <v>105</v>
      </c>
      <c r="B74" s="65" t="s">
        <v>106</v>
      </c>
      <c r="C74" s="52" t="str">
        <f>[3]С2.3!E25</f>
        <v>Муниципальное унитарное предприятие города Куйбышева Куйбышевского района Новосибирской области "Геострой"</v>
      </c>
    </row>
    <row r="75" spans="1:3" ht="25.5" x14ac:dyDescent="0.2">
      <c r="A75" s="59" t="s">
        <v>107</v>
      </c>
      <c r="B75" s="66" t="s">
        <v>108</v>
      </c>
      <c r="C75" s="67">
        <f>[3]С2.3!E12</f>
        <v>0.56000000000000005</v>
      </c>
    </row>
    <row r="76" spans="1:3" ht="25.5" x14ac:dyDescent="0.2">
      <c r="A76" s="59" t="s">
        <v>109</v>
      </c>
      <c r="B76" s="66" t="s">
        <v>98</v>
      </c>
      <c r="C76" s="62">
        <f>[3]С2.3!E13</f>
        <v>300</v>
      </c>
    </row>
    <row r="77" spans="1:3" ht="183" customHeight="1" x14ac:dyDescent="0.2">
      <c r="A77" s="59" t="s">
        <v>110</v>
      </c>
      <c r="B77" s="69" t="s">
        <v>111</v>
      </c>
      <c r="C77" s="68">
        <f>IF([3]С2.3!E26&gt;0,[3]С2.3!E26,[3]С2.3!E16)</f>
        <v>21397</v>
      </c>
    </row>
    <row r="78" spans="1:3" ht="186.75" customHeight="1" x14ac:dyDescent="0.2">
      <c r="A78" s="59" t="s">
        <v>112</v>
      </c>
      <c r="B78" s="69" t="s">
        <v>113</v>
      </c>
      <c r="C78" s="68">
        <f>IF([3]С2.3!E27&gt;0,[3]С2.3!E27,[3]С2.3!E17)</f>
        <v>857.14</v>
      </c>
    </row>
    <row r="79" spans="1:3" ht="17.25" x14ac:dyDescent="0.2">
      <c r="A79" s="59" t="s">
        <v>114</v>
      </c>
      <c r="B79" s="33" t="s">
        <v>115</v>
      </c>
      <c r="C79" s="35">
        <f>[3]С2!F29</f>
        <v>0.21369165990259753</v>
      </c>
    </row>
    <row r="80" spans="1:3" ht="30" x14ac:dyDescent="0.2">
      <c r="A80" s="59" t="s">
        <v>116</v>
      </c>
      <c r="B80" s="53" t="s">
        <v>117</v>
      </c>
      <c r="C80" s="70">
        <f>[3]С2!F30</f>
        <v>0.20047619047619047</v>
      </c>
    </row>
    <row r="81" spans="1:3" ht="17.25" x14ac:dyDescent="0.2">
      <c r="A81" s="59" t="s">
        <v>118</v>
      </c>
      <c r="B81" s="71" t="s">
        <v>119</v>
      </c>
      <c r="C81" s="35">
        <f>[3]С2!F31</f>
        <v>0.13880000000000001</v>
      </c>
    </row>
    <row r="82" spans="1:3" s="63" customFormat="1" ht="18" thickBot="1" x14ac:dyDescent="0.25">
      <c r="A82" s="72" t="s">
        <v>120</v>
      </c>
      <c r="B82" s="73" t="s">
        <v>121</v>
      </c>
      <c r="C82" s="74">
        <f>[3]С2!F32</f>
        <v>0.12640000000000001</v>
      </c>
    </row>
    <row r="83" spans="1:3" ht="13.5" thickBot="1" x14ac:dyDescent="0.25">
      <c r="A83" s="47"/>
      <c r="B83" s="75"/>
      <c r="C83" s="15"/>
    </row>
    <row r="84" spans="1:3" s="63" customFormat="1" ht="30" customHeight="1" x14ac:dyDescent="0.2">
      <c r="A84" s="76" t="s">
        <v>122</v>
      </c>
      <c r="B84" s="145" t="s">
        <v>123</v>
      </c>
      <c r="C84" s="145"/>
    </row>
    <row r="85" spans="1:3" s="63" customFormat="1" ht="30" x14ac:dyDescent="0.2">
      <c r="A85" s="77" t="s">
        <v>124</v>
      </c>
      <c r="B85" s="33" t="s">
        <v>125</v>
      </c>
      <c r="C85" s="34">
        <f>[3]С3!F14</f>
        <v>15827.997028730506</v>
      </c>
    </row>
    <row r="86" spans="1:3" s="63" customFormat="1" ht="42.75" x14ac:dyDescent="0.2">
      <c r="A86" s="77" t="s">
        <v>126</v>
      </c>
      <c r="B86" s="53" t="s">
        <v>127</v>
      </c>
      <c r="C86" s="78">
        <f>[3]С3!F15</f>
        <v>0.25</v>
      </c>
    </row>
    <row r="87" spans="1:3" s="63" customFormat="1" ht="14.25" x14ac:dyDescent="0.2">
      <c r="A87" s="77" t="s">
        <v>128</v>
      </c>
      <c r="B87" s="79" t="s">
        <v>129</v>
      </c>
      <c r="C87" s="62">
        <f>[3]С3!F18</f>
        <v>15</v>
      </c>
    </row>
    <row r="88" spans="1:3" s="63" customFormat="1" ht="17.25" x14ac:dyDescent="0.2">
      <c r="A88" s="77" t="s">
        <v>130</v>
      </c>
      <c r="B88" s="33" t="s">
        <v>131</v>
      </c>
      <c r="C88" s="34">
        <f>[3]С3!F19</f>
        <v>3741.3369093945325</v>
      </c>
    </row>
    <row r="89" spans="1:3" s="63" customFormat="1" ht="55.5" x14ac:dyDescent="0.2">
      <c r="A89" s="77" t="s">
        <v>132</v>
      </c>
      <c r="B89" s="53" t="s">
        <v>133</v>
      </c>
      <c r="C89" s="80">
        <f>[3]С3!F20</f>
        <v>2.1999999999999999E-2</v>
      </c>
    </row>
    <row r="90" spans="1:3" s="63" customFormat="1" ht="14.25" x14ac:dyDescent="0.2">
      <c r="A90" s="77" t="s">
        <v>134</v>
      </c>
      <c r="B90" s="58" t="s">
        <v>80</v>
      </c>
      <c r="C90" s="62">
        <f>[3]С3!F21</f>
        <v>10</v>
      </c>
    </row>
    <row r="91" spans="1:3" s="63" customFormat="1" ht="17.25" x14ac:dyDescent="0.2">
      <c r="A91" s="77" t="s">
        <v>135</v>
      </c>
      <c r="B91" s="33" t="s">
        <v>136</v>
      </c>
      <c r="C91" s="34">
        <f>[3]С3!F22</f>
        <v>9.5576411518206239</v>
      </c>
    </row>
    <row r="92" spans="1:3" s="63" customFormat="1" ht="57" customHeight="1" x14ac:dyDescent="0.2">
      <c r="A92" s="77" t="s">
        <v>137</v>
      </c>
      <c r="B92" s="53" t="s">
        <v>138</v>
      </c>
      <c r="C92" s="80">
        <f>[3]С3!F23</f>
        <v>3.0000000000000001E-3</v>
      </c>
    </row>
    <row r="93" spans="1:3" s="63" customFormat="1" ht="27.75" thickBot="1" x14ac:dyDescent="0.25">
      <c r="A93" s="81" t="s">
        <v>139</v>
      </c>
      <c r="B93" s="82" t="s">
        <v>140</v>
      </c>
      <c r="C93" s="83">
        <f>[3]С3!F24</f>
        <v>3185.880383940208</v>
      </c>
    </row>
    <row r="94" spans="1:3" ht="13.5" thickBot="1" x14ac:dyDescent="0.25">
      <c r="A94" s="47"/>
      <c r="B94" s="75"/>
      <c r="C94" s="15"/>
    </row>
    <row r="95" spans="1:3" ht="30" customHeight="1" x14ac:dyDescent="0.2">
      <c r="A95" s="84" t="s">
        <v>141</v>
      </c>
      <c r="B95" s="145" t="s">
        <v>142</v>
      </c>
      <c r="C95" s="145"/>
    </row>
    <row r="96" spans="1:3" ht="30" x14ac:dyDescent="0.2">
      <c r="A96" s="59" t="s">
        <v>143</v>
      </c>
      <c r="B96" s="33" t="s">
        <v>144</v>
      </c>
      <c r="C96" s="34">
        <f>[3]С4!F16</f>
        <v>1652.5</v>
      </c>
    </row>
    <row r="97" spans="1:3" ht="30" x14ac:dyDescent="0.2">
      <c r="A97" s="59" t="s">
        <v>145</v>
      </c>
      <c r="B97" s="58" t="s">
        <v>146</v>
      </c>
      <c r="C97" s="34">
        <f>[3]С4!F17</f>
        <v>73547</v>
      </c>
    </row>
    <row r="98" spans="1:3" ht="17.25" x14ac:dyDescent="0.2">
      <c r="A98" s="59" t="s">
        <v>147</v>
      </c>
      <c r="B98" s="58" t="s">
        <v>148</v>
      </c>
      <c r="C98" s="40">
        <f>[3]С4!F18</f>
        <v>0.02</v>
      </c>
    </row>
    <row r="99" spans="1:3" ht="30" x14ac:dyDescent="0.2">
      <c r="A99" s="59" t="s">
        <v>149</v>
      </c>
      <c r="B99" s="58" t="s">
        <v>150</v>
      </c>
      <c r="C99" s="34">
        <f>[3]С4!F19</f>
        <v>12104</v>
      </c>
    </row>
    <row r="100" spans="1:3" ht="31.5" x14ac:dyDescent="0.2">
      <c r="A100" s="59" t="s">
        <v>151</v>
      </c>
      <c r="B100" s="58" t="s">
        <v>152</v>
      </c>
      <c r="C100" s="40">
        <f>[3]С4!F20</f>
        <v>1.4999999999999999E-2</v>
      </c>
    </row>
    <row r="101" spans="1:3" ht="30" x14ac:dyDescent="0.2">
      <c r="A101" s="59" t="s">
        <v>153</v>
      </c>
      <c r="B101" s="33" t="s">
        <v>154</v>
      </c>
      <c r="C101" s="34">
        <f>[3]С4!F21</f>
        <v>1933.1949342509995</v>
      </c>
    </row>
    <row r="102" spans="1:3" ht="35.25" customHeight="1" x14ac:dyDescent="0.2">
      <c r="A102" s="59" t="s">
        <v>155</v>
      </c>
      <c r="B102" s="53" t="s">
        <v>156</v>
      </c>
      <c r="C102" s="85" t="str">
        <f>IF([3]С4.2!F8="да",[3]С4.2!D21,[3]С4.2!D15)</f>
        <v>АО "Новосибирскэнергосбыт"</v>
      </c>
    </row>
    <row r="103" spans="1:3" ht="68.25" x14ac:dyDescent="0.2">
      <c r="A103" s="59" t="s">
        <v>157</v>
      </c>
      <c r="B103" s="53" t="s">
        <v>158</v>
      </c>
      <c r="C103" s="34">
        <f>[3]С4!F22</f>
        <v>3.6112641666666665</v>
      </c>
    </row>
    <row r="104" spans="1:3" ht="30" x14ac:dyDescent="0.2">
      <c r="A104" s="59" t="s">
        <v>159</v>
      </c>
      <c r="B104" s="58" t="s">
        <v>160</v>
      </c>
      <c r="C104" s="34">
        <f>[3]С4!F23</f>
        <v>180</v>
      </c>
    </row>
    <row r="105" spans="1:3" ht="14.25" x14ac:dyDescent="0.2">
      <c r="A105" s="59" t="s">
        <v>161</v>
      </c>
      <c r="B105" s="53" t="s">
        <v>162</v>
      </c>
      <c r="C105" s="34">
        <f>[3]С4!F24</f>
        <v>8497.1999999999989</v>
      </c>
    </row>
    <row r="106" spans="1:3" ht="14.25" x14ac:dyDescent="0.2">
      <c r="A106" s="59" t="s">
        <v>163</v>
      </c>
      <c r="B106" s="58" t="s">
        <v>164</v>
      </c>
      <c r="C106" s="40">
        <f>[3]С4!F25</f>
        <v>0.35</v>
      </c>
    </row>
    <row r="107" spans="1:3" ht="17.25" x14ac:dyDescent="0.2">
      <c r="A107" s="59" t="s">
        <v>165</v>
      </c>
      <c r="B107" s="33" t="s">
        <v>166</v>
      </c>
      <c r="C107" s="34">
        <f>[3]С4!F26</f>
        <v>91.185569999999998</v>
      </c>
    </row>
    <row r="108" spans="1:3" ht="75.75" customHeight="1" x14ac:dyDescent="0.2">
      <c r="A108" s="59" t="s">
        <v>167</v>
      </c>
      <c r="B108" s="53" t="s">
        <v>94</v>
      </c>
      <c r="C108" s="85">
        <f>[3]С4.3!E16</f>
        <v>0</v>
      </c>
    </row>
    <row r="109" spans="1:3" ht="25.5" x14ac:dyDescent="0.2">
      <c r="A109" s="59" t="s">
        <v>168</v>
      </c>
      <c r="B109" s="53" t="s">
        <v>169</v>
      </c>
      <c r="C109" s="34">
        <f>[3]С4.3!E17</f>
        <v>25.15</v>
      </c>
    </row>
    <row r="110" spans="1:3" ht="79.5" customHeight="1" x14ac:dyDescent="0.2">
      <c r="A110" s="59" t="s">
        <v>170</v>
      </c>
      <c r="B110" s="53" t="s">
        <v>106</v>
      </c>
      <c r="C110" s="85">
        <f>[3]С4.3!E18</f>
        <v>0</v>
      </c>
    </row>
    <row r="111" spans="1:3" x14ac:dyDescent="0.2">
      <c r="A111" s="59" t="s">
        <v>171</v>
      </c>
      <c r="B111" s="53" t="s">
        <v>172</v>
      </c>
      <c r="C111" s="34">
        <f>[3]С4.3!E19</f>
        <v>14.63</v>
      </c>
    </row>
    <row r="112" spans="1:3" x14ac:dyDescent="0.2">
      <c r="A112" s="59" t="s">
        <v>173</v>
      </c>
      <c r="B112" s="58" t="s">
        <v>174</v>
      </c>
      <c r="C112" s="34">
        <f>[3]С4.3!E11</f>
        <v>1871</v>
      </c>
    </row>
    <row r="113" spans="1:3" x14ac:dyDescent="0.2">
      <c r="A113" s="59" t="s">
        <v>175</v>
      </c>
      <c r="B113" s="58" t="s">
        <v>176</v>
      </c>
      <c r="C113" s="52">
        <f>[3]С4.3!E12</f>
        <v>1636</v>
      </c>
    </row>
    <row r="114" spans="1:3" x14ac:dyDescent="0.2">
      <c r="A114" s="59" t="s">
        <v>177</v>
      </c>
      <c r="B114" s="58" t="s">
        <v>178</v>
      </c>
      <c r="C114" s="52">
        <f>[3]С4.3!E13</f>
        <v>204</v>
      </c>
    </row>
    <row r="115" spans="1:3" ht="30" x14ac:dyDescent="0.2">
      <c r="A115" s="59" t="s">
        <v>179</v>
      </c>
      <c r="B115" s="33" t="s">
        <v>180</v>
      </c>
      <c r="C115" s="34">
        <f>[3]С4!F27</f>
        <v>1291.2863994686898</v>
      </c>
    </row>
    <row r="116" spans="1:3" ht="25.5" x14ac:dyDescent="0.2">
      <c r="A116" s="59" t="s">
        <v>181</v>
      </c>
      <c r="B116" s="53" t="s">
        <v>182</v>
      </c>
      <c r="C116" s="34">
        <f>[3]С4!F28</f>
        <v>991.77142816335618</v>
      </c>
    </row>
    <row r="117" spans="1:3" ht="42.75" x14ac:dyDescent="0.2">
      <c r="A117" s="59" t="s">
        <v>183</v>
      </c>
      <c r="B117" s="53" t="s">
        <v>184</v>
      </c>
      <c r="C117" s="34">
        <f>[3]С4!F29</f>
        <v>299.51497130533357</v>
      </c>
    </row>
    <row r="118" spans="1:3" ht="30" x14ac:dyDescent="0.2">
      <c r="A118" s="59" t="s">
        <v>185</v>
      </c>
      <c r="B118" s="39" t="s">
        <v>186</v>
      </c>
      <c r="C118" s="34">
        <f>[3]С4!F30</f>
        <v>2783.2980071291104</v>
      </c>
    </row>
    <row r="119" spans="1:3" ht="42.75" x14ac:dyDescent="0.2">
      <c r="A119" s="59" t="s">
        <v>187</v>
      </c>
      <c r="B119" s="86" t="s">
        <v>188</v>
      </c>
      <c r="C119" s="34">
        <f>[3]С4!F33</f>
        <v>1543.983980758233</v>
      </c>
    </row>
    <row r="120" spans="1:3" ht="30" x14ac:dyDescent="0.2">
      <c r="A120" s="59" t="s">
        <v>189</v>
      </c>
      <c r="B120" s="87" t="s">
        <v>190</v>
      </c>
      <c r="C120" s="34">
        <f>[3]С4!F35</f>
        <v>18.902267999999999</v>
      </c>
    </row>
    <row r="121" spans="1:3" ht="14.25" x14ac:dyDescent="0.2">
      <c r="A121" s="59" t="s">
        <v>191</v>
      </c>
      <c r="B121" s="56" t="s">
        <v>192</v>
      </c>
      <c r="C121" s="34">
        <f>[3]С4!F36</f>
        <v>14319.9</v>
      </c>
    </row>
    <row r="122" spans="1:3" ht="43.5" customHeight="1" thickBot="1" x14ac:dyDescent="0.25">
      <c r="A122" s="72" t="s">
        <v>193</v>
      </c>
      <c r="B122" s="88" t="s">
        <v>194</v>
      </c>
      <c r="C122" s="83">
        <f>[3]С4!F37</f>
        <v>1.32</v>
      </c>
    </row>
    <row r="123" spans="1:3" s="89" customFormat="1" ht="13.5" thickBot="1" x14ac:dyDescent="0.25">
      <c r="A123" s="47"/>
      <c r="B123" s="75"/>
      <c r="C123" s="15"/>
    </row>
    <row r="124" spans="1:3" s="63" customFormat="1" ht="30" customHeight="1" x14ac:dyDescent="0.2">
      <c r="A124" s="76" t="s">
        <v>195</v>
      </c>
      <c r="B124" s="145" t="s">
        <v>196</v>
      </c>
      <c r="C124" s="145"/>
    </row>
    <row r="125" spans="1:3" ht="16.5" thickBot="1" x14ac:dyDescent="0.25">
      <c r="A125" s="27" t="s">
        <v>197</v>
      </c>
      <c r="B125" s="90" t="s">
        <v>198</v>
      </c>
      <c r="C125" s="83">
        <f>[3]С5!F17</f>
        <v>0.02</v>
      </c>
    </row>
    <row r="126" spans="1:3" s="89" customFormat="1" ht="13.5" thickBot="1" x14ac:dyDescent="0.25">
      <c r="A126" s="47"/>
      <c r="B126" s="75"/>
      <c r="C126" s="15"/>
    </row>
    <row r="127" spans="1:3" ht="42.75" customHeight="1" x14ac:dyDescent="0.2">
      <c r="A127" s="84" t="s">
        <v>199</v>
      </c>
      <c r="B127" s="146" t="s">
        <v>200</v>
      </c>
      <c r="C127" s="146"/>
    </row>
    <row r="128" spans="1:3" ht="68.25" x14ac:dyDescent="0.2">
      <c r="A128" s="59" t="s">
        <v>201</v>
      </c>
      <c r="B128" s="91" t="s">
        <v>202</v>
      </c>
      <c r="C128" s="34" t="s">
        <v>203</v>
      </c>
    </row>
    <row r="129" spans="1:3" ht="42.75" hidden="1" x14ac:dyDescent="0.2">
      <c r="A129" s="59" t="s">
        <v>204</v>
      </c>
      <c r="B129" s="86" t="s">
        <v>205</v>
      </c>
      <c r="C129" s="92"/>
    </row>
    <row r="130" spans="1:3" ht="69" thickBot="1" x14ac:dyDescent="0.25">
      <c r="A130" s="72" t="s">
        <v>206</v>
      </c>
      <c r="B130" s="93" t="s">
        <v>207</v>
      </c>
      <c r="C130" s="94" t="s">
        <v>203</v>
      </c>
    </row>
    <row r="131" spans="1:3" ht="62.25" hidden="1" customHeight="1" x14ac:dyDescent="0.2">
      <c r="A131" s="95" t="s">
        <v>208</v>
      </c>
      <c r="B131" s="96" t="s">
        <v>209</v>
      </c>
      <c r="C131" s="97"/>
    </row>
    <row r="132" spans="1:3" ht="68.25" hidden="1" x14ac:dyDescent="0.2">
      <c r="A132" s="59" t="s">
        <v>210</v>
      </c>
      <c r="B132" s="86" t="s">
        <v>211</v>
      </c>
      <c r="C132" s="35"/>
    </row>
    <row r="133" spans="1:3" ht="69" hidden="1" thickBot="1" x14ac:dyDescent="0.25">
      <c r="A133" s="72" t="s">
        <v>212</v>
      </c>
      <c r="B133" s="98" t="s">
        <v>213</v>
      </c>
      <c r="C133" s="74"/>
    </row>
    <row r="134" spans="1:3" s="89" customFormat="1" ht="13.5" thickBot="1" x14ac:dyDescent="0.25">
      <c r="A134" s="47"/>
      <c r="B134" s="75"/>
      <c r="C134" s="15"/>
    </row>
    <row r="135" spans="1:3" ht="26.25" customHeight="1" x14ac:dyDescent="0.2">
      <c r="A135" s="84" t="s">
        <v>214</v>
      </c>
      <c r="B135" s="99" t="s">
        <v>215</v>
      </c>
      <c r="C135" s="100">
        <f>[3]С2!F37</f>
        <v>20.818139999999996</v>
      </c>
    </row>
    <row r="136" spans="1:3" ht="14.25" x14ac:dyDescent="0.2">
      <c r="A136" s="59" t="s">
        <v>216</v>
      </c>
      <c r="B136" s="101" t="s">
        <v>217</v>
      </c>
      <c r="C136" s="34">
        <f>[3]С2!F38</f>
        <v>7</v>
      </c>
    </row>
    <row r="137" spans="1:3" ht="17.25" x14ac:dyDescent="0.2">
      <c r="A137" s="59" t="s">
        <v>218</v>
      </c>
      <c r="B137" s="101" t="s">
        <v>219</v>
      </c>
      <c r="C137" s="34">
        <f>[3]С2!F40</f>
        <v>0.97</v>
      </c>
    </row>
    <row r="138" spans="1:3" ht="15" thickBot="1" x14ac:dyDescent="0.25">
      <c r="A138" s="72" t="s">
        <v>220</v>
      </c>
      <c r="B138" s="102" t="s">
        <v>221</v>
      </c>
      <c r="C138" s="46">
        <f>[3]С2!F42</f>
        <v>0.35</v>
      </c>
    </row>
    <row r="139" spans="1:3" s="89" customFormat="1" ht="13.5" thickBot="1" x14ac:dyDescent="0.25">
      <c r="A139" s="47"/>
      <c r="B139" s="75"/>
      <c r="C139" s="15"/>
    </row>
    <row r="140" spans="1:3" ht="30" x14ac:dyDescent="0.2">
      <c r="A140" s="84" t="s">
        <v>222</v>
      </c>
      <c r="B140" s="103" t="s">
        <v>223</v>
      </c>
      <c r="C140" s="104">
        <f>[3]С2!F35</f>
        <v>1.7157947422665329</v>
      </c>
    </row>
    <row r="141" spans="1:3" ht="22.7" customHeight="1" thickBot="1" x14ac:dyDescent="0.25">
      <c r="A141" s="72" t="s">
        <v>224</v>
      </c>
      <c r="B141" s="141" t="s">
        <v>225</v>
      </c>
      <c r="C141" s="141"/>
    </row>
    <row r="142" spans="1:3" ht="13.5" thickBot="1" x14ac:dyDescent="0.25">
      <c r="A142" s="105"/>
      <c r="B142" s="106" t="s">
        <v>226</v>
      </c>
      <c r="C142" s="107"/>
    </row>
    <row r="143" spans="1:3" x14ac:dyDescent="0.2">
      <c r="A143" s="105"/>
      <c r="B143" s="108">
        <v>2020</v>
      </c>
      <c r="C143" s="109">
        <f>[3]С2.5!$E$11</f>
        <v>-2.9000000000000026E-2</v>
      </c>
    </row>
    <row r="144" spans="1:3" x14ac:dyDescent="0.2">
      <c r="A144" s="105"/>
      <c r="B144" s="110">
        <f>B143+1</f>
        <v>2021</v>
      </c>
      <c r="C144" s="111">
        <f>[3]С2.5!$F$11</f>
        <v>0.245</v>
      </c>
    </row>
    <row r="145" spans="1:3" x14ac:dyDescent="0.2">
      <c r="A145" s="105"/>
      <c r="B145" s="110">
        <f t="shared" ref="B145:B208" si="0">B144+1</f>
        <v>2022</v>
      </c>
      <c r="C145" s="111">
        <f>[3]С2.5!$G$11</f>
        <v>0.114</v>
      </c>
    </row>
    <row r="146" spans="1:3" ht="13.5" thickBot="1" x14ac:dyDescent="0.25">
      <c r="A146" s="105"/>
      <c r="B146" s="112">
        <f t="shared" si="0"/>
        <v>2023</v>
      </c>
      <c r="C146" s="113">
        <f>[3]С2.5!$H$11</f>
        <v>0.04</v>
      </c>
    </row>
    <row r="147" spans="1:3" x14ac:dyDescent="0.2">
      <c r="A147" s="105"/>
      <c r="B147" s="114">
        <f t="shared" si="0"/>
        <v>2024</v>
      </c>
      <c r="C147" s="115">
        <f>[3]С2.5!$I$11</f>
        <v>0.121</v>
      </c>
    </row>
    <row r="148" spans="1:3" x14ac:dyDescent="0.2">
      <c r="A148" s="105"/>
      <c r="B148" s="110">
        <f t="shared" si="0"/>
        <v>2025</v>
      </c>
      <c r="C148" s="111">
        <f>[3]С2.5!$J$11</f>
        <v>0.03</v>
      </c>
    </row>
    <row r="149" spans="1:3" x14ac:dyDescent="0.2">
      <c r="A149" s="105"/>
      <c r="B149" s="110">
        <f t="shared" si="0"/>
        <v>2026</v>
      </c>
      <c r="C149" s="111">
        <f>[3]С2.5!$K$11</f>
        <v>6.0999999999999999E-2</v>
      </c>
    </row>
    <row r="150" spans="1:3" hidden="1" x14ac:dyDescent="0.2">
      <c r="A150" s="105"/>
      <c r="B150" s="110">
        <f t="shared" si="0"/>
        <v>2027</v>
      </c>
      <c r="C150" s="111">
        <f>[3]С2.5!$L$11</f>
        <v>3.2682303599220003E-2</v>
      </c>
    </row>
    <row r="151" spans="1:3" hidden="1" x14ac:dyDescent="0.2">
      <c r="A151" s="105"/>
      <c r="B151" s="110">
        <f t="shared" si="0"/>
        <v>2028</v>
      </c>
      <c r="C151" s="111">
        <f>[3]С2.5!$M$11</f>
        <v>0</v>
      </c>
    </row>
    <row r="152" spans="1:3" hidden="1" x14ac:dyDescent="0.2">
      <c r="A152" s="105"/>
      <c r="B152" s="110">
        <f t="shared" si="0"/>
        <v>2029</v>
      </c>
      <c r="C152" s="111">
        <f>[3]С2.5!$N$11</f>
        <v>0</v>
      </c>
    </row>
    <row r="153" spans="1:3" hidden="1" x14ac:dyDescent="0.2">
      <c r="A153" s="105"/>
      <c r="B153" s="110">
        <f t="shared" si="0"/>
        <v>2030</v>
      </c>
      <c r="C153" s="111">
        <f>[3]С2.5!$O$11</f>
        <v>0</v>
      </c>
    </row>
    <row r="154" spans="1:3" hidden="1" x14ac:dyDescent="0.2">
      <c r="A154" s="105"/>
      <c r="B154" s="110">
        <f t="shared" si="0"/>
        <v>2031</v>
      </c>
      <c r="C154" s="111">
        <f>[3]С2.5!$P$11</f>
        <v>0</v>
      </c>
    </row>
    <row r="155" spans="1:3" hidden="1" x14ac:dyDescent="0.2">
      <c r="A155" s="89"/>
      <c r="B155" s="110">
        <f t="shared" si="0"/>
        <v>2032</v>
      </c>
      <c r="C155" s="111">
        <f>[3]С2.5!$Q$11</f>
        <v>0</v>
      </c>
    </row>
    <row r="156" spans="1:3" hidden="1" x14ac:dyDescent="0.2">
      <c r="A156" s="89"/>
      <c r="B156" s="110">
        <f t="shared" si="0"/>
        <v>2033</v>
      </c>
      <c r="C156" s="111">
        <f>[3]С2.5!$R$11</f>
        <v>0</v>
      </c>
    </row>
    <row r="157" spans="1:3" hidden="1" x14ac:dyDescent="0.2">
      <c r="B157" s="110">
        <f t="shared" si="0"/>
        <v>2034</v>
      </c>
      <c r="C157" s="111">
        <f>[3]С2.5!$S$11</f>
        <v>0</v>
      </c>
    </row>
    <row r="158" spans="1:3" hidden="1" x14ac:dyDescent="0.2">
      <c r="B158" s="110">
        <f t="shared" si="0"/>
        <v>2035</v>
      </c>
      <c r="C158" s="111">
        <f>[3]С2.5!$T$11</f>
        <v>0</v>
      </c>
    </row>
    <row r="159" spans="1:3" hidden="1" x14ac:dyDescent="0.2">
      <c r="B159" s="110">
        <f t="shared" si="0"/>
        <v>2036</v>
      </c>
      <c r="C159" s="111">
        <f>[3]С2.5!$U$11</f>
        <v>0</v>
      </c>
    </row>
    <row r="160" spans="1:3" hidden="1" x14ac:dyDescent="0.2">
      <c r="B160" s="110">
        <f t="shared" si="0"/>
        <v>2037</v>
      </c>
      <c r="C160" s="111">
        <f>[3]С2.5!$V$11</f>
        <v>0</v>
      </c>
    </row>
    <row r="161" spans="2:3" hidden="1" x14ac:dyDescent="0.2">
      <c r="B161" s="110">
        <f t="shared" si="0"/>
        <v>2038</v>
      </c>
      <c r="C161" s="111">
        <f>[3]С2.5!$W$11</f>
        <v>0</v>
      </c>
    </row>
    <row r="162" spans="2:3" hidden="1" x14ac:dyDescent="0.2">
      <c r="B162" s="110">
        <f t="shared" si="0"/>
        <v>2039</v>
      </c>
      <c r="C162" s="111">
        <f>[3]С2.5!$X$11</f>
        <v>0</v>
      </c>
    </row>
    <row r="163" spans="2:3" hidden="1" x14ac:dyDescent="0.2">
      <c r="B163" s="110">
        <f t="shared" si="0"/>
        <v>2040</v>
      </c>
      <c r="C163" s="111">
        <f>[3]С2.5!$Y$11</f>
        <v>0</v>
      </c>
    </row>
    <row r="164" spans="2:3" hidden="1" x14ac:dyDescent="0.2">
      <c r="B164" s="110">
        <f t="shared" si="0"/>
        <v>2041</v>
      </c>
      <c r="C164" s="111">
        <f>[3]С2.5!$Z$11</f>
        <v>0</v>
      </c>
    </row>
    <row r="165" spans="2:3" hidden="1" x14ac:dyDescent="0.2">
      <c r="B165" s="110">
        <f t="shared" si="0"/>
        <v>2042</v>
      </c>
      <c r="C165" s="111">
        <f>[3]С2.5!$AA$11</f>
        <v>0</v>
      </c>
    </row>
    <row r="166" spans="2:3" hidden="1" x14ac:dyDescent="0.2">
      <c r="B166" s="110">
        <f t="shared" si="0"/>
        <v>2043</v>
      </c>
      <c r="C166" s="111">
        <f>[3]С2.5!$AB$11</f>
        <v>0</v>
      </c>
    </row>
    <row r="167" spans="2:3" hidden="1" x14ac:dyDescent="0.2">
      <c r="B167" s="110">
        <f t="shared" si="0"/>
        <v>2044</v>
      </c>
      <c r="C167" s="111">
        <f>[3]С2.5!$AC$11</f>
        <v>0</v>
      </c>
    </row>
    <row r="168" spans="2:3" hidden="1" x14ac:dyDescent="0.2">
      <c r="B168" s="110">
        <f t="shared" si="0"/>
        <v>2045</v>
      </c>
      <c r="C168" s="111">
        <f>[3]С2.5!$AD$11</f>
        <v>0</v>
      </c>
    </row>
    <row r="169" spans="2:3" hidden="1" x14ac:dyDescent="0.2">
      <c r="B169" s="110">
        <f t="shared" si="0"/>
        <v>2046</v>
      </c>
      <c r="C169" s="111">
        <f>[3]С2.5!$AE$11</f>
        <v>0</v>
      </c>
    </row>
    <row r="170" spans="2:3" hidden="1" x14ac:dyDescent="0.2">
      <c r="B170" s="110">
        <f t="shared" si="0"/>
        <v>2047</v>
      </c>
      <c r="C170" s="111">
        <f>[3]С2.5!$AF$11</f>
        <v>0</v>
      </c>
    </row>
    <row r="171" spans="2:3" hidden="1" x14ac:dyDescent="0.2">
      <c r="B171" s="110">
        <f t="shared" si="0"/>
        <v>2048</v>
      </c>
      <c r="C171" s="111">
        <f>[3]С2.5!$AG$11</f>
        <v>0</v>
      </c>
    </row>
    <row r="172" spans="2:3" hidden="1" x14ac:dyDescent="0.2">
      <c r="B172" s="110">
        <f t="shared" si="0"/>
        <v>2049</v>
      </c>
      <c r="C172" s="111">
        <f>[3]С2.5!$AH$11</f>
        <v>0</v>
      </c>
    </row>
    <row r="173" spans="2:3" hidden="1" x14ac:dyDescent="0.2">
      <c r="B173" s="110">
        <f t="shared" si="0"/>
        <v>2050</v>
      </c>
      <c r="C173" s="111">
        <f>[3]С2.5!$AI$11</f>
        <v>0</v>
      </c>
    </row>
    <row r="174" spans="2:3" hidden="1" x14ac:dyDescent="0.2">
      <c r="B174" s="110">
        <f t="shared" si="0"/>
        <v>2051</v>
      </c>
      <c r="C174" s="111">
        <f>[3]С2.5!$AJ$11</f>
        <v>0</v>
      </c>
    </row>
    <row r="175" spans="2:3" hidden="1" x14ac:dyDescent="0.2">
      <c r="B175" s="110">
        <f t="shared" si="0"/>
        <v>2052</v>
      </c>
      <c r="C175" s="111">
        <f>[3]С2.5!$AK$11</f>
        <v>0</v>
      </c>
    </row>
    <row r="176" spans="2:3" hidden="1" x14ac:dyDescent="0.2">
      <c r="B176" s="110">
        <f t="shared" si="0"/>
        <v>2053</v>
      </c>
      <c r="C176" s="111">
        <f>[3]С2.5!$AL$11</f>
        <v>0</v>
      </c>
    </row>
    <row r="177" spans="2:3" hidden="1" x14ac:dyDescent="0.2">
      <c r="B177" s="110">
        <f t="shared" si="0"/>
        <v>2054</v>
      </c>
      <c r="C177" s="111">
        <f>[3]С2.5!$AM$11</f>
        <v>0</v>
      </c>
    </row>
    <row r="178" spans="2:3" hidden="1" x14ac:dyDescent="0.2">
      <c r="B178" s="110">
        <f t="shared" si="0"/>
        <v>2055</v>
      </c>
      <c r="C178" s="111">
        <f>[3]С2.5!$AN$11</f>
        <v>0</v>
      </c>
    </row>
    <row r="179" spans="2:3" hidden="1" x14ac:dyDescent="0.2">
      <c r="B179" s="110">
        <f t="shared" si="0"/>
        <v>2056</v>
      </c>
      <c r="C179" s="111">
        <f>[3]С2.5!$AO$11</f>
        <v>0</v>
      </c>
    </row>
    <row r="180" spans="2:3" hidden="1" x14ac:dyDescent="0.2">
      <c r="B180" s="110">
        <f t="shared" si="0"/>
        <v>2057</v>
      </c>
      <c r="C180" s="111">
        <f>[3]С2.5!$AP$11</f>
        <v>0</v>
      </c>
    </row>
    <row r="181" spans="2:3" hidden="1" x14ac:dyDescent="0.2">
      <c r="B181" s="110">
        <f t="shared" si="0"/>
        <v>2058</v>
      </c>
      <c r="C181" s="111">
        <f>[3]С2.5!$AQ$11</f>
        <v>0</v>
      </c>
    </row>
    <row r="182" spans="2:3" hidden="1" x14ac:dyDescent="0.2">
      <c r="B182" s="110">
        <f t="shared" si="0"/>
        <v>2059</v>
      </c>
      <c r="C182" s="111">
        <f>[3]С2.5!$AR$11</f>
        <v>0</v>
      </c>
    </row>
    <row r="183" spans="2:3" hidden="1" x14ac:dyDescent="0.2">
      <c r="B183" s="110">
        <f t="shared" si="0"/>
        <v>2060</v>
      </c>
      <c r="C183" s="111">
        <f>[3]С2.5!$AS$11</f>
        <v>0</v>
      </c>
    </row>
    <row r="184" spans="2:3" hidden="1" x14ac:dyDescent="0.2">
      <c r="B184" s="110">
        <f t="shared" si="0"/>
        <v>2061</v>
      </c>
      <c r="C184" s="111">
        <f>[3]С2.5!$AT$11</f>
        <v>0</v>
      </c>
    </row>
    <row r="185" spans="2:3" hidden="1" x14ac:dyDescent="0.2">
      <c r="B185" s="110">
        <f t="shared" si="0"/>
        <v>2062</v>
      </c>
      <c r="C185" s="111">
        <f>[3]С2.5!$AU$11</f>
        <v>0</v>
      </c>
    </row>
    <row r="186" spans="2:3" hidden="1" x14ac:dyDescent="0.2">
      <c r="B186" s="110">
        <f t="shared" si="0"/>
        <v>2063</v>
      </c>
      <c r="C186" s="111">
        <f>[3]С2.5!$AV$11</f>
        <v>0</v>
      </c>
    </row>
    <row r="187" spans="2:3" hidden="1" x14ac:dyDescent="0.2">
      <c r="B187" s="110">
        <f t="shared" si="0"/>
        <v>2064</v>
      </c>
      <c r="C187" s="111">
        <f>[3]С2.5!$AW$11</f>
        <v>0</v>
      </c>
    </row>
    <row r="188" spans="2:3" hidden="1" x14ac:dyDescent="0.2">
      <c r="B188" s="110">
        <f t="shared" si="0"/>
        <v>2065</v>
      </c>
      <c r="C188" s="111">
        <f>[3]С2.5!$AX$11</f>
        <v>0</v>
      </c>
    </row>
    <row r="189" spans="2:3" hidden="1" x14ac:dyDescent="0.2">
      <c r="B189" s="110">
        <f t="shared" si="0"/>
        <v>2066</v>
      </c>
      <c r="C189" s="111">
        <f>[3]С2.5!$AY$11</f>
        <v>0</v>
      </c>
    </row>
    <row r="190" spans="2:3" hidden="1" x14ac:dyDescent="0.2">
      <c r="B190" s="110">
        <f t="shared" si="0"/>
        <v>2067</v>
      </c>
      <c r="C190" s="111">
        <f>[3]С2.5!$AZ$11</f>
        <v>0</v>
      </c>
    </row>
    <row r="191" spans="2:3" hidden="1" x14ac:dyDescent="0.2">
      <c r="B191" s="110">
        <f t="shared" si="0"/>
        <v>2068</v>
      </c>
      <c r="C191" s="111">
        <f>[3]С2.5!$BA$11</f>
        <v>0</v>
      </c>
    </row>
    <row r="192" spans="2:3" hidden="1" x14ac:dyDescent="0.2">
      <c r="B192" s="110">
        <f t="shared" si="0"/>
        <v>2069</v>
      </c>
      <c r="C192" s="111">
        <f>[3]С2.5!$BB$11</f>
        <v>0</v>
      </c>
    </row>
    <row r="193" spans="2:3" hidden="1" x14ac:dyDescent="0.2">
      <c r="B193" s="110">
        <f t="shared" si="0"/>
        <v>2070</v>
      </c>
      <c r="C193" s="111">
        <f>[3]С2.5!$BC$11</f>
        <v>0</v>
      </c>
    </row>
    <row r="194" spans="2:3" hidden="1" x14ac:dyDescent="0.2">
      <c r="B194" s="110">
        <f t="shared" si="0"/>
        <v>2071</v>
      </c>
      <c r="C194" s="111">
        <f>[3]С2.5!$BD$11</f>
        <v>0</v>
      </c>
    </row>
    <row r="195" spans="2:3" hidden="1" x14ac:dyDescent="0.2">
      <c r="B195" s="110">
        <f t="shared" si="0"/>
        <v>2072</v>
      </c>
      <c r="C195" s="111">
        <f>[3]С2.5!$BE$11</f>
        <v>0</v>
      </c>
    </row>
    <row r="196" spans="2:3" hidden="1" x14ac:dyDescent="0.2">
      <c r="B196" s="110">
        <f t="shared" si="0"/>
        <v>2073</v>
      </c>
      <c r="C196" s="111">
        <f>[3]С2.5!$BF$11</f>
        <v>0</v>
      </c>
    </row>
    <row r="197" spans="2:3" hidden="1" x14ac:dyDescent="0.2">
      <c r="B197" s="110">
        <f t="shared" si="0"/>
        <v>2074</v>
      </c>
      <c r="C197" s="111">
        <f>[3]С2.5!$BG$11</f>
        <v>0</v>
      </c>
    </row>
    <row r="198" spans="2:3" hidden="1" x14ac:dyDescent="0.2">
      <c r="B198" s="110">
        <f t="shared" si="0"/>
        <v>2075</v>
      </c>
      <c r="C198" s="111">
        <f>[3]С2.5!$BH$11</f>
        <v>0</v>
      </c>
    </row>
    <row r="199" spans="2:3" hidden="1" x14ac:dyDescent="0.2">
      <c r="B199" s="110">
        <f t="shared" si="0"/>
        <v>2076</v>
      </c>
      <c r="C199" s="111">
        <f>[3]С2.5!$BI$11</f>
        <v>0</v>
      </c>
    </row>
    <row r="200" spans="2:3" hidden="1" x14ac:dyDescent="0.2">
      <c r="B200" s="110">
        <f t="shared" si="0"/>
        <v>2077</v>
      </c>
      <c r="C200" s="111">
        <f>[3]С2.5!$BJ$11</f>
        <v>0</v>
      </c>
    </row>
    <row r="201" spans="2:3" hidden="1" x14ac:dyDescent="0.2">
      <c r="B201" s="110">
        <f t="shared" si="0"/>
        <v>2078</v>
      </c>
      <c r="C201" s="111">
        <f>[3]С2.5!$BK$11</f>
        <v>0</v>
      </c>
    </row>
    <row r="202" spans="2:3" hidden="1" x14ac:dyDescent="0.2">
      <c r="B202" s="110">
        <f t="shared" si="0"/>
        <v>2079</v>
      </c>
      <c r="C202" s="111">
        <f>[3]С2.5!$BL$11</f>
        <v>0</v>
      </c>
    </row>
    <row r="203" spans="2:3" hidden="1" x14ac:dyDescent="0.2">
      <c r="B203" s="110">
        <f t="shared" si="0"/>
        <v>2080</v>
      </c>
      <c r="C203" s="111">
        <f>[3]С2.5!$BM$11</f>
        <v>0</v>
      </c>
    </row>
    <row r="204" spans="2:3" hidden="1" x14ac:dyDescent="0.2">
      <c r="B204" s="110">
        <f t="shared" si="0"/>
        <v>2081</v>
      </c>
      <c r="C204" s="111">
        <f>[3]С2.5!$BN$11</f>
        <v>0</v>
      </c>
    </row>
    <row r="205" spans="2:3" hidden="1" x14ac:dyDescent="0.2">
      <c r="B205" s="110">
        <f t="shared" si="0"/>
        <v>2082</v>
      </c>
      <c r="C205" s="111">
        <f>[3]С2.5!$BO$11</f>
        <v>0</v>
      </c>
    </row>
    <row r="206" spans="2:3" hidden="1" x14ac:dyDescent="0.2">
      <c r="B206" s="110">
        <f t="shared" si="0"/>
        <v>2083</v>
      </c>
      <c r="C206" s="111">
        <f>[3]С2.5!$BP$11</f>
        <v>0</v>
      </c>
    </row>
    <row r="207" spans="2:3" hidden="1" x14ac:dyDescent="0.2">
      <c r="B207" s="110">
        <f t="shared" si="0"/>
        <v>2084</v>
      </c>
      <c r="C207" s="111">
        <f>[3]С2.5!$BQ$11</f>
        <v>0</v>
      </c>
    </row>
    <row r="208" spans="2:3" hidden="1" x14ac:dyDescent="0.2">
      <c r="B208" s="110">
        <f t="shared" si="0"/>
        <v>2085</v>
      </c>
      <c r="C208" s="111">
        <f>[3]С2.5!$BR$11</f>
        <v>0</v>
      </c>
    </row>
    <row r="209" spans="2:3" hidden="1" x14ac:dyDescent="0.2">
      <c r="B209" s="110">
        <f t="shared" ref="B209:B223" si="1">B208+1</f>
        <v>2086</v>
      </c>
      <c r="C209" s="111">
        <f>[3]С2.5!$BS$11</f>
        <v>0</v>
      </c>
    </row>
    <row r="210" spans="2:3" hidden="1" x14ac:dyDescent="0.2">
      <c r="B210" s="110">
        <f t="shared" si="1"/>
        <v>2087</v>
      </c>
      <c r="C210" s="111">
        <f>[3]С2.5!$BT$11</f>
        <v>0</v>
      </c>
    </row>
    <row r="211" spans="2:3" hidden="1" x14ac:dyDescent="0.2">
      <c r="B211" s="110">
        <f t="shared" si="1"/>
        <v>2088</v>
      </c>
      <c r="C211" s="111">
        <f>[3]С2.5!$BU$11</f>
        <v>0</v>
      </c>
    </row>
    <row r="212" spans="2:3" hidden="1" x14ac:dyDescent="0.2">
      <c r="B212" s="110">
        <f t="shared" si="1"/>
        <v>2089</v>
      </c>
      <c r="C212" s="111">
        <f>[3]С2.5!$BV$11</f>
        <v>0</v>
      </c>
    </row>
    <row r="213" spans="2:3" hidden="1" x14ac:dyDescent="0.2">
      <c r="B213" s="110">
        <f t="shared" si="1"/>
        <v>2090</v>
      </c>
      <c r="C213" s="111">
        <f>[3]С2.5!$BW$11</f>
        <v>0</v>
      </c>
    </row>
    <row r="214" spans="2:3" hidden="1" x14ac:dyDescent="0.2">
      <c r="B214" s="110">
        <f t="shared" si="1"/>
        <v>2091</v>
      </c>
      <c r="C214" s="111">
        <f>[3]С2.5!$BX$11</f>
        <v>0</v>
      </c>
    </row>
    <row r="215" spans="2:3" hidden="1" x14ac:dyDescent="0.2">
      <c r="B215" s="110">
        <f t="shared" si="1"/>
        <v>2092</v>
      </c>
      <c r="C215" s="111">
        <f>[3]С2.5!$BY$11</f>
        <v>0</v>
      </c>
    </row>
    <row r="216" spans="2:3" hidden="1" x14ac:dyDescent="0.2">
      <c r="B216" s="110">
        <f t="shared" si="1"/>
        <v>2093</v>
      </c>
      <c r="C216" s="111">
        <f>[3]С2.5!$BZ$11</f>
        <v>0</v>
      </c>
    </row>
    <row r="217" spans="2:3" hidden="1" x14ac:dyDescent="0.2">
      <c r="B217" s="110">
        <f t="shared" si="1"/>
        <v>2094</v>
      </c>
      <c r="C217" s="111">
        <f>[3]С2.5!$CA$11</f>
        <v>0</v>
      </c>
    </row>
    <row r="218" spans="2:3" hidden="1" x14ac:dyDescent="0.2">
      <c r="B218" s="110">
        <f t="shared" si="1"/>
        <v>2095</v>
      </c>
      <c r="C218" s="111">
        <f>[3]С2.5!$CB$11</f>
        <v>0</v>
      </c>
    </row>
    <row r="219" spans="2:3" hidden="1" x14ac:dyDescent="0.2">
      <c r="B219" s="110">
        <f t="shared" si="1"/>
        <v>2096</v>
      </c>
      <c r="C219" s="111">
        <f>[3]С2.5!$CC$11</f>
        <v>0</v>
      </c>
    </row>
    <row r="220" spans="2:3" hidden="1" x14ac:dyDescent="0.2">
      <c r="B220" s="110">
        <f t="shared" si="1"/>
        <v>2097</v>
      </c>
      <c r="C220" s="111">
        <f>[3]С2.5!$CD$11</f>
        <v>0</v>
      </c>
    </row>
    <row r="221" spans="2:3" hidden="1" x14ac:dyDescent="0.2">
      <c r="B221" s="110">
        <f t="shared" si="1"/>
        <v>2098</v>
      </c>
      <c r="C221" s="111">
        <f>[3]С2.5!$CE$11</f>
        <v>0</v>
      </c>
    </row>
    <row r="222" spans="2:3" hidden="1" x14ac:dyDescent="0.2">
      <c r="B222" s="110">
        <f t="shared" si="1"/>
        <v>2099</v>
      </c>
      <c r="C222" s="111">
        <f>[3]С2.5!$CF$11</f>
        <v>0</v>
      </c>
    </row>
    <row r="223" spans="2:3" ht="13.5" hidden="1" thickBot="1" x14ac:dyDescent="0.25">
      <c r="B223" s="112">
        <f t="shared" si="1"/>
        <v>2100</v>
      </c>
      <c r="C223" s="113">
        <f>[3]С2.5!$CG$11</f>
        <v>0</v>
      </c>
    </row>
    <row r="224" spans="2:3" hidden="1" x14ac:dyDescent="0.2">
      <c r="C224" s="116"/>
    </row>
    <row r="225" spans="3:3" hidden="1" x14ac:dyDescent="0.2">
      <c r="C225" s="116"/>
    </row>
    <row r="226" spans="3:3" x14ac:dyDescent="0.2">
      <c r="C226" s="116"/>
    </row>
  </sheetData>
  <mergeCells count="9">
    <mergeCell ref="B141:C141"/>
    <mergeCell ref="A14:C14"/>
    <mergeCell ref="B1:C1"/>
    <mergeCell ref="B27:C27"/>
    <mergeCell ref="B40:C40"/>
    <mergeCell ref="B84:C84"/>
    <mergeCell ref="B95:C95"/>
    <mergeCell ref="B124:C124"/>
    <mergeCell ref="B127:C127"/>
  </mergeCell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26"/>
  <sheetViews>
    <sheetView workbookViewId="0">
      <selection activeCell="C7" sqref="C7"/>
    </sheetView>
  </sheetViews>
  <sheetFormatPr defaultRowHeight="12.75" x14ac:dyDescent="0.2"/>
  <cols>
    <col min="1" max="1" width="9.140625" style="2" customWidth="1"/>
    <col min="2" max="2" width="100.5703125" style="2" customWidth="1"/>
    <col min="3" max="3" width="20.85546875" style="7" customWidth="1"/>
    <col min="4" max="243" width="9.140625" style="2"/>
    <col min="244" max="244" width="3.5703125" style="2" customWidth="1"/>
    <col min="245" max="245" width="96.85546875" style="2" customWidth="1"/>
    <col min="246" max="246" width="30.85546875" style="2" customWidth="1"/>
    <col min="247" max="247" width="12.5703125" style="2" customWidth="1"/>
    <col min="248" max="248" width="5.140625" style="2" customWidth="1"/>
    <col min="249" max="249" width="9.140625" style="2"/>
    <col min="250" max="250" width="4.85546875" style="2" customWidth="1"/>
    <col min="251" max="251" width="30.5703125" style="2" customWidth="1"/>
    <col min="252" max="252" width="33.85546875" style="2" customWidth="1"/>
    <col min="253" max="253" width="5.140625" style="2" customWidth="1"/>
    <col min="254" max="255" width="17.5703125" style="2" customWidth="1"/>
    <col min="256" max="499" width="9.140625" style="2"/>
    <col min="500" max="500" width="3.5703125" style="2" customWidth="1"/>
    <col min="501" max="501" width="96.85546875" style="2" customWidth="1"/>
    <col min="502" max="502" width="30.85546875" style="2" customWidth="1"/>
    <col min="503" max="503" width="12.5703125" style="2" customWidth="1"/>
    <col min="504" max="504" width="5.140625" style="2" customWidth="1"/>
    <col min="505" max="505" width="9.140625" style="2"/>
    <col min="506" max="506" width="4.85546875" style="2" customWidth="1"/>
    <col min="507" max="507" width="30.5703125" style="2" customWidth="1"/>
    <col min="508" max="508" width="33.85546875" style="2" customWidth="1"/>
    <col min="509" max="509" width="5.140625" style="2" customWidth="1"/>
    <col min="510" max="511" width="17.5703125" style="2" customWidth="1"/>
    <col min="512" max="755" width="9.140625" style="2"/>
    <col min="756" max="756" width="3.5703125" style="2" customWidth="1"/>
    <col min="757" max="757" width="96.85546875" style="2" customWidth="1"/>
    <col min="758" max="758" width="30.85546875" style="2" customWidth="1"/>
    <col min="759" max="759" width="12.5703125" style="2" customWidth="1"/>
    <col min="760" max="760" width="5.140625" style="2" customWidth="1"/>
    <col min="761" max="761" width="9.140625" style="2"/>
    <col min="762" max="762" width="4.85546875" style="2" customWidth="1"/>
    <col min="763" max="763" width="30.5703125" style="2" customWidth="1"/>
    <col min="764" max="764" width="33.85546875" style="2" customWidth="1"/>
    <col min="765" max="765" width="5.140625" style="2" customWidth="1"/>
    <col min="766" max="767" width="17.5703125" style="2" customWidth="1"/>
    <col min="768" max="1011" width="9.140625" style="2"/>
    <col min="1012" max="1012" width="3.5703125" style="2" customWidth="1"/>
    <col min="1013" max="1013" width="96.85546875" style="2" customWidth="1"/>
    <col min="1014" max="1014" width="30.85546875" style="2" customWidth="1"/>
    <col min="1015" max="1015" width="12.5703125" style="2" customWidth="1"/>
    <col min="1016" max="1016" width="5.140625" style="2" customWidth="1"/>
    <col min="1017" max="1017" width="9.140625" style="2"/>
    <col min="1018" max="1018" width="4.85546875" style="2" customWidth="1"/>
    <col min="1019" max="1019" width="30.5703125" style="2" customWidth="1"/>
    <col min="1020" max="1020" width="33.85546875" style="2" customWidth="1"/>
    <col min="1021" max="1021" width="5.140625" style="2" customWidth="1"/>
    <col min="1022" max="1023" width="17.5703125" style="2" customWidth="1"/>
    <col min="1024" max="1267" width="9.140625" style="2"/>
    <col min="1268" max="1268" width="3.5703125" style="2" customWidth="1"/>
    <col min="1269" max="1269" width="96.85546875" style="2" customWidth="1"/>
    <col min="1270" max="1270" width="30.85546875" style="2" customWidth="1"/>
    <col min="1271" max="1271" width="12.5703125" style="2" customWidth="1"/>
    <col min="1272" max="1272" width="5.140625" style="2" customWidth="1"/>
    <col min="1273" max="1273" width="9.140625" style="2"/>
    <col min="1274" max="1274" width="4.85546875" style="2" customWidth="1"/>
    <col min="1275" max="1275" width="30.5703125" style="2" customWidth="1"/>
    <col min="1276" max="1276" width="33.85546875" style="2" customWidth="1"/>
    <col min="1277" max="1277" width="5.140625" style="2" customWidth="1"/>
    <col min="1278" max="1279" width="17.5703125" style="2" customWidth="1"/>
    <col min="1280" max="1523" width="9.140625" style="2"/>
    <col min="1524" max="1524" width="3.5703125" style="2" customWidth="1"/>
    <col min="1525" max="1525" width="96.85546875" style="2" customWidth="1"/>
    <col min="1526" max="1526" width="30.85546875" style="2" customWidth="1"/>
    <col min="1527" max="1527" width="12.5703125" style="2" customWidth="1"/>
    <col min="1528" max="1528" width="5.140625" style="2" customWidth="1"/>
    <col min="1529" max="1529" width="9.140625" style="2"/>
    <col min="1530" max="1530" width="4.85546875" style="2" customWidth="1"/>
    <col min="1531" max="1531" width="30.5703125" style="2" customWidth="1"/>
    <col min="1532" max="1532" width="33.85546875" style="2" customWidth="1"/>
    <col min="1533" max="1533" width="5.140625" style="2" customWidth="1"/>
    <col min="1534" max="1535" width="17.5703125" style="2" customWidth="1"/>
    <col min="1536" max="1779" width="9.140625" style="2"/>
    <col min="1780" max="1780" width="3.5703125" style="2" customWidth="1"/>
    <col min="1781" max="1781" width="96.85546875" style="2" customWidth="1"/>
    <col min="1782" max="1782" width="30.85546875" style="2" customWidth="1"/>
    <col min="1783" max="1783" width="12.5703125" style="2" customWidth="1"/>
    <col min="1784" max="1784" width="5.140625" style="2" customWidth="1"/>
    <col min="1785" max="1785" width="9.140625" style="2"/>
    <col min="1786" max="1786" width="4.85546875" style="2" customWidth="1"/>
    <col min="1787" max="1787" width="30.5703125" style="2" customWidth="1"/>
    <col min="1788" max="1788" width="33.85546875" style="2" customWidth="1"/>
    <col min="1789" max="1789" width="5.140625" style="2" customWidth="1"/>
    <col min="1790" max="1791" width="17.5703125" style="2" customWidth="1"/>
    <col min="1792" max="2035" width="9.140625" style="2"/>
    <col min="2036" max="2036" width="3.5703125" style="2" customWidth="1"/>
    <col min="2037" max="2037" width="96.85546875" style="2" customWidth="1"/>
    <col min="2038" max="2038" width="30.85546875" style="2" customWidth="1"/>
    <col min="2039" max="2039" width="12.5703125" style="2" customWidth="1"/>
    <col min="2040" max="2040" width="5.140625" style="2" customWidth="1"/>
    <col min="2041" max="2041" width="9.140625" style="2"/>
    <col min="2042" max="2042" width="4.85546875" style="2" customWidth="1"/>
    <col min="2043" max="2043" width="30.5703125" style="2" customWidth="1"/>
    <col min="2044" max="2044" width="33.85546875" style="2" customWidth="1"/>
    <col min="2045" max="2045" width="5.140625" style="2" customWidth="1"/>
    <col min="2046" max="2047" width="17.5703125" style="2" customWidth="1"/>
    <col min="2048" max="2291" width="9.140625" style="2"/>
    <col min="2292" max="2292" width="3.5703125" style="2" customWidth="1"/>
    <col min="2293" max="2293" width="96.85546875" style="2" customWidth="1"/>
    <col min="2294" max="2294" width="30.85546875" style="2" customWidth="1"/>
    <col min="2295" max="2295" width="12.5703125" style="2" customWidth="1"/>
    <col min="2296" max="2296" width="5.140625" style="2" customWidth="1"/>
    <col min="2297" max="2297" width="9.140625" style="2"/>
    <col min="2298" max="2298" width="4.85546875" style="2" customWidth="1"/>
    <col min="2299" max="2299" width="30.5703125" style="2" customWidth="1"/>
    <col min="2300" max="2300" width="33.85546875" style="2" customWidth="1"/>
    <col min="2301" max="2301" width="5.140625" style="2" customWidth="1"/>
    <col min="2302" max="2303" width="17.5703125" style="2" customWidth="1"/>
    <col min="2304" max="2547" width="9.140625" style="2"/>
    <col min="2548" max="2548" width="3.5703125" style="2" customWidth="1"/>
    <col min="2549" max="2549" width="96.85546875" style="2" customWidth="1"/>
    <col min="2550" max="2550" width="30.85546875" style="2" customWidth="1"/>
    <col min="2551" max="2551" width="12.5703125" style="2" customWidth="1"/>
    <col min="2552" max="2552" width="5.140625" style="2" customWidth="1"/>
    <col min="2553" max="2553" width="9.140625" style="2"/>
    <col min="2554" max="2554" width="4.85546875" style="2" customWidth="1"/>
    <col min="2555" max="2555" width="30.5703125" style="2" customWidth="1"/>
    <col min="2556" max="2556" width="33.85546875" style="2" customWidth="1"/>
    <col min="2557" max="2557" width="5.140625" style="2" customWidth="1"/>
    <col min="2558" max="2559" width="17.5703125" style="2" customWidth="1"/>
    <col min="2560" max="2803" width="9.140625" style="2"/>
    <col min="2804" max="2804" width="3.5703125" style="2" customWidth="1"/>
    <col min="2805" max="2805" width="96.85546875" style="2" customWidth="1"/>
    <col min="2806" max="2806" width="30.85546875" style="2" customWidth="1"/>
    <col min="2807" max="2807" width="12.5703125" style="2" customWidth="1"/>
    <col min="2808" max="2808" width="5.140625" style="2" customWidth="1"/>
    <col min="2809" max="2809" width="9.140625" style="2"/>
    <col min="2810" max="2810" width="4.85546875" style="2" customWidth="1"/>
    <col min="2811" max="2811" width="30.5703125" style="2" customWidth="1"/>
    <col min="2812" max="2812" width="33.85546875" style="2" customWidth="1"/>
    <col min="2813" max="2813" width="5.140625" style="2" customWidth="1"/>
    <col min="2814" max="2815" width="17.5703125" style="2" customWidth="1"/>
    <col min="2816" max="3059" width="9.140625" style="2"/>
    <col min="3060" max="3060" width="3.5703125" style="2" customWidth="1"/>
    <col min="3061" max="3061" width="96.85546875" style="2" customWidth="1"/>
    <col min="3062" max="3062" width="30.85546875" style="2" customWidth="1"/>
    <col min="3063" max="3063" width="12.5703125" style="2" customWidth="1"/>
    <col min="3064" max="3064" width="5.140625" style="2" customWidth="1"/>
    <col min="3065" max="3065" width="9.140625" style="2"/>
    <col min="3066" max="3066" width="4.85546875" style="2" customWidth="1"/>
    <col min="3067" max="3067" width="30.5703125" style="2" customWidth="1"/>
    <col min="3068" max="3068" width="33.85546875" style="2" customWidth="1"/>
    <col min="3069" max="3069" width="5.140625" style="2" customWidth="1"/>
    <col min="3070" max="3071" width="17.5703125" style="2" customWidth="1"/>
    <col min="3072" max="3315" width="9.140625" style="2"/>
    <col min="3316" max="3316" width="3.5703125" style="2" customWidth="1"/>
    <col min="3317" max="3317" width="96.85546875" style="2" customWidth="1"/>
    <col min="3318" max="3318" width="30.85546875" style="2" customWidth="1"/>
    <col min="3319" max="3319" width="12.5703125" style="2" customWidth="1"/>
    <col min="3320" max="3320" width="5.140625" style="2" customWidth="1"/>
    <col min="3321" max="3321" width="9.140625" style="2"/>
    <col min="3322" max="3322" width="4.85546875" style="2" customWidth="1"/>
    <col min="3323" max="3323" width="30.5703125" style="2" customWidth="1"/>
    <col min="3324" max="3324" width="33.85546875" style="2" customWidth="1"/>
    <col min="3325" max="3325" width="5.140625" style="2" customWidth="1"/>
    <col min="3326" max="3327" width="17.5703125" style="2" customWidth="1"/>
    <col min="3328" max="3571" width="9.140625" style="2"/>
    <col min="3572" max="3572" width="3.5703125" style="2" customWidth="1"/>
    <col min="3573" max="3573" width="96.85546875" style="2" customWidth="1"/>
    <col min="3574" max="3574" width="30.85546875" style="2" customWidth="1"/>
    <col min="3575" max="3575" width="12.5703125" style="2" customWidth="1"/>
    <col min="3576" max="3576" width="5.140625" style="2" customWidth="1"/>
    <col min="3577" max="3577" width="9.140625" style="2"/>
    <col min="3578" max="3578" width="4.85546875" style="2" customWidth="1"/>
    <col min="3579" max="3579" width="30.5703125" style="2" customWidth="1"/>
    <col min="3580" max="3580" width="33.85546875" style="2" customWidth="1"/>
    <col min="3581" max="3581" width="5.140625" style="2" customWidth="1"/>
    <col min="3582" max="3583" width="17.5703125" style="2" customWidth="1"/>
    <col min="3584" max="3827" width="9.140625" style="2"/>
    <col min="3828" max="3828" width="3.5703125" style="2" customWidth="1"/>
    <col min="3829" max="3829" width="96.85546875" style="2" customWidth="1"/>
    <col min="3830" max="3830" width="30.85546875" style="2" customWidth="1"/>
    <col min="3831" max="3831" width="12.5703125" style="2" customWidth="1"/>
    <col min="3832" max="3832" width="5.140625" style="2" customWidth="1"/>
    <col min="3833" max="3833" width="9.140625" style="2"/>
    <col min="3834" max="3834" width="4.85546875" style="2" customWidth="1"/>
    <col min="3835" max="3835" width="30.5703125" style="2" customWidth="1"/>
    <col min="3836" max="3836" width="33.85546875" style="2" customWidth="1"/>
    <col min="3837" max="3837" width="5.140625" style="2" customWidth="1"/>
    <col min="3838" max="3839" width="17.5703125" style="2" customWidth="1"/>
    <col min="3840" max="4083" width="9.140625" style="2"/>
    <col min="4084" max="4084" width="3.5703125" style="2" customWidth="1"/>
    <col min="4085" max="4085" width="96.85546875" style="2" customWidth="1"/>
    <col min="4086" max="4086" width="30.85546875" style="2" customWidth="1"/>
    <col min="4087" max="4087" width="12.5703125" style="2" customWidth="1"/>
    <col min="4088" max="4088" width="5.140625" style="2" customWidth="1"/>
    <col min="4089" max="4089" width="9.140625" style="2"/>
    <col min="4090" max="4090" width="4.85546875" style="2" customWidth="1"/>
    <col min="4091" max="4091" width="30.5703125" style="2" customWidth="1"/>
    <col min="4092" max="4092" width="33.85546875" style="2" customWidth="1"/>
    <col min="4093" max="4093" width="5.140625" style="2" customWidth="1"/>
    <col min="4094" max="4095" width="17.5703125" style="2" customWidth="1"/>
    <col min="4096" max="4339" width="9.140625" style="2"/>
    <col min="4340" max="4340" width="3.5703125" style="2" customWidth="1"/>
    <col min="4341" max="4341" width="96.85546875" style="2" customWidth="1"/>
    <col min="4342" max="4342" width="30.85546875" style="2" customWidth="1"/>
    <col min="4343" max="4343" width="12.5703125" style="2" customWidth="1"/>
    <col min="4344" max="4344" width="5.140625" style="2" customWidth="1"/>
    <col min="4345" max="4345" width="9.140625" style="2"/>
    <col min="4346" max="4346" width="4.85546875" style="2" customWidth="1"/>
    <col min="4347" max="4347" width="30.5703125" style="2" customWidth="1"/>
    <col min="4348" max="4348" width="33.85546875" style="2" customWidth="1"/>
    <col min="4349" max="4349" width="5.140625" style="2" customWidth="1"/>
    <col min="4350" max="4351" width="17.5703125" style="2" customWidth="1"/>
    <col min="4352" max="4595" width="9.140625" style="2"/>
    <col min="4596" max="4596" width="3.5703125" style="2" customWidth="1"/>
    <col min="4597" max="4597" width="96.85546875" style="2" customWidth="1"/>
    <col min="4598" max="4598" width="30.85546875" style="2" customWidth="1"/>
    <col min="4599" max="4599" width="12.5703125" style="2" customWidth="1"/>
    <col min="4600" max="4600" width="5.140625" style="2" customWidth="1"/>
    <col min="4601" max="4601" width="9.140625" style="2"/>
    <col min="4602" max="4602" width="4.85546875" style="2" customWidth="1"/>
    <col min="4603" max="4603" width="30.5703125" style="2" customWidth="1"/>
    <col min="4604" max="4604" width="33.85546875" style="2" customWidth="1"/>
    <col min="4605" max="4605" width="5.140625" style="2" customWidth="1"/>
    <col min="4606" max="4607" width="17.5703125" style="2" customWidth="1"/>
    <col min="4608" max="4851" width="9.140625" style="2"/>
    <col min="4852" max="4852" width="3.5703125" style="2" customWidth="1"/>
    <col min="4853" max="4853" width="96.85546875" style="2" customWidth="1"/>
    <col min="4854" max="4854" width="30.85546875" style="2" customWidth="1"/>
    <col min="4855" max="4855" width="12.5703125" style="2" customWidth="1"/>
    <col min="4856" max="4856" width="5.140625" style="2" customWidth="1"/>
    <col min="4857" max="4857" width="9.140625" style="2"/>
    <col min="4858" max="4858" width="4.85546875" style="2" customWidth="1"/>
    <col min="4859" max="4859" width="30.5703125" style="2" customWidth="1"/>
    <col min="4860" max="4860" width="33.85546875" style="2" customWidth="1"/>
    <col min="4861" max="4861" width="5.140625" style="2" customWidth="1"/>
    <col min="4862" max="4863" width="17.5703125" style="2" customWidth="1"/>
    <col min="4864" max="5107" width="9.140625" style="2"/>
    <col min="5108" max="5108" width="3.5703125" style="2" customWidth="1"/>
    <col min="5109" max="5109" width="96.85546875" style="2" customWidth="1"/>
    <col min="5110" max="5110" width="30.85546875" style="2" customWidth="1"/>
    <col min="5111" max="5111" width="12.5703125" style="2" customWidth="1"/>
    <col min="5112" max="5112" width="5.140625" style="2" customWidth="1"/>
    <col min="5113" max="5113" width="9.140625" style="2"/>
    <col min="5114" max="5114" width="4.85546875" style="2" customWidth="1"/>
    <col min="5115" max="5115" width="30.5703125" style="2" customWidth="1"/>
    <col min="5116" max="5116" width="33.85546875" style="2" customWidth="1"/>
    <col min="5117" max="5117" width="5.140625" style="2" customWidth="1"/>
    <col min="5118" max="5119" width="17.5703125" style="2" customWidth="1"/>
    <col min="5120" max="5363" width="9.140625" style="2"/>
    <col min="5364" max="5364" width="3.5703125" style="2" customWidth="1"/>
    <col min="5365" max="5365" width="96.85546875" style="2" customWidth="1"/>
    <col min="5366" max="5366" width="30.85546875" style="2" customWidth="1"/>
    <col min="5367" max="5367" width="12.5703125" style="2" customWidth="1"/>
    <col min="5368" max="5368" width="5.140625" style="2" customWidth="1"/>
    <col min="5369" max="5369" width="9.140625" style="2"/>
    <col min="5370" max="5370" width="4.85546875" style="2" customWidth="1"/>
    <col min="5371" max="5371" width="30.5703125" style="2" customWidth="1"/>
    <col min="5372" max="5372" width="33.85546875" style="2" customWidth="1"/>
    <col min="5373" max="5373" width="5.140625" style="2" customWidth="1"/>
    <col min="5374" max="5375" width="17.5703125" style="2" customWidth="1"/>
    <col min="5376" max="5619" width="9.140625" style="2"/>
    <col min="5620" max="5620" width="3.5703125" style="2" customWidth="1"/>
    <col min="5621" max="5621" width="96.85546875" style="2" customWidth="1"/>
    <col min="5622" max="5622" width="30.85546875" style="2" customWidth="1"/>
    <col min="5623" max="5623" width="12.5703125" style="2" customWidth="1"/>
    <col min="5624" max="5624" width="5.140625" style="2" customWidth="1"/>
    <col min="5625" max="5625" width="9.140625" style="2"/>
    <col min="5626" max="5626" width="4.85546875" style="2" customWidth="1"/>
    <col min="5627" max="5627" width="30.5703125" style="2" customWidth="1"/>
    <col min="5628" max="5628" width="33.85546875" style="2" customWidth="1"/>
    <col min="5629" max="5629" width="5.140625" style="2" customWidth="1"/>
    <col min="5630" max="5631" width="17.5703125" style="2" customWidth="1"/>
    <col min="5632" max="5875" width="9.140625" style="2"/>
    <col min="5876" max="5876" width="3.5703125" style="2" customWidth="1"/>
    <col min="5877" max="5877" width="96.85546875" style="2" customWidth="1"/>
    <col min="5878" max="5878" width="30.85546875" style="2" customWidth="1"/>
    <col min="5879" max="5879" width="12.5703125" style="2" customWidth="1"/>
    <col min="5880" max="5880" width="5.140625" style="2" customWidth="1"/>
    <col min="5881" max="5881" width="9.140625" style="2"/>
    <col min="5882" max="5882" width="4.85546875" style="2" customWidth="1"/>
    <col min="5883" max="5883" width="30.5703125" style="2" customWidth="1"/>
    <col min="5884" max="5884" width="33.85546875" style="2" customWidth="1"/>
    <col min="5885" max="5885" width="5.140625" style="2" customWidth="1"/>
    <col min="5886" max="5887" width="17.5703125" style="2" customWidth="1"/>
    <col min="5888" max="6131" width="9.140625" style="2"/>
    <col min="6132" max="6132" width="3.5703125" style="2" customWidth="1"/>
    <col min="6133" max="6133" width="96.85546875" style="2" customWidth="1"/>
    <col min="6134" max="6134" width="30.85546875" style="2" customWidth="1"/>
    <col min="6135" max="6135" width="12.5703125" style="2" customWidth="1"/>
    <col min="6136" max="6136" width="5.140625" style="2" customWidth="1"/>
    <col min="6137" max="6137" width="9.140625" style="2"/>
    <col min="6138" max="6138" width="4.85546875" style="2" customWidth="1"/>
    <col min="6139" max="6139" width="30.5703125" style="2" customWidth="1"/>
    <col min="6140" max="6140" width="33.85546875" style="2" customWidth="1"/>
    <col min="6141" max="6141" width="5.140625" style="2" customWidth="1"/>
    <col min="6142" max="6143" width="17.5703125" style="2" customWidth="1"/>
    <col min="6144" max="6387" width="9.140625" style="2"/>
    <col min="6388" max="6388" width="3.5703125" style="2" customWidth="1"/>
    <col min="6389" max="6389" width="96.85546875" style="2" customWidth="1"/>
    <col min="6390" max="6390" width="30.85546875" style="2" customWidth="1"/>
    <col min="6391" max="6391" width="12.5703125" style="2" customWidth="1"/>
    <col min="6392" max="6392" width="5.140625" style="2" customWidth="1"/>
    <col min="6393" max="6393" width="9.140625" style="2"/>
    <col min="6394" max="6394" width="4.85546875" style="2" customWidth="1"/>
    <col min="6395" max="6395" width="30.5703125" style="2" customWidth="1"/>
    <col min="6396" max="6396" width="33.85546875" style="2" customWidth="1"/>
    <col min="6397" max="6397" width="5.140625" style="2" customWidth="1"/>
    <col min="6398" max="6399" width="17.5703125" style="2" customWidth="1"/>
    <col min="6400" max="6643" width="9.140625" style="2"/>
    <col min="6644" max="6644" width="3.5703125" style="2" customWidth="1"/>
    <col min="6645" max="6645" width="96.85546875" style="2" customWidth="1"/>
    <col min="6646" max="6646" width="30.85546875" style="2" customWidth="1"/>
    <col min="6647" max="6647" width="12.5703125" style="2" customWidth="1"/>
    <col min="6648" max="6648" width="5.140625" style="2" customWidth="1"/>
    <col min="6649" max="6649" width="9.140625" style="2"/>
    <col min="6650" max="6650" width="4.85546875" style="2" customWidth="1"/>
    <col min="6651" max="6651" width="30.5703125" style="2" customWidth="1"/>
    <col min="6652" max="6652" width="33.85546875" style="2" customWidth="1"/>
    <col min="6653" max="6653" width="5.140625" style="2" customWidth="1"/>
    <col min="6654" max="6655" width="17.5703125" style="2" customWidth="1"/>
    <col min="6656" max="6899" width="9.140625" style="2"/>
    <col min="6900" max="6900" width="3.5703125" style="2" customWidth="1"/>
    <col min="6901" max="6901" width="96.85546875" style="2" customWidth="1"/>
    <col min="6902" max="6902" width="30.85546875" style="2" customWidth="1"/>
    <col min="6903" max="6903" width="12.5703125" style="2" customWidth="1"/>
    <col min="6904" max="6904" width="5.140625" style="2" customWidth="1"/>
    <col min="6905" max="6905" width="9.140625" style="2"/>
    <col min="6906" max="6906" width="4.85546875" style="2" customWidth="1"/>
    <col min="6907" max="6907" width="30.5703125" style="2" customWidth="1"/>
    <col min="6908" max="6908" width="33.85546875" style="2" customWidth="1"/>
    <col min="6909" max="6909" width="5.140625" style="2" customWidth="1"/>
    <col min="6910" max="6911" width="17.5703125" style="2" customWidth="1"/>
    <col min="6912" max="7155" width="9.140625" style="2"/>
    <col min="7156" max="7156" width="3.5703125" style="2" customWidth="1"/>
    <col min="7157" max="7157" width="96.85546875" style="2" customWidth="1"/>
    <col min="7158" max="7158" width="30.85546875" style="2" customWidth="1"/>
    <col min="7159" max="7159" width="12.5703125" style="2" customWidth="1"/>
    <col min="7160" max="7160" width="5.140625" style="2" customWidth="1"/>
    <col min="7161" max="7161" width="9.140625" style="2"/>
    <col min="7162" max="7162" width="4.85546875" style="2" customWidth="1"/>
    <col min="7163" max="7163" width="30.5703125" style="2" customWidth="1"/>
    <col min="7164" max="7164" width="33.85546875" style="2" customWidth="1"/>
    <col min="7165" max="7165" width="5.140625" style="2" customWidth="1"/>
    <col min="7166" max="7167" width="17.5703125" style="2" customWidth="1"/>
    <col min="7168" max="7411" width="9.140625" style="2"/>
    <col min="7412" max="7412" width="3.5703125" style="2" customWidth="1"/>
    <col min="7413" max="7413" width="96.85546875" style="2" customWidth="1"/>
    <col min="7414" max="7414" width="30.85546875" style="2" customWidth="1"/>
    <col min="7415" max="7415" width="12.5703125" style="2" customWidth="1"/>
    <col min="7416" max="7416" width="5.140625" style="2" customWidth="1"/>
    <col min="7417" max="7417" width="9.140625" style="2"/>
    <col min="7418" max="7418" width="4.85546875" style="2" customWidth="1"/>
    <col min="7419" max="7419" width="30.5703125" style="2" customWidth="1"/>
    <col min="7420" max="7420" width="33.85546875" style="2" customWidth="1"/>
    <col min="7421" max="7421" width="5.140625" style="2" customWidth="1"/>
    <col min="7422" max="7423" width="17.5703125" style="2" customWidth="1"/>
    <col min="7424" max="7667" width="9.140625" style="2"/>
    <col min="7668" max="7668" width="3.5703125" style="2" customWidth="1"/>
    <col min="7669" max="7669" width="96.85546875" style="2" customWidth="1"/>
    <col min="7670" max="7670" width="30.85546875" style="2" customWidth="1"/>
    <col min="7671" max="7671" width="12.5703125" style="2" customWidth="1"/>
    <col min="7672" max="7672" width="5.140625" style="2" customWidth="1"/>
    <col min="7673" max="7673" width="9.140625" style="2"/>
    <col min="7674" max="7674" width="4.85546875" style="2" customWidth="1"/>
    <col min="7675" max="7675" width="30.5703125" style="2" customWidth="1"/>
    <col min="7676" max="7676" width="33.85546875" style="2" customWidth="1"/>
    <col min="7677" max="7677" width="5.140625" style="2" customWidth="1"/>
    <col min="7678" max="7679" width="17.5703125" style="2" customWidth="1"/>
    <col min="7680" max="7923" width="9.140625" style="2"/>
    <col min="7924" max="7924" width="3.5703125" style="2" customWidth="1"/>
    <col min="7925" max="7925" width="96.85546875" style="2" customWidth="1"/>
    <col min="7926" max="7926" width="30.85546875" style="2" customWidth="1"/>
    <col min="7927" max="7927" width="12.5703125" style="2" customWidth="1"/>
    <col min="7928" max="7928" width="5.140625" style="2" customWidth="1"/>
    <col min="7929" max="7929" width="9.140625" style="2"/>
    <col min="7930" max="7930" width="4.85546875" style="2" customWidth="1"/>
    <col min="7931" max="7931" width="30.5703125" style="2" customWidth="1"/>
    <col min="7932" max="7932" width="33.85546875" style="2" customWidth="1"/>
    <col min="7933" max="7933" width="5.140625" style="2" customWidth="1"/>
    <col min="7934" max="7935" width="17.5703125" style="2" customWidth="1"/>
    <col min="7936" max="8179" width="9.140625" style="2"/>
    <col min="8180" max="8180" width="3.5703125" style="2" customWidth="1"/>
    <col min="8181" max="8181" width="96.85546875" style="2" customWidth="1"/>
    <col min="8182" max="8182" width="30.85546875" style="2" customWidth="1"/>
    <col min="8183" max="8183" width="12.5703125" style="2" customWidth="1"/>
    <col min="8184" max="8184" width="5.140625" style="2" customWidth="1"/>
    <col min="8185" max="8185" width="9.140625" style="2"/>
    <col min="8186" max="8186" width="4.85546875" style="2" customWidth="1"/>
    <col min="8187" max="8187" width="30.5703125" style="2" customWidth="1"/>
    <col min="8188" max="8188" width="33.85546875" style="2" customWidth="1"/>
    <col min="8189" max="8189" width="5.140625" style="2" customWidth="1"/>
    <col min="8190" max="8191" width="17.5703125" style="2" customWidth="1"/>
    <col min="8192" max="8435" width="9.140625" style="2"/>
    <col min="8436" max="8436" width="3.5703125" style="2" customWidth="1"/>
    <col min="8437" max="8437" width="96.85546875" style="2" customWidth="1"/>
    <col min="8438" max="8438" width="30.85546875" style="2" customWidth="1"/>
    <col min="8439" max="8439" width="12.5703125" style="2" customWidth="1"/>
    <col min="8440" max="8440" width="5.140625" style="2" customWidth="1"/>
    <col min="8441" max="8441" width="9.140625" style="2"/>
    <col min="8442" max="8442" width="4.85546875" style="2" customWidth="1"/>
    <col min="8443" max="8443" width="30.5703125" style="2" customWidth="1"/>
    <col min="8444" max="8444" width="33.85546875" style="2" customWidth="1"/>
    <col min="8445" max="8445" width="5.140625" style="2" customWidth="1"/>
    <col min="8446" max="8447" width="17.5703125" style="2" customWidth="1"/>
    <col min="8448" max="8691" width="9.140625" style="2"/>
    <col min="8692" max="8692" width="3.5703125" style="2" customWidth="1"/>
    <col min="8693" max="8693" width="96.85546875" style="2" customWidth="1"/>
    <col min="8694" max="8694" width="30.85546875" style="2" customWidth="1"/>
    <col min="8695" max="8695" width="12.5703125" style="2" customWidth="1"/>
    <col min="8696" max="8696" width="5.140625" style="2" customWidth="1"/>
    <col min="8697" max="8697" width="9.140625" style="2"/>
    <col min="8698" max="8698" width="4.85546875" style="2" customWidth="1"/>
    <col min="8699" max="8699" width="30.5703125" style="2" customWidth="1"/>
    <col min="8700" max="8700" width="33.85546875" style="2" customWidth="1"/>
    <col min="8701" max="8701" width="5.140625" style="2" customWidth="1"/>
    <col min="8702" max="8703" width="17.5703125" style="2" customWidth="1"/>
    <col min="8704" max="8947" width="9.140625" style="2"/>
    <col min="8948" max="8948" width="3.5703125" style="2" customWidth="1"/>
    <col min="8949" max="8949" width="96.85546875" style="2" customWidth="1"/>
    <col min="8950" max="8950" width="30.85546875" style="2" customWidth="1"/>
    <col min="8951" max="8951" width="12.5703125" style="2" customWidth="1"/>
    <col min="8952" max="8952" width="5.140625" style="2" customWidth="1"/>
    <col min="8953" max="8953" width="9.140625" style="2"/>
    <col min="8954" max="8954" width="4.85546875" style="2" customWidth="1"/>
    <col min="8955" max="8955" width="30.5703125" style="2" customWidth="1"/>
    <col min="8956" max="8956" width="33.85546875" style="2" customWidth="1"/>
    <col min="8957" max="8957" width="5.140625" style="2" customWidth="1"/>
    <col min="8958" max="8959" width="17.5703125" style="2" customWidth="1"/>
    <col min="8960" max="9203" width="9.140625" style="2"/>
    <col min="9204" max="9204" width="3.5703125" style="2" customWidth="1"/>
    <col min="9205" max="9205" width="96.85546875" style="2" customWidth="1"/>
    <col min="9206" max="9206" width="30.85546875" style="2" customWidth="1"/>
    <col min="9207" max="9207" width="12.5703125" style="2" customWidth="1"/>
    <col min="9208" max="9208" width="5.140625" style="2" customWidth="1"/>
    <col min="9209" max="9209" width="9.140625" style="2"/>
    <col min="9210" max="9210" width="4.85546875" style="2" customWidth="1"/>
    <col min="9211" max="9211" width="30.5703125" style="2" customWidth="1"/>
    <col min="9212" max="9212" width="33.85546875" style="2" customWidth="1"/>
    <col min="9213" max="9213" width="5.140625" style="2" customWidth="1"/>
    <col min="9214" max="9215" width="17.5703125" style="2" customWidth="1"/>
    <col min="9216" max="9459" width="9.140625" style="2"/>
    <col min="9460" max="9460" width="3.5703125" style="2" customWidth="1"/>
    <col min="9461" max="9461" width="96.85546875" style="2" customWidth="1"/>
    <col min="9462" max="9462" width="30.85546875" style="2" customWidth="1"/>
    <col min="9463" max="9463" width="12.5703125" style="2" customWidth="1"/>
    <col min="9464" max="9464" width="5.140625" style="2" customWidth="1"/>
    <col min="9465" max="9465" width="9.140625" style="2"/>
    <col min="9466" max="9466" width="4.85546875" style="2" customWidth="1"/>
    <col min="9467" max="9467" width="30.5703125" style="2" customWidth="1"/>
    <col min="9468" max="9468" width="33.85546875" style="2" customWidth="1"/>
    <col min="9469" max="9469" width="5.140625" style="2" customWidth="1"/>
    <col min="9470" max="9471" width="17.5703125" style="2" customWidth="1"/>
    <col min="9472" max="9715" width="9.140625" style="2"/>
    <col min="9716" max="9716" width="3.5703125" style="2" customWidth="1"/>
    <col min="9717" max="9717" width="96.85546875" style="2" customWidth="1"/>
    <col min="9718" max="9718" width="30.85546875" style="2" customWidth="1"/>
    <col min="9719" max="9719" width="12.5703125" style="2" customWidth="1"/>
    <col min="9720" max="9720" width="5.140625" style="2" customWidth="1"/>
    <col min="9721" max="9721" width="9.140625" style="2"/>
    <col min="9722" max="9722" width="4.85546875" style="2" customWidth="1"/>
    <col min="9723" max="9723" width="30.5703125" style="2" customWidth="1"/>
    <col min="9724" max="9724" width="33.85546875" style="2" customWidth="1"/>
    <col min="9725" max="9725" width="5.140625" style="2" customWidth="1"/>
    <col min="9726" max="9727" width="17.5703125" style="2" customWidth="1"/>
    <col min="9728" max="9971" width="9.140625" style="2"/>
    <col min="9972" max="9972" width="3.5703125" style="2" customWidth="1"/>
    <col min="9973" max="9973" width="96.85546875" style="2" customWidth="1"/>
    <col min="9974" max="9974" width="30.85546875" style="2" customWidth="1"/>
    <col min="9975" max="9975" width="12.5703125" style="2" customWidth="1"/>
    <col min="9976" max="9976" width="5.140625" style="2" customWidth="1"/>
    <col min="9977" max="9977" width="9.140625" style="2"/>
    <col min="9978" max="9978" width="4.85546875" style="2" customWidth="1"/>
    <col min="9979" max="9979" width="30.5703125" style="2" customWidth="1"/>
    <col min="9980" max="9980" width="33.85546875" style="2" customWidth="1"/>
    <col min="9981" max="9981" width="5.140625" style="2" customWidth="1"/>
    <col min="9982" max="9983" width="17.5703125" style="2" customWidth="1"/>
    <col min="9984" max="10227" width="9.140625" style="2"/>
    <col min="10228" max="10228" width="3.5703125" style="2" customWidth="1"/>
    <col min="10229" max="10229" width="96.85546875" style="2" customWidth="1"/>
    <col min="10230" max="10230" width="30.85546875" style="2" customWidth="1"/>
    <col min="10231" max="10231" width="12.5703125" style="2" customWidth="1"/>
    <col min="10232" max="10232" width="5.140625" style="2" customWidth="1"/>
    <col min="10233" max="10233" width="9.140625" style="2"/>
    <col min="10234" max="10234" width="4.85546875" style="2" customWidth="1"/>
    <col min="10235" max="10235" width="30.5703125" style="2" customWidth="1"/>
    <col min="10236" max="10236" width="33.85546875" style="2" customWidth="1"/>
    <col min="10237" max="10237" width="5.140625" style="2" customWidth="1"/>
    <col min="10238" max="10239" width="17.5703125" style="2" customWidth="1"/>
    <col min="10240" max="10483" width="9.140625" style="2"/>
    <col min="10484" max="10484" width="3.5703125" style="2" customWidth="1"/>
    <col min="10485" max="10485" width="96.85546875" style="2" customWidth="1"/>
    <col min="10486" max="10486" width="30.85546875" style="2" customWidth="1"/>
    <col min="10487" max="10487" width="12.5703125" style="2" customWidth="1"/>
    <col min="10488" max="10488" width="5.140625" style="2" customWidth="1"/>
    <col min="10489" max="10489" width="9.140625" style="2"/>
    <col min="10490" max="10490" width="4.85546875" style="2" customWidth="1"/>
    <col min="10491" max="10491" width="30.5703125" style="2" customWidth="1"/>
    <col min="10492" max="10492" width="33.85546875" style="2" customWidth="1"/>
    <col min="10493" max="10493" width="5.140625" style="2" customWidth="1"/>
    <col min="10494" max="10495" width="17.5703125" style="2" customWidth="1"/>
    <col min="10496" max="10739" width="9.140625" style="2"/>
    <col min="10740" max="10740" width="3.5703125" style="2" customWidth="1"/>
    <col min="10741" max="10741" width="96.85546875" style="2" customWidth="1"/>
    <col min="10742" max="10742" width="30.85546875" style="2" customWidth="1"/>
    <col min="10743" max="10743" width="12.5703125" style="2" customWidth="1"/>
    <col min="10744" max="10744" width="5.140625" style="2" customWidth="1"/>
    <col min="10745" max="10745" width="9.140625" style="2"/>
    <col min="10746" max="10746" width="4.85546875" style="2" customWidth="1"/>
    <col min="10747" max="10747" width="30.5703125" style="2" customWidth="1"/>
    <col min="10748" max="10748" width="33.85546875" style="2" customWidth="1"/>
    <col min="10749" max="10749" width="5.140625" style="2" customWidth="1"/>
    <col min="10750" max="10751" width="17.5703125" style="2" customWidth="1"/>
    <col min="10752" max="10995" width="9.140625" style="2"/>
    <col min="10996" max="10996" width="3.5703125" style="2" customWidth="1"/>
    <col min="10997" max="10997" width="96.85546875" style="2" customWidth="1"/>
    <col min="10998" max="10998" width="30.85546875" style="2" customWidth="1"/>
    <col min="10999" max="10999" width="12.5703125" style="2" customWidth="1"/>
    <col min="11000" max="11000" width="5.140625" style="2" customWidth="1"/>
    <col min="11001" max="11001" width="9.140625" style="2"/>
    <col min="11002" max="11002" width="4.85546875" style="2" customWidth="1"/>
    <col min="11003" max="11003" width="30.5703125" style="2" customWidth="1"/>
    <col min="11004" max="11004" width="33.85546875" style="2" customWidth="1"/>
    <col min="11005" max="11005" width="5.140625" style="2" customWidth="1"/>
    <col min="11006" max="11007" width="17.5703125" style="2" customWidth="1"/>
    <col min="11008" max="11251" width="9.140625" style="2"/>
    <col min="11252" max="11252" width="3.5703125" style="2" customWidth="1"/>
    <col min="11253" max="11253" width="96.85546875" style="2" customWidth="1"/>
    <col min="11254" max="11254" width="30.85546875" style="2" customWidth="1"/>
    <col min="11255" max="11255" width="12.5703125" style="2" customWidth="1"/>
    <col min="11256" max="11256" width="5.140625" style="2" customWidth="1"/>
    <col min="11257" max="11257" width="9.140625" style="2"/>
    <col min="11258" max="11258" width="4.85546875" style="2" customWidth="1"/>
    <col min="11259" max="11259" width="30.5703125" style="2" customWidth="1"/>
    <col min="11260" max="11260" width="33.85546875" style="2" customWidth="1"/>
    <col min="11261" max="11261" width="5.140625" style="2" customWidth="1"/>
    <col min="11262" max="11263" width="17.5703125" style="2" customWidth="1"/>
    <col min="11264" max="11507" width="9.140625" style="2"/>
    <col min="11508" max="11508" width="3.5703125" style="2" customWidth="1"/>
    <col min="11509" max="11509" width="96.85546875" style="2" customWidth="1"/>
    <col min="11510" max="11510" width="30.85546875" style="2" customWidth="1"/>
    <col min="11511" max="11511" width="12.5703125" style="2" customWidth="1"/>
    <col min="11512" max="11512" width="5.140625" style="2" customWidth="1"/>
    <col min="11513" max="11513" width="9.140625" style="2"/>
    <col min="11514" max="11514" width="4.85546875" style="2" customWidth="1"/>
    <col min="11515" max="11515" width="30.5703125" style="2" customWidth="1"/>
    <col min="11516" max="11516" width="33.85546875" style="2" customWidth="1"/>
    <col min="11517" max="11517" width="5.140625" style="2" customWidth="1"/>
    <col min="11518" max="11519" width="17.5703125" style="2" customWidth="1"/>
    <col min="11520" max="11763" width="9.140625" style="2"/>
    <col min="11764" max="11764" width="3.5703125" style="2" customWidth="1"/>
    <col min="11765" max="11765" width="96.85546875" style="2" customWidth="1"/>
    <col min="11766" max="11766" width="30.85546875" style="2" customWidth="1"/>
    <col min="11767" max="11767" width="12.5703125" style="2" customWidth="1"/>
    <col min="11768" max="11768" width="5.140625" style="2" customWidth="1"/>
    <col min="11769" max="11769" width="9.140625" style="2"/>
    <col min="11770" max="11770" width="4.85546875" style="2" customWidth="1"/>
    <col min="11771" max="11771" width="30.5703125" style="2" customWidth="1"/>
    <col min="11772" max="11772" width="33.85546875" style="2" customWidth="1"/>
    <col min="11773" max="11773" width="5.140625" style="2" customWidth="1"/>
    <col min="11774" max="11775" width="17.5703125" style="2" customWidth="1"/>
    <col min="11776" max="12019" width="9.140625" style="2"/>
    <col min="12020" max="12020" width="3.5703125" style="2" customWidth="1"/>
    <col min="12021" max="12021" width="96.85546875" style="2" customWidth="1"/>
    <col min="12022" max="12022" width="30.85546875" style="2" customWidth="1"/>
    <col min="12023" max="12023" width="12.5703125" style="2" customWidth="1"/>
    <col min="12024" max="12024" width="5.140625" style="2" customWidth="1"/>
    <col min="12025" max="12025" width="9.140625" style="2"/>
    <col min="12026" max="12026" width="4.85546875" style="2" customWidth="1"/>
    <col min="12027" max="12027" width="30.5703125" style="2" customWidth="1"/>
    <col min="12028" max="12028" width="33.85546875" style="2" customWidth="1"/>
    <col min="12029" max="12029" width="5.140625" style="2" customWidth="1"/>
    <col min="12030" max="12031" width="17.5703125" style="2" customWidth="1"/>
    <col min="12032" max="12275" width="9.140625" style="2"/>
    <col min="12276" max="12276" width="3.5703125" style="2" customWidth="1"/>
    <col min="12277" max="12277" width="96.85546875" style="2" customWidth="1"/>
    <col min="12278" max="12278" width="30.85546875" style="2" customWidth="1"/>
    <col min="12279" max="12279" width="12.5703125" style="2" customWidth="1"/>
    <col min="12280" max="12280" width="5.140625" style="2" customWidth="1"/>
    <col min="12281" max="12281" width="9.140625" style="2"/>
    <col min="12282" max="12282" width="4.85546875" style="2" customWidth="1"/>
    <col min="12283" max="12283" width="30.5703125" style="2" customWidth="1"/>
    <col min="12284" max="12284" width="33.85546875" style="2" customWidth="1"/>
    <col min="12285" max="12285" width="5.140625" style="2" customWidth="1"/>
    <col min="12286" max="12287" width="17.5703125" style="2" customWidth="1"/>
    <col min="12288" max="12531" width="9.140625" style="2"/>
    <col min="12532" max="12532" width="3.5703125" style="2" customWidth="1"/>
    <col min="12533" max="12533" width="96.85546875" style="2" customWidth="1"/>
    <col min="12534" max="12534" width="30.85546875" style="2" customWidth="1"/>
    <col min="12535" max="12535" width="12.5703125" style="2" customWidth="1"/>
    <col min="12536" max="12536" width="5.140625" style="2" customWidth="1"/>
    <col min="12537" max="12537" width="9.140625" style="2"/>
    <col min="12538" max="12538" width="4.85546875" style="2" customWidth="1"/>
    <col min="12539" max="12539" width="30.5703125" style="2" customWidth="1"/>
    <col min="12540" max="12540" width="33.85546875" style="2" customWidth="1"/>
    <col min="12541" max="12541" width="5.140625" style="2" customWidth="1"/>
    <col min="12542" max="12543" width="17.5703125" style="2" customWidth="1"/>
    <col min="12544" max="12787" width="9.140625" style="2"/>
    <col min="12788" max="12788" width="3.5703125" style="2" customWidth="1"/>
    <col min="12789" max="12789" width="96.85546875" style="2" customWidth="1"/>
    <col min="12790" max="12790" width="30.85546875" style="2" customWidth="1"/>
    <col min="12791" max="12791" width="12.5703125" style="2" customWidth="1"/>
    <col min="12792" max="12792" width="5.140625" style="2" customWidth="1"/>
    <col min="12793" max="12793" width="9.140625" style="2"/>
    <col min="12794" max="12794" width="4.85546875" style="2" customWidth="1"/>
    <col min="12795" max="12795" width="30.5703125" style="2" customWidth="1"/>
    <col min="12796" max="12796" width="33.85546875" style="2" customWidth="1"/>
    <col min="12797" max="12797" width="5.140625" style="2" customWidth="1"/>
    <col min="12798" max="12799" width="17.5703125" style="2" customWidth="1"/>
    <col min="12800" max="13043" width="9.140625" style="2"/>
    <col min="13044" max="13044" width="3.5703125" style="2" customWidth="1"/>
    <col min="13045" max="13045" width="96.85546875" style="2" customWidth="1"/>
    <col min="13046" max="13046" width="30.85546875" style="2" customWidth="1"/>
    <col min="13047" max="13047" width="12.5703125" style="2" customWidth="1"/>
    <col min="13048" max="13048" width="5.140625" style="2" customWidth="1"/>
    <col min="13049" max="13049" width="9.140625" style="2"/>
    <col min="13050" max="13050" width="4.85546875" style="2" customWidth="1"/>
    <col min="13051" max="13051" width="30.5703125" style="2" customWidth="1"/>
    <col min="13052" max="13052" width="33.85546875" style="2" customWidth="1"/>
    <col min="13053" max="13053" width="5.140625" style="2" customWidth="1"/>
    <col min="13054" max="13055" width="17.5703125" style="2" customWidth="1"/>
    <col min="13056" max="13299" width="9.140625" style="2"/>
    <col min="13300" max="13300" width="3.5703125" style="2" customWidth="1"/>
    <col min="13301" max="13301" width="96.85546875" style="2" customWidth="1"/>
    <col min="13302" max="13302" width="30.85546875" style="2" customWidth="1"/>
    <col min="13303" max="13303" width="12.5703125" style="2" customWidth="1"/>
    <col min="13304" max="13304" width="5.140625" style="2" customWidth="1"/>
    <col min="13305" max="13305" width="9.140625" style="2"/>
    <col min="13306" max="13306" width="4.85546875" style="2" customWidth="1"/>
    <col min="13307" max="13307" width="30.5703125" style="2" customWidth="1"/>
    <col min="13308" max="13308" width="33.85546875" style="2" customWidth="1"/>
    <col min="13309" max="13309" width="5.140625" style="2" customWidth="1"/>
    <col min="13310" max="13311" width="17.5703125" style="2" customWidth="1"/>
    <col min="13312" max="13555" width="9.140625" style="2"/>
    <col min="13556" max="13556" width="3.5703125" style="2" customWidth="1"/>
    <col min="13557" max="13557" width="96.85546875" style="2" customWidth="1"/>
    <col min="13558" max="13558" width="30.85546875" style="2" customWidth="1"/>
    <col min="13559" max="13559" width="12.5703125" style="2" customWidth="1"/>
    <col min="13560" max="13560" width="5.140625" style="2" customWidth="1"/>
    <col min="13561" max="13561" width="9.140625" style="2"/>
    <col min="13562" max="13562" width="4.85546875" style="2" customWidth="1"/>
    <col min="13563" max="13563" width="30.5703125" style="2" customWidth="1"/>
    <col min="13564" max="13564" width="33.85546875" style="2" customWidth="1"/>
    <col min="13565" max="13565" width="5.140625" style="2" customWidth="1"/>
    <col min="13566" max="13567" width="17.5703125" style="2" customWidth="1"/>
    <col min="13568" max="13811" width="9.140625" style="2"/>
    <col min="13812" max="13812" width="3.5703125" style="2" customWidth="1"/>
    <col min="13813" max="13813" width="96.85546875" style="2" customWidth="1"/>
    <col min="13814" max="13814" width="30.85546875" style="2" customWidth="1"/>
    <col min="13815" max="13815" width="12.5703125" style="2" customWidth="1"/>
    <col min="13816" max="13816" width="5.140625" style="2" customWidth="1"/>
    <col min="13817" max="13817" width="9.140625" style="2"/>
    <col min="13818" max="13818" width="4.85546875" style="2" customWidth="1"/>
    <col min="13819" max="13819" width="30.5703125" style="2" customWidth="1"/>
    <col min="13820" max="13820" width="33.85546875" style="2" customWidth="1"/>
    <col min="13821" max="13821" width="5.140625" style="2" customWidth="1"/>
    <col min="13822" max="13823" width="17.5703125" style="2" customWidth="1"/>
    <col min="13824" max="14067" width="9.140625" style="2"/>
    <col min="14068" max="14068" width="3.5703125" style="2" customWidth="1"/>
    <col min="14069" max="14069" width="96.85546875" style="2" customWidth="1"/>
    <col min="14070" max="14070" width="30.85546875" style="2" customWidth="1"/>
    <col min="14071" max="14071" width="12.5703125" style="2" customWidth="1"/>
    <col min="14072" max="14072" width="5.140625" style="2" customWidth="1"/>
    <col min="14073" max="14073" width="9.140625" style="2"/>
    <col min="14074" max="14074" width="4.85546875" style="2" customWidth="1"/>
    <col min="14075" max="14075" width="30.5703125" style="2" customWidth="1"/>
    <col min="14076" max="14076" width="33.85546875" style="2" customWidth="1"/>
    <col min="14077" max="14077" width="5.140625" style="2" customWidth="1"/>
    <col min="14078" max="14079" width="17.5703125" style="2" customWidth="1"/>
    <col min="14080" max="14323" width="9.140625" style="2"/>
    <col min="14324" max="14324" width="3.5703125" style="2" customWidth="1"/>
    <col min="14325" max="14325" width="96.85546875" style="2" customWidth="1"/>
    <col min="14326" max="14326" width="30.85546875" style="2" customWidth="1"/>
    <col min="14327" max="14327" width="12.5703125" style="2" customWidth="1"/>
    <col min="14328" max="14328" width="5.140625" style="2" customWidth="1"/>
    <col min="14329" max="14329" width="9.140625" style="2"/>
    <col min="14330" max="14330" width="4.85546875" style="2" customWidth="1"/>
    <col min="14331" max="14331" width="30.5703125" style="2" customWidth="1"/>
    <col min="14332" max="14332" width="33.85546875" style="2" customWidth="1"/>
    <col min="14333" max="14333" width="5.140625" style="2" customWidth="1"/>
    <col min="14334" max="14335" width="17.5703125" style="2" customWidth="1"/>
    <col min="14336" max="14579" width="9.140625" style="2"/>
    <col min="14580" max="14580" width="3.5703125" style="2" customWidth="1"/>
    <col min="14581" max="14581" width="96.85546875" style="2" customWidth="1"/>
    <col min="14582" max="14582" width="30.85546875" style="2" customWidth="1"/>
    <col min="14583" max="14583" width="12.5703125" style="2" customWidth="1"/>
    <col min="14584" max="14584" width="5.140625" style="2" customWidth="1"/>
    <col min="14585" max="14585" width="9.140625" style="2"/>
    <col min="14586" max="14586" width="4.85546875" style="2" customWidth="1"/>
    <col min="14587" max="14587" width="30.5703125" style="2" customWidth="1"/>
    <col min="14588" max="14588" width="33.85546875" style="2" customWidth="1"/>
    <col min="14589" max="14589" width="5.140625" style="2" customWidth="1"/>
    <col min="14590" max="14591" width="17.5703125" style="2" customWidth="1"/>
    <col min="14592" max="14835" width="9.140625" style="2"/>
    <col min="14836" max="14836" width="3.5703125" style="2" customWidth="1"/>
    <col min="14837" max="14837" width="96.85546875" style="2" customWidth="1"/>
    <col min="14838" max="14838" width="30.85546875" style="2" customWidth="1"/>
    <col min="14839" max="14839" width="12.5703125" style="2" customWidth="1"/>
    <col min="14840" max="14840" width="5.140625" style="2" customWidth="1"/>
    <col min="14841" max="14841" width="9.140625" style="2"/>
    <col min="14842" max="14842" width="4.85546875" style="2" customWidth="1"/>
    <col min="14843" max="14843" width="30.5703125" style="2" customWidth="1"/>
    <col min="14844" max="14844" width="33.85546875" style="2" customWidth="1"/>
    <col min="14845" max="14845" width="5.140625" style="2" customWidth="1"/>
    <col min="14846" max="14847" width="17.5703125" style="2" customWidth="1"/>
    <col min="14848" max="15091" width="9.140625" style="2"/>
    <col min="15092" max="15092" width="3.5703125" style="2" customWidth="1"/>
    <col min="15093" max="15093" width="96.85546875" style="2" customWidth="1"/>
    <col min="15094" max="15094" width="30.85546875" style="2" customWidth="1"/>
    <col min="15095" max="15095" width="12.5703125" style="2" customWidth="1"/>
    <col min="15096" max="15096" width="5.140625" style="2" customWidth="1"/>
    <col min="15097" max="15097" width="9.140625" style="2"/>
    <col min="15098" max="15098" width="4.85546875" style="2" customWidth="1"/>
    <col min="15099" max="15099" width="30.5703125" style="2" customWidth="1"/>
    <col min="15100" max="15100" width="33.85546875" style="2" customWidth="1"/>
    <col min="15101" max="15101" width="5.140625" style="2" customWidth="1"/>
    <col min="15102" max="15103" width="17.5703125" style="2" customWidth="1"/>
    <col min="15104" max="15347" width="9.140625" style="2"/>
    <col min="15348" max="15348" width="3.5703125" style="2" customWidth="1"/>
    <col min="15349" max="15349" width="96.85546875" style="2" customWidth="1"/>
    <col min="15350" max="15350" width="30.85546875" style="2" customWidth="1"/>
    <col min="15351" max="15351" width="12.5703125" style="2" customWidth="1"/>
    <col min="15352" max="15352" width="5.140625" style="2" customWidth="1"/>
    <col min="15353" max="15353" width="9.140625" style="2"/>
    <col min="15354" max="15354" width="4.85546875" style="2" customWidth="1"/>
    <col min="15355" max="15355" width="30.5703125" style="2" customWidth="1"/>
    <col min="15356" max="15356" width="33.85546875" style="2" customWidth="1"/>
    <col min="15357" max="15357" width="5.140625" style="2" customWidth="1"/>
    <col min="15358" max="15359" width="17.5703125" style="2" customWidth="1"/>
    <col min="15360" max="15603" width="9.140625" style="2"/>
    <col min="15604" max="15604" width="3.5703125" style="2" customWidth="1"/>
    <col min="15605" max="15605" width="96.85546875" style="2" customWidth="1"/>
    <col min="15606" max="15606" width="30.85546875" style="2" customWidth="1"/>
    <col min="15607" max="15607" width="12.5703125" style="2" customWidth="1"/>
    <col min="15608" max="15608" width="5.140625" style="2" customWidth="1"/>
    <col min="15609" max="15609" width="9.140625" style="2"/>
    <col min="15610" max="15610" width="4.85546875" style="2" customWidth="1"/>
    <col min="15611" max="15611" width="30.5703125" style="2" customWidth="1"/>
    <col min="15612" max="15612" width="33.85546875" style="2" customWidth="1"/>
    <col min="15613" max="15613" width="5.140625" style="2" customWidth="1"/>
    <col min="15614" max="15615" width="17.5703125" style="2" customWidth="1"/>
    <col min="15616" max="15859" width="9.140625" style="2"/>
    <col min="15860" max="15860" width="3.5703125" style="2" customWidth="1"/>
    <col min="15861" max="15861" width="96.85546875" style="2" customWidth="1"/>
    <col min="15862" max="15862" width="30.85546875" style="2" customWidth="1"/>
    <col min="15863" max="15863" width="12.5703125" style="2" customWidth="1"/>
    <col min="15864" max="15864" width="5.140625" style="2" customWidth="1"/>
    <col min="15865" max="15865" width="9.140625" style="2"/>
    <col min="15866" max="15866" width="4.85546875" style="2" customWidth="1"/>
    <col min="15867" max="15867" width="30.5703125" style="2" customWidth="1"/>
    <col min="15868" max="15868" width="33.85546875" style="2" customWidth="1"/>
    <col min="15869" max="15869" width="5.140625" style="2" customWidth="1"/>
    <col min="15870" max="15871" width="17.5703125" style="2" customWidth="1"/>
    <col min="15872" max="16115" width="9.140625" style="2"/>
    <col min="16116" max="16116" width="3.5703125" style="2" customWidth="1"/>
    <col min="16117" max="16117" width="96.85546875" style="2" customWidth="1"/>
    <col min="16118" max="16118" width="30.85546875" style="2" customWidth="1"/>
    <col min="16119" max="16119" width="12.5703125" style="2" customWidth="1"/>
    <col min="16120" max="16120" width="5.140625" style="2" customWidth="1"/>
    <col min="16121" max="16121" width="9.140625" style="2"/>
    <col min="16122" max="16122" width="4.85546875" style="2" customWidth="1"/>
    <col min="16123" max="16123" width="30.5703125" style="2" customWidth="1"/>
    <col min="16124" max="16124" width="33.85546875" style="2" customWidth="1"/>
    <col min="16125" max="16125" width="5.140625" style="2" customWidth="1"/>
    <col min="16126" max="16127" width="17.5703125" style="2" customWidth="1"/>
    <col min="16128" max="16384" width="9.140625" style="2"/>
  </cols>
  <sheetData>
    <row r="1" spans="1:3" ht="48" customHeight="1" x14ac:dyDescent="0.2">
      <c r="A1" s="1"/>
      <c r="B1" s="143" t="s">
        <v>0</v>
      </c>
      <c r="C1" s="143"/>
    </row>
    <row r="2" spans="1:3" x14ac:dyDescent="0.2">
      <c r="A2" s="3"/>
      <c r="B2" s="4" t="s">
        <v>1</v>
      </c>
      <c r="C2" s="5">
        <v>46052</v>
      </c>
    </row>
    <row r="3" spans="1:3" x14ac:dyDescent="0.2">
      <c r="A3" s="3"/>
      <c r="B3" s="6" t="s">
        <v>2</v>
      </c>
    </row>
    <row r="4" spans="1:3" ht="25.5" x14ac:dyDescent="0.2">
      <c r="A4" s="8"/>
      <c r="B4" s="9" t="str">
        <f>[38]И1!D13</f>
        <v>Субъект Российской Федерации</v>
      </c>
      <c r="C4" s="10" t="str">
        <f>[38]И1!E13</f>
        <v>Новосибирская область</v>
      </c>
    </row>
    <row r="5" spans="1:3" ht="51.75" customHeight="1" x14ac:dyDescent="0.2">
      <c r="A5" s="8"/>
      <c r="B5" s="9" t="str">
        <f>[38]И1!D14</f>
        <v>Тип муниципального образования (выберите из списка)</v>
      </c>
      <c r="C5" s="10" t="str">
        <f>[39]И1!E14</f>
        <v>поселок Чернореченский, Искитимский муниципальный район</v>
      </c>
    </row>
    <row r="6" spans="1:3" x14ac:dyDescent="0.2">
      <c r="A6" s="8"/>
      <c r="B6" s="9" t="str">
        <f>IF([38]И1!E15="","",[38]И1!D15)</f>
        <v/>
      </c>
      <c r="C6" s="10">
        <f>IF([38]И1!E15="","",[38]И1!E15)</f>
        <v>0</v>
      </c>
    </row>
    <row r="7" spans="1:3" x14ac:dyDescent="0.2">
      <c r="A7" s="8"/>
      <c r="B7" s="9" t="str">
        <f>[38]И1!D16</f>
        <v>Код ОКТМО</v>
      </c>
      <c r="C7" s="11" t="str">
        <f>[39]И1!E16</f>
        <v xml:space="preserve"> (50615437101)</v>
      </c>
    </row>
    <row r="8" spans="1:3" x14ac:dyDescent="0.2">
      <c r="A8" s="8"/>
      <c r="B8" s="12" t="str">
        <f>[38]И1!D17</f>
        <v>Система теплоснабжения</v>
      </c>
      <c r="C8" s="13">
        <f>[38]И1!E17</f>
        <v>0</v>
      </c>
    </row>
    <row r="9" spans="1:3" x14ac:dyDescent="0.2">
      <c r="A9" s="8"/>
      <c r="B9" s="9" t="str">
        <f>[38]И1!D8</f>
        <v>Период регулирования (i)-й</v>
      </c>
      <c r="C9" s="14">
        <f>[38]И1!E8</f>
        <v>2026</v>
      </c>
    </row>
    <row r="10" spans="1:3" x14ac:dyDescent="0.2">
      <c r="A10" s="8"/>
      <c r="B10" s="9" t="str">
        <f>[38]И1!D9</f>
        <v>Период регулирования (i-1)-й</v>
      </c>
      <c r="C10" s="14">
        <f>[38]И1!E9</f>
        <v>2025</v>
      </c>
    </row>
    <row r="11" spans="1:3" x14ac:dyDescent="0.2">
      <c r="A11" s="8"/>
      <c r="B11" s="9" t="str">
        <f>[38]И1!D10</f>
        <v>Период регулирования (i-2)-й</v>
      </c>
      <c r="C11" s="14">
        <f>[38]И1!E10</f>
        <v>2024</v>
      </c>
    </row>
    <row r="12" spans="1:3" x14ac:dyDescent="0.2">
      <c r="A12" s="8"/>
      <c r="B12" s="9" t="str">
        <f>[38]И1!D11</f>
        <v>Базовый год (б)</v>
      </c>
      <c r="C12" s="14">
        <f>[38]И1!E11</f>
        <v>2019</v>
      </c>
    </row>
    <row r="13" spans="1:3" x14ac:dyDescent="0.2">
      <c r="A13" s="8"/>
      <c r="B13" s="9" t="str">
        <f>[38]И1!D18</f>
        <v>Вид топлива, использование которого преобладает в системе теплоснабжения</v>
      </c>
      <c r="C13" s="15" t="str">
        <f>[38]С1.1!E13</f>
        <v>каменный уголь</v>
      </c>
    </row>
    <row r="14" spans="1:3" ht="31.7" customHeight="1" thickBot="1" x14ac:dyDescent="0.25">
      <c r="A14" s="142" t="s">
        <v>3</v>
      </c>
      <c r="B14" s="142"/>
      <c r="C14" s="142"/>
    </row>
    <row r="15" spans="1:3" x14ac:dyDescent="0.2">
      <c r="A15" s="16" t="s">
        <v>4</v>
      </c>
      <c r="B15" s="17" t="s">
        <v>5</v>
      </c>
      <c r="C15" s="18" t="s">
        <v>6</v>
      </c>
    </row>
    <row r="16" spans="1:3" x14ac:dyDescent="0.2">
      <c r="A16" s="19">
        <v>1</v>
      </c>
      <c r="B16" s="20">
        <v>2</v>
      </c>
      <c r="C16" s="21">
        <v>3</v>
      </c>
    </row>
    <row r="17" spans="1:3" x14ac:dyDescent="0.2">
      <c r="A17" s="22">
        <v>1</v>
      </c>
      <c r="B17" s="23" t="s">
        <v>7</v>
      </c>
      <c r="C17" s="24">
        <f>SUM(C18:C22)</f>
        <v>5966.0721412840148</v>
      </c>
    </row>
    <row r="18" spans="1:3" ht="42.75" x14ac:dyDescent="0.2">
      <c r="A18" s="22" t="s">
        <v>8</v>
      </c>
      <c r="B18" s="25" t="s">
        <v>9</v>
      </c>
      <c r="C18" s="26">
        <f>[38]С1!F12</f>
        <v>1253.4885262317794</v>
      </c>
    </row>
    <row r="19" spans="1:3" ht="42.75" x14ac:dyDescent="0.2">
      <c r="A19" s="22" t="s">
        <v>10</v>
      </c>
      <c r="B19" s="25" t="s">
        <v>11</v>
      </c>
      <c r="C19" s="26">
        <f>[38]С2!F12</f>
        <v>3097.7824122172187</v>
      </c>
    </row>
    <row r="20" spans="1:3" ht="30" x14ac:dyDescent="0.2">
      <c r="A20" s="22" t="s">
        <v>12</v>
      </c>
      <c r="B20" s="25" t="s">
        <v>13</v>
      </c>
      <c r="C20" s="26">
        <f>[38]С3!F12</f>
        <v>940.47266370947932</v>
      </c>
    </row>
    <row r="21" spans="1:3" ht="42.75" x14ac:dyDescent="0.2">
      <c r="A21" s="22" t="s">
        <v>14</v>
      </c>
      <c r="B21" s="25" t="s">
        <v>15</v>
      </c>
      <c r="C21" s="26">
        <f>[38]С4!F12</f>
        <v>557.34673243369434</v>
      </c>
    </row>
    <row r="22" spans="1:3" ht="30" x14ac:dyDescent="0.2">
      <c r="A22" s="22" t="s">
        <v>16</v>
      </c>
      <c r="B22" s="25" t="s">
        <v>17</v>
      </c>
      <c r="C22" s="26">
        <f>[38]С5!F12</f>
        <v>116.98180669184343</v>
      </c>
    </row>
    <row r="23" spans="1:3" ht="43.5" thickBot="1" x14ac:dyDescent="0.25">
      <c r="A23" s="27" t="s">
        <v>18</v>
      </c>
      <c r="B23" s="140" t="s">
        <v>19</v>
      </c>
      <c r="C23" s="28" t="str">
        <f>[38]С6!F12</f>
        <v>-</v>
      </c>
    </row>
    <row r="24" spans="1:3" ht="13.5" thickBot="1" x14ac:dyDescent="0.25">
      <c r="A24" s="3"/>
    </row>
    <row r="25" spans="1:3" x14ac:dyDescent="0.2">
      <c r="A25" s="16" t="s">
        <v>4</v>
      </c>
      <c r="B25" s="29" t="s">
        <v>5</v>
      </c>
      <c r="C25" s="30" t="s">
        <v>6</v>
      </c>
    </row>
    <row r="26" spans="1:3" x14ac:dyDescent="0.2">
      <c r="A26" s="19">
        <v>1</v>
      </c>
      <c r="B26" s="31">
        <v>2</v>
      </c>
      <c r="C26" s="32">
        <v>3</v>
      </c>
    </row>
    <row r="27" spans="1:3" ht="39.75" customHeight="1" x14ac:dyDescent="0.2">
      <c r="A27" s="22">
        <v>1</v>
      </c>
      <c r="B27" s="144" t="s">
        <v>20</v>
      </c>
      <c r="C27" s="144"/>
    </row>
    <row r="28" spans="1:3" ht="128.25" customHeight="1" x14ac:dyDescent="0.2">
      <c r="A28" s="22" t="s">
        <v>8</v>
      </c>
      <c r="B28" s="33" t="s">
        <v>21</v>
      </c>
      <c r="C28" s="34">
        <f>[38]С1.1!E16</f>
        <v>5100</v>
      </c>
    </row>
    <row r="29" spans="1:3" ht="57.75" customHeight="1" x14ac:dyDescent="0.2">
      <c r="A29" s="22" t="s">
        <v>10</v>
      </c>
      <c r="B29" s="33" t="s">
        <v>22</v>
      </c>
      <c r="C29" s="34">
        <f>[38]С1.1!E27</f>
        <v>5390.87</v>
      </c>
    </row>
    <row r="30" spans="1:3" ht="261.75" customHeight="1" x14ac:dyDescent="0.2">
      <c r="A30" s="22" t="s">
        <v>12</v>
      </c>
      <c r="B30" s="33" t="s">
        <v>23</v>
      </c>
      <c r="C30" s="35">
        <f>[38]С1.1!E19</f>
        <v>-0.11899999999999999</v>
      </c>
    </row>
    <row r="31" spans="1:3" ht="17.25" x14ac:dyDescent="0.2">
      <c r="A31" s="22" t="s">
        <v>14</v>
      </c>
      <c r="B31" s="33" t="s">
        <v>24</v>
      </c>
      <c r="C31" s="35">
        <f>[38]С1.1!E20</f>
        <v>4.0000000000000001E-3</v>
      </c>
    </row>
    <row r="32" spans="1:3" ht="30" x14ac:dyDescent="0.2">
      <c r="A32" s="22" t="s">
        <v>16</v>
      </c>
      <c r="B32" s="36" t="s">
        <v>25</v>
      </c>
      <c r="C32" s="37">
        <f>[38]С1!F13</f>
        <v>176.4</v>
      </c>
    </row>
    <row r="33" spans="1:3" x14ac:dyDescent="0.2">
      <c r="A33" s="22" t="s">
        <v>18</v>
      </c>
      <c r="B33" s="36" t="s">
        <v>26</v>
      </c>
      <c r="C33" s="38">
        <f>[38]С1!F16</f>
        <v>7000</v>
      </c>
    </row>
    <row r="34" spans="1:3" ht="14.25" x14ac:dyDescent="0.2">
      <c r="A34" s="22" t="s">
        <v>27</v>
      </c>
      <c r="B34" s="39" t="s">
        <v>28</v>
      </c>
      <c r="C34" s="40">
        <f>[38]С1!F17</f>
        <v>0.72857142857142854</v>
      </c>
    </row>
    <row r="35" spans="1:3" ht="15.75" x14ac:dyDescent="0.2">
      <c r="A35" s="41" t="s">
        <v>29</v>
      </c>
      <c r="B35" s="42" t="s">
        <v>30</v>
      </c>
      <c r="C35" s="40">
        <f>[38]С1!F20</f>
        <v>21.588411179999994</v>
      </c>
    </row>
    <row r="36" spans="1:3" ht="15.75" x14ac:dyDescent="0.2">
      <c r="A36" s="41" t="s">
        <v>31</v>
      </c>
      <c r="B36" s="43" t="s">
        <v>32</v>
      </c>
      <c r="C36" s="40">
        <f>[38]С1!F21</f>
        <v>20.818139999999996</v>
      </c>
    </row>
    <row r="37" spans="1:3" ht="14.25" x14ac:dyDescent="0.2">
      <c r="A37" s="41" t="s">
        <v>33</v>
      </c>
      <c r="B37" s="44" t="s">
        <v>34</v>
      </c>
      <c r="C37" s="40">
        <f>[38]С1!F22</f>
        <v>1.0369999999999999</v>
      </c>
    </row>
    <row r="38" spans="1:3" ht="53.25" thickBot="1" x14ac:dyDescent="0.25">
      <c r="A38" s="27" t="s">
        <v>35</v>
      </c>
      <c r="B38" s="45" t="s">
        <v>36</v>
      </c>
      <c r="C38" s="46">
        <f>[38]С1!F23</f>
        <v>1.0469999999999999</v>
      </c>
    </row>
    <row r="39" spans="1:3" ht="13.5" thickBot="1" x14ac:dyDescent="0.25">
      <c r="A39" s="47"/>
      <c r="B39" s="48"/>
      <c r="C39" s="49"/>
    </row>
    <row r="40" spans="1:3" ht="30" customHeight="1" x14ac:dyDescent="0.2">
      <c r="A40" s="50" t="s">
        <v>37</v>
      </c>
      <c r="B40" s="145" t="s">
        <v>38</v>
      </c>
      <c r="C40" s="145"/>
    </row>
    <row r="41" spans="1:3" ht="25.5" x14ac:dyDescent="0.2">
      <c r="A41" s="22" t="s">
        <v>39</v>
      </c>
      <c r="B41" s="36" t="s">
        <v>40</v>
      </c>
      <c r="C41" s="51" t="str">
        <f>[38]С2.1!E12</f>
        <v>V</v>
      </c>
    </row>
    <row r="42" spans="1:3" ht="233.25" customHeight="1" x14ac:dyDescent="0.2">
      <c r="A42" s="22" t="s">
        <v>41</v>
      </c>
      <c r="B42" s="33" t="s">
        <v>42</v>
      </c>
      <c r="C42" s="51" t="str">
        <f>[38]С2.1!E13</f>
        <v>6 и менее баллов</v>
      </c>
    </row>
    <row r="43" spans="1:3" ht="144.75" customHeight="1" x14ac:dyDescent="0.2">
      <c r="A43" s="22" t="s">
        <v>43</v>
      </c>
      <c r="B43" s="33" t="s">
        <v>44</v>
      </c>
      <c r="C43" s="51" t="str">
        <f>[38]С2.1!E14</f>
        <v>от 200 до 500</v>
      </c>
    </row>
    <row r="44" spans="1:3" ht="25.5" x14ac:dyDescent="0.2">
      <c r="A44" s="22" t="s">
        <v>45</v>
      </c>
      <c r="B44" s="33" t="s">
        <v>46</v>
      </c>
      <c r="C44" s="52" t="str">
        <f>[38]С2.1!E15</f>
        <v>нет</v>
      </c>
    </row>
    <row r="45" spans="1:3" ht="30" x14ac:dyDescent="0.2">
      <c r="A45" s="22" t="s">
        <v>47</v>
      </c>
      <c r="B45" s="33" t="s">
        <v>48</v>
      </c>
      <c r="C45" s="34">
        <f>[38]С2!F18</f>
        <v>40220.845230503684</v>
      </c>
    </row>
    <row r="46" spans="1:3" ht="30" x14ac:dyDescent="0.2">
      <c r="A46" s="22" t="s">
        <v>49</v>
      </c>
      <c r="B46" s="53" t="s">
        <v>50</v>
      </c>
      <c r="C46" s="34">
        <f>IF([38]С2!F19&gt;0,[38]С2!F19,[38]С2!F20)</f>
        <v>23441.524932855718</v>
      </c>
    </row>
    <row r="47" spans="1:3" ht="46.5" customHeight="1" x14ac:dyDescent="0.2">
      <c r="A47" s="22" t="s">
        <v>51</v>
      </c>
      <c r="B47" s="54" t="s">
        <v>52</v>
      </c>
      <c r="C47" s="34">
        <f>[38]С2.1!E19</f>
        <v>-38</v>
      </c>
    </row>
    <row r="48" spans="1:3" ht="25.5" x14ac:dyDescent="0.2">
      <c r="A48" s="22" t="s">
        <v>53</v>
      </c>
      <c r="B48" s="54" t="s">
        <v>54</v>
      </c>
      <c r="C48" s="34" t="str">
        <f>[38]С2.1!E22</f>
        <v>нет</v>
      </c>
    </row>
    <row r="49" spans="1:3" ht="38.25" x14ac:dyDescent="0.2">
      <c r="A49" s="22" t="s">
        <v>55</v>
      </c>
      <c r="B49" s="55" t="s">
        <v>56</v>
      </c>
      <c r="C49" s="34">
        <f>[38]С2.2!E10</f>
        <v>1287</v>
      </c>
    </row>
    <row r="50" spans="1:3" ht="25.5" x14ac:dyDescent="0.2">
      <c r="A50" s="22" t="s">
        <v>57</v>
      </c>
      <c r="B50" s="56" t="s">
        <v>58</v>
      </c>
      <c r="C50" s="34">
        <f>[38]С2.2!E12</f>
        <v>5.97</v>
      </c>
    </row>
    <row r="51" spans="1:3" ht="52.5" x14ac:dyDescent="0.2">
      <c r="A51" s="22" t="s">
        <v>59</v>
      </c>
      <c r="B51" s="57" t="s">
        <v>60</v>
      </c>
      <c r="C51" s="34">
        <f>[38]С2.2!E13</f>
        <v>1</v>
      </c>
    </row>
    <row r="52" spans="1:3" ht="27.75" x14ac:dyDescent="0.2">
      <c r="A52" s="22" t="s">
        <v>61</v>
      </c>
      <c r="B52" s="56" t="s">
        <v>62</v>
      </c>
      <c r="C52" s="34">
        <f>[38]С2.2!E14</f>
        <v>12104</v>
      </c>
    </row>
    <row r="53" spans="1:3" ht="79.5" customHeight="1" x14ac:dyDescent="0.2">
      <c r="A53" s="22" t="s">
        <v>63</v>
      </c>
      <c r="B53" s="57" t="s">
        <v>64</v>
      </c>
      <c r="C53" s="35">
        <f>[38]С2.2!E15</f>
        <v>4.8000000000000001E-2</v>
      </c>
    </row>
    <row r="54" spans="1:3" x14ac:dyDescent="0.2">
      <c r="A54" s="22" t="s">
        <v>65</v>
      </c>
      <c r="B54" s="57" t="s">
        <v>66</v>
      </c>
      <c r="C54" s="34">
        <f>[38]С2.2!E16</f>
        <v>1</v>
      </c>
    </row>
    <row r="55" spans="1:3" ht="15.75" x14ac:dyDescent="0.2">
      <c r="A55" s="22" t="s">
        <v>67</v>
      </c>
      <c r="B55" s="58" t="s">
        <v>68</v>
      </c>
      <c r="C55" s="34">
        <f>[38]С2!F21</f>
        <v>1</v>
      </c>
    </row>
    <row r="56" spans="1:3" ht="30" x14ac:dyDescent="0.2">
      <c r="A56" s="59" t="s">
        <v>69</v>
      </c>
      <c r="B56" s="33" t="s">
        <v>70</v>
      </c>
      <c r="C56" s="34">
        <f>[38]С2!F13</f>
        <v>210571.60987470482</v>
      </c>
    </row>
    <row r="57" spans="1:3" ht="30" x14ac:dyDescent="0.2">
      <c r="A57" s="59" t="s">
        <v>71</v>
      </c>
      <c r="B57" s="58" t="s">
        <v>72</v>
      </c>
      <c r="C57" s="34">
        <f>[38]С2!F14</f>
        <v>113455</v>
      </c>
    </row>
    <row r="58" spans="1:3" ht="15.75" x14ac:dyDescent="0.2">
      <c r="A58" s="59" t="s">
        <v>73</v>
      </c>
      <c r="B58" s="60" t="s">
        <v>74</v>
      </c>
      <c r="C58" s="40">
        <f>[38]С2!F15</f>
        <v>1.071</v>
      </c>
    </row>
    <row r="59" spans="1:3" ht="15.75" x14ac:dyDescent="0.2">
      <c r="A59" s="59" t="s">
        <v>75</v>
      </c>
      <c r="B59" s="60" t="s">
        <v>76</v>
      </c>
      <c r="C59" s="40">
        <f>[38]С2!F16</f>
        <v>1</v>
      </c>
    </row>
    <row r="60" spans="1:3" ht="17.25" x14ac:dyDescent="0.2">
      <c r="A60" s="59" t="s">
        <v>77</v>
      </c>
      <c r="B60" s="58" t="s">
        <v>78</v>
      </c>
      <c r="C60" s="34">
        <f>[38]С2!F17</f>
        <v>1.01</v>
      </c>
    </row>
    <row r="61" spans="1:3" s="63" customFormat="1" ht="14.25" x14ac:dyDescent="0.2">
      <c r="A61" s="59" t="s">
        <v>79</v>
      </c>
      <c r="B61" s="61" t="s">
        <v>80</v>
      </c>
      <c r="C61" s="62">
        <f>[38]С2!F33</f>
        <v>10</v>
      </c>
    </row>
    <row r="62" spans="1:3" ht="30" x14ac:dyDescent="0.2">
      <c r="A62" s="59" t="s">
        <v>81</v>
      </c>
      <c r="B62" s="64" t="s">
        <v>82</v>
      </c>
      <c r="C62" s="34">
        <f>[38]С2!F26</f>
        <v>3185.880383940208</v>
      </c>
    </row>
    <row r="63" spans="1:3" ht="168" customHeight="1" x14ac:dyDescent="0.2">
      <c r="A63" s="59" t="s">
        <v>83</v>
      </c>
      <c r="B63" s="53" t="s">
        <v>84</v>
      </c>
      <c r="C63" s="34">
        <f>[38]С2!F27</f>
        <v>0.44209422600000003</v>
      </c>
    </row>
    <row r="64" spans="1:3" ht="17.25" x14ac:dyDescent="0.2">
      <c r="A64" s="59" t="s">
        <v>85</v>
      </c>
      <c r="B64" s="58" t="s">
        <v>86</v>
      </c>
      <c r="C64" s="62">
        <f>[38]С2!F28</f>
        <v>4200</v>
      </c>
    </row>
    <row r="65" spans="1:3" ht="42.75" x14ac:dyDescent="0.2">
      <c r="A65" s="59" t="s">
        <v>87</v>
      </c>
      <c r="B65" s="33" t="s">
        <v>88</v>
      </c>
      <c r="C65" s="34">
        <f>[38]С2!F22</f>
        <v>4298.6978080550834</v>
      </c>
    </row>
    <row r="66" spans="1:3" ht="30" x14ac:dyDescent="0.2">
      <c r="A66" s="59" t="s">
        <v>89</v>
      </c>
      <c r="B66" s="60" t="s">
        <v>90</v>
      </c>
      <c r="C66" s="34">
        <f>[38]С2!F23</f>
        <v>1990</v>
      </c>
    </row>
    <row r="67" spans="1:3" ht="30" x14ac:dyDescent="0.2">
      <c r="A67" s="59" t="s">
        <v>91</v>
      </c>
      <c r="B67" s="53" t="s">
        <v>92</v>
      </c>
      <c r="C67" s="34">
        <f>[38]С2.1!E27</f>
        <v>246.24401</v>
      </c>
    </row>
    <row r="68" spans="1:3" ht="73.5" customHeight="1" x14ac:dyDescent="0.2">
      <c r="A68" s="59" t="s">
        <v>93</v>
      </c>
      <c r="B68" s="65" t="s">
        <v>94</v>
      </c>
      <c r="C68" s="52" t="str">
        <f>[38]С2.3!E21</f>
        <v>Муниципальное унитарное предприятие города Куйбышева Куйбышевского района Новосибирской области "Горводоканал"</v>
      </c>
    </row>
    <row r="69" spans="1:3" ht="25.5" x14ac:dyDescent="0.2">
      <c r="A69" s="59" t="s">
        <v>95</v>
      </c>
      <c r="B69" s="66" t="s">
        <v>96</v>
      </c>
      <c r="C69" s="67">
        <f>[38]С2.3!E11</f>
        <v>9.89</v>
      </c>
    </row>
    <row r="70" spans="1:3" ht="25.5" x14ac:dyDescent="0.2">
      <c r="A70" s="59" t="s">
        <v>97</v>
      </c>
      <c r="B70" s="66" t="s">
        <v>98</v>
      </c>
      <c r="C70" s="62">
        <f>[38]С2.3!E13</f>
        <v>300</v>
      </c>
    </row>
    <row r="71" spans="1:3" ht="192.75" customHeight="1" x14ac:dyDescent="0.2">
      <c r="A71" s="59" t="s">
        <v>99</v>
      </c>
      <c r="B71" s="65" t="s">
        <v>100</v>
      </c>
      <c r="C71" s="68">
        <f>IF([38]С2.3!E22&gt;0,[38]С2.3!E22,[38]С2.3!E14)</f>
        <v>8809</v>
      </c>
    </row>
    <row r="72" spans="1:3" ht="192.75" customHeight="1" x14ac:dyDescent="0.2">
      <c r="A72" s="59" t="s">
        <v>101</v>
      </c>
      <c r="B72" s="65" t="s">
        <v>102</v>
      </c>
      <c r="C72" s="68">
        <f>IF([38]С2.3!E23&gt;0,[38]С2.3!E23,[38]С2.3!E15)</f>
        <v>530.41</v>
      </c>
    </row>
    <row r="73" spans="1:3" ht="30" x14ac:dyDescent="0.2">
      <c r="A73" s="59" t="s">
        <v>103</v>
      </c>
      <c r="B73" s="53" t="s">
        <v>104</v>
      </c>
      <c r="C73" s="34">
        <f>[38]С2.1!E28</f>
        <v>269.12432000000001</v>
      </c>
    </row>
    <row r="74" spans="1:3" ht="87" customHeight="1" x14ac:dyDescent="0.2">
      <c r="A74" s="59" t="s">
        <v>105</v>
      </c>
      <c r="B74" s="65" t="s">
        <v>106</v>
      </c>
      <c r="C74" s="52" t="str">
        <f>[38]С2.3!E25</f>
        <v>Муниципальное унитарное предприятие города Куйбышева Куйбышевского района Новосибирской области "Геострой"</v>
      </c>
    </row>
    <row r="75" spans="1:3" ht="25.5" x14ac:dyDescent="0.2">
      <c r="A75" s="59" t="s">
        <v>107</v>
      </c>
      <c r="B75" s="66" t="s">
        <v>108</v>
      </c>
      <c r="C75" s="67">
        <f>[38]С2.3!E12</f>
        <v>0.56000000000000005</v>
      </c>
    </row>
    <row r="76" spans="1:3" ht="25.5" x14ac:dyDescent="0.2">
      <c r="A76" s="59" t="s">
        <v>109</v>
      </c>
      <c r="B76" s="66" t="s">
        <v>98</v>
      </c>
      <c r="C76" s="62">
        <f>[38]С2.3!E13</f>
        <v>300</v>
      </c>
    </row>
    <row r="77" spans="1:3" ht="183" customHeight="1" x14ac:dyDescent="0.2">
      <c r="A77" s="59" t="s">
        <v>110</v>
      </c>
      <c r="B77" s="69" t="s">
        <v>111</v>
      </c>
      <c r="C77" s="68">
        <f>IF([38]С2.3!E26&gt;0,[38]С2.3!E26,[38]С2.3!E16)</f>
        <v>21397</v>
      </c>
    </row>
    <row r="78" spans="1:3" ht="186.75" customHeight="1" x14ac:dyDescent="0.2">
      <c r="A78" s="59" t="s">
        <v>112</v>
      </c>
      <c r="B78" s="69" t="s">
        <v>113</v>
      </c>
      <c r="C78" s="68">
        <f>IF([38]С2.3!E27&gt;0,[38]С2.3!E27,[38]С2.3!E17)</f>
        <v>857.14</v>
      </c>
    </row>
    <row r="79" spans="1:3" ht="17.25" x14ac:dyDescent="0.2">
      <c r="A79" s="59" t="s">
        <v>114</v>
      </c>
      <c r="B79" s="33" t="s">
        <v>115</v>
      </c>
      <c r="C79" s="35">
        <f>[38]С2!F29</f>
        <v>0.21369165990259753</v>
      </c>
    </row>
    <row r="80" spans="1:3" ht="30" x14ac:dyDescent="0.2">
      <c r="A80" s="59" t="s">
        <v>116</v>
      </c>
      <c r="B80" s="53" t="s">
        <v>117</v>
      </c>
      <c r="C80" s="70">
        <f>[38]С2!F30</f>
        <v>0.20047619047619047</v>
      </c>
    </row>
    <row r="81" spans="1:3" ht="17.25" x14ac:dyDescent="0.2">
      <c r="A81" s="59" t="s">
        <v>118</v>
      </c>
      <c r="B81" s="71" t="s">
        <v>119</v>
      </c>
      <c r="C81" s="35">
        <f>[38]С2!F31</f>
        <v>0.13880000000000001</v>
      </c>
    </row>
    <row r="82" spans="1:3" s="63" customFormat="1" ht="18" thickBot="1" x14ac:dyDescent="0.25">
      <c r="A82" s="72" t="s">
        <v>120</v>
      </c>
      <c r="B82" s="73" t="s">
        <v>121</v>
      </c>
      <c r="C82" s="74">
        <f>[38]С2!F32</f>
        <v>0.12640000000000001</v>
      </c>
    </row>
    <row r="83" spans="1:3" ht="13.5" thickBot="1" x14ac:dyDescent="0.25">
      <c r="A83" s="47"/>
      <c r="B83" s="75"/>
      <c r="C83" s="15"/>
    </row>
    <row r="84" spans="1:3" s="63" customFormat="1" ht="30" customHeight="1" x14ac:dyDescent="0.2">
      <c r="A84" s="76" t="s">
        <v>122</v>
      </c>
      <c r="B84" s="145" t="s">
        <v>123</v>
      </c>
      <c r="C84" s="145"/>
    </row>
    <row r="85" spans="1:3" s="63" customFormat="1" ht="30" x14ac:dyDescent="0.2">
      <c r="A85" s="77" t="s">
        <v>124</v>
      </c>
      <c r="B85" s="33" t="s">
        <v>125</v>
      </c>
      <c r="C85" s="34">
        <f>[38]С3!F14</f>
        <v>15827.997028730506</v>
      </c>
    </row>
    <row r="86" spans="1:3" s="63" customFormat="1" ht="42.75" x14ac:dyDescent="0.2">
      <c r="A86" s="77" t="s">
        <v>126</v>
      </c>
      <c r="B86" s="53" t="s">
        <v>127</v>
      </c>
      <c r="C86" s="78">
        <f>[38]С3!F15</f>
        <v>0.25</v>
      </c>
    </row>
    <row r="87" spans="1:3" s="63" customFormat="1" ht="14.25" x14ac:dyDescent="0.2">
      <c r="A87" s="77" t="s">
        <v>128</v>
      </c>
      <c r="B87" s="79" t="s">
        <v>129</v>
      </c>
      <c r="C87" s="62">
        <f>[38]С3!F18</f>
        <v>15</v>
      </c>
    </row>
    <row r="88" spans="1:3" s="63" customFormat="1" ht="17.25" x14ac:dyDescent="0.2">
      <c r="A88" s="77" t="s">
        <v>130</v>
      </c>
      <c r="B88" s="33" t="s">
        <v>131</v>
      </c>
      <c r="C88" s="34">
        <f>[38]С3!F19</f>
        <v>3741.3369093945325</v>
      </c>
    </row>
    <row r="89" spans="1:3" s="63" customFormat="1" ht="55.5" x14ac:dyDescent="0.2">
      <c r="A89" s="77" t="s">
        <v>132</v>
      </c>
      <c r="B89" s="53" t="s">
        <v>133</v>
      </c>
      <c r="C89" s="80">
        <f>[38]С3!F20</f>
        <v>2.1999999999999999E-2</v>
      </c>
    </row>
    <row r="90" spans="1:3" s="63" customFormat="1" ht="14.25" x14ac:dyDescent="0.2">
      <c r="A90" s="77" t="s">
        <v>134</v>
      </c>
      <c r="B90" s="58" t="s">
        <v>80</v>
      </c>
      <c r="C90" s="62">
        <f>[38]С3!F21</f>
        <v>10</v>
      </c>
    </row>
    <row r="91" spans="1:3" s="63" customFormat="1" ht="17.25" x14ac:dyDescent="0.2">
      <c r="A91" s="77" t="s">
        <v>135</v>
      </c>
      <c r="B91" s="33" t="s">
        <v>136</v>
      </c>
      <c r="C91" s="34">
        <f>[38]С3!F22</f>
        <v>9.5576411518206239</v>
      </c>
    </row>
    <row r="92" spans="1:3" s="63" customFormat="1" ht="57" customHeight="1" x14ac:dyDescent="0.2">
      <c r="A92" s="77" t="s">
        <v>137</v>
      </c>
      <c r="B92" s="53" t="s">
        <v>138</v>
      </c>
      <c r="C92" s="80">
        <f>[38]С3!F23</f>
        <v>3.0000000000000001E-3</v>
      </c>
    </row>
    <row r="93" spans="1:3" s="63" customFormat="1" ht="27.75" thickBot="1" x14ac:dyDescent="0.25">
      <c r="A93" s="81" t="s">
        <v>139</v>
      </c>
      <c r="B93" s="82" t="s">
        <v>140</v>
      </c>
      <c r="C93" s="83">
        <f>[38]С3!F24</f>
        <v>3185.880383940208</v>
      </c>
    </row>
    <row r="94" spans="1:3" ht="13.5" thickBot="1" x14ac:dyDescent="0.25">
      <c r="A94" s="47"/>
      <c r="B94" s="75"/>
      <c r="C94" s="15"/>
    </row>
    <row r="95" spans="1:3" ht="30" customHeight="1" x14ac:dyDescent="0.2">
      <c r="A95" s="84" t="s">
        <v>141</v>
      </c>
      <c r="B95" s="145" t="s">
        <v>142</v>
      </c>
      <c r="C95" s="145"/>
    </row>
    <row r="96" spans="1:3" ht="30" x14ac:dyDescent="0.2">
      <c r="A96" s="59" t="s">
        <v>143</v>
      </c>
      <c r="B96" s="33" t="s">
        <v>144</v>
      </c>
      <c r="C96" s="34">
        <f>[38]С4!F16</f>
        <v>1652.5</v>
      </c>
    </row>
    <row r="97" spans="1:3" ht="30" x14ac:dyDescent="0.2">
      <c r="A97" s="59" t="s">
        <v>145</v>
      </c>
      <c r="B97" s="58" t="s">
        <v>146</v>
      </c>
      <c r="C97" s="34">
        <f>[38]С4!F17</f>
        <v>73547</v>
      </c>
    </row>
    <row r="98" spans="1:3" ht="17.25" x14ac:dyDescent="0.2">
      <c r="A98" s="59" t="s">
        <v>147</v>
      </c>
      <c r="B98" s="58" t="s">
        <v>148</v>
      </c>
      <c r="C98" s="40">
        <f>[38]С4!F18</f>
        <v>0.02</v>
      </c>
    </row>
    <row r="99" spans="1:3" ht="30" x14ac:dyDescent="0.2">
      <c r="A99" s="59" t="s">
        <v>149</v>
      </c>
      <c r="B99" s="58" t="s">
        <v>150</v>
      </c>
      <c r="C99" s="34">
        <f>[38]С4!F19</f>
        <v>12104</v>
      </c>
    </row>
    <row r="100" spans="1:3" ht="31.5" x14ac:dyDescent="0.2">
      <c r="A100" s="59" t="s">
        <v>151</v>
      </c>
      <c r="B100" s="58" t="s">
        <v>152</v>
      </c>
      <c r="C100" s="40">
        <f>[38]С4!F20</f>
        <v>1.4999999999999999E-2</v>
      </c>
    </row>
    <row r="101" spans="1:3" ht="30" x14ac:dyDescent="0.2">
      <c r="A101" s="59" t="s">
        <v>153</v>
      </c>
      <c r="B101" s="33" t="s">
        <v>154</v>
      </c>
      <c r="C101" s="34">
        <f>[38]С4!F21</f>
        <v>1933.1949342509995</v>
      </c>
    </row>
    <row r="102" spans="1:3" ht="35.25" customHeight="1" x14ac:dyDescent="0.2">
      <c r="A102" s="59" t="s">
        <v>155</v>
      </c>
      <c r="B102" s="53" t="s">
        <v>156</v>
      </c>
      <c r="C102" s="85" t="str">
        <f>IF([38]С4.2!F8="да",[38]С4.2!D21,[38]С4.2!D15)</f>
        <v>АО "Новосибирскэнергосбыт"</v>
      </c>
    </row>
    <row r="103" spans="1:3" ht="68.25" x14ac:dyDescent="0.2">
      <c r="A103" s="59" t="s">
        <v>157</v>
      </c>
      <c r="B103" s="53" t="s">
        <v>158</v>
      </c>
      <c r="C103" s="34">
        <f>[38]С4!F22</f>
        <v>3.6112641666666665</v>
      </c>
    </row>
    <row r="104" spans="1:3" ht="30" x14ac:dyDescent="0.2">
      <c r="A104" s="59" t="s">
        <v>159</v>
      </c>
      <c r="B104" s="58" t="s">
        <v>160</v>
      </c>
      <c r="C104" s="34">
        <f>[38]С4!F23</f>
        <v>180</v>
      </c>
    </row>
    <row r="105" spans="1:3" ht="14.25" x14ac:dyDescent="0.2">
      <c r="A105" s="59" t="s">
        <v>161</v>
      </c>
      <c r="B105" s="53" t="s">
        <v>162</v>
      </c>
      <c r="C105" s="34">
        <f>[38]С4!F24</f>
        <v>8497.1999999999989</v>
      </c>
    </row>
    <row r="106" spans="1:3" ht="14.25" x14ac:dyDescent="0.2">
      <c r="A106" s="59" t="s">
        <v>163</v>
      </c>
      <c r="B106" s="58" t="s">
        <v>164</v>
      </c>
      <c r="C106" s="40">
        <f>[38]С4!F25</f>
        <v>0.35</v>
      </c>
    </row>
    <row r="107" spans="1:3" ht="17.25" x14ac:dyDescent="0.2">
      <c r="A107" s="59" t="s">
        <v>165</v>
      </c>
      <c r="B107" s="33" t="s">
        <v>166</v>
      </c>
      <c r="C107" s="34">
        <f>[38]С4!F26</f>
        <v>87.677760000000006</v>
      </c>
    </row>
    <row r="108" spans="1:3" ht="75.75" customHeight="1" x14ac:dyDescent="0.2">
      <c r="A108" s="59" t="s">
        <v>167</v>
      </c>
      <c r="B108" s="53" t="s">
        <v>94</v>
      </c>
      <c r="C108" s="85">
        <f>[38]С4.3!E16</f>
        <v>0</v>
      </c>
    </row>
    <row r="109" spans="1:3" ht="25.5" x14ac:dyDescent="0.2">
      <c r="A109" s="59" t="s">
        <v>168</v>
      </c>
      <c r="B109" s="53" t="s">
        <v>169</v>
      </c>
      <c r="C109" s="34">
        <f>[38]С4.3!E17</f>
        <v>23.92</v>
      </c>
    </row>
    <row r="110" spans="1:3" ht="79.5" customHeight="1" x14ac:dyDescent="0.2">
      <c r="A110" s="59" t="s">
        <v>170</v>
      </c>
      <c r="B110" s="53" t="s">
        <v>106</v>
      </c>
      <c r="C110" s="85">
        <f>[38]С4.3!E18</f>
        <v>0</v>
      </c>
    </row>
    <row r="111" spans="1:3" x14ac:dyDescent="0.2">
      <c r="A111" s="59" t="s">
        <v>171</v>
      </c>
      <c r="B111" s="53" t="s">
        <v>172</v>
      </c>
      <c r="C111" s="34">
        <f>[38]С4.3!E19</f>
        <v>18.579999999999998</v>
      </c>
    </row>
    <row r="112" spans="1:3" x14ac:dyDescent="0.2">
      <c r="A112" s="59" t="s">
        <v>173</v>
      </c>
      <c r="B112" s="58" t="s">
        <v>174</v>
      </c>
      <c r="C112" s="34">
        <f>[38]С4.3!E11</f>
        <v>1871</v>
      </c>
    </row>
    <row r="113" spans="1:3" x14ac:dyDescent="0.2">
      <c r="A113" s="59" t="s">
        <v>175</v>
      </c>
      <c r="B113" s="58" t="s">
        <v>176</v>
      </c>
      <c r="C113" s="52">
        <f>[38]С4.3!E12</f>
        <v>1636</v>
      </c>
    </row>
    <row r="114" spans="1:3" x14ac:dyDescent="0.2">
      <c r="A114" s="59" t="s">
        <v>177</v>
      </c>
      <c r="B114" s="58" t="s">
        <v>178</v>
      </c>
      <c r="C114" s="52">
        <f>[38]С4.3!E13</f>
        <v>204</v>
      </c>
    </row>
    <row r="115" spans="1:3" ht="30" x14ac:dyDescent="0.2">
      <c r="A115" s="59" t="s">
        <v>179</v>
      </c>
      <c r="B115" s="33" t="s">
        <v>180</v>
      </c>
      <c r="C115" s="34">
        <f>[38]С4!F27</f>
        <v>1291.2863994686898</v>
      </c>
    </row>
    <row r="116" spans="1:3" ht="25.5" x14ac:dyDescent="0.2">
      <c r="A116" s="59" t="s">
        <v>181</v>
      </c>
      <c r="B116" s="53" t="s">
        <v>182</v>
      </c>
      <c r="C116" s="34">
        <f>[38]С4!F28</f>
        <v>991.77142816335618</v>
      </c>
    </row>
    <row r="117" spans="1:3" ht="42.75" x14ac:dyDescent="0.2">
      <c r="A117" s="59" t="s">
        <v>183</v>
      </c>
      <c r="B117" s="53" t="s">
        <v>184</v>
      </c>
      <c r="C117" s="34">
        <f>[38]С4!F29</f>
        <v>299.51497130533357</v>
      </c>
    </row>
    <row r="118" spans="1:3" ht="30" x14ac:dyDescent="0.2">
      <c r="A118" s="59" t="s">
        <v>185</v>
      </c>
      <c r="B118" s="39" t="s">
        <v>186</v>
      </c>
      <c r="C118" s="34">
        <f>[38]С4!F30</f>
        <v>3084.5863341972135</v>
      </c>
    </row>
    <row r="119" spans="1:3" ht="42.75" x14ac:dyDescent="0.2">
      <c r="A119" s="59" t="s">
        <v>187</v>
      </c>
      <c r="B119" s="86" t="s">
        <v>188</v>
      </c>
      <c r="C119" s="34">
        <f>[38]С4!F33</f>
        <v>1845.5732419240796</v>
      </c>
    </row>
    <row r="120" spans="1:3" ht="30" x14ac:dyDescent="0.2">
      <c r="A120" s="59" t="s">
        <v>189</v>
      </c>
      <c r="B120" s="87" t="s">
        <v>190</v>
      </c>
      <c r="C120" s="34">
        <f>[38]С4!F35</f>
        <v>18.902267999999999</v>
      </c>
    </row>
    <row r="121" spans="1:3" ht="14.25" x14ac:dyDescent="0.2">
      <c r="A121" s="59" t="s">
        <v>191</v>
      </c>
      <c r="B121" s="56" t="s">
        <v>192</v>
      </c>
      <c r="C121" s="34">
        <f>[38]С4!F36</f>
        <v>14319.9</v>
      </c>
    </row>
    <row r="122" spans="1:3" ht="43.5" customHeight="1" thickBot="1" x14ac:dyDescent="0.25">
      <c r="A122" s="72" t="s">
        <v>193</v>
      </c>
      <c r="B122" s="88" t="s">
        <v>194</v>
      </c>
      <c r="C122" s="83">
        <f>[38]С4!F37</f>
        <v>1.32</v>
      </c>
    </row>
    <row r="123" spans="1:3" s="89" customFormat="1" ht="13.5" thickBot="1" x14ac:dyDescent="0.25">
      <c r="A123" s="47"/>
      <c r="B123" s="75"/>
      <c r="C123" s="15"/>
    </row>
    <row r="124" spans="1:3" s="63" customFormat="1" ht="30" customHeight="1" x14ac:dyDescent="0.2">
      <c r="A124" s="76" t="s">
        <v>195</v>
      </c>
      <c r="B124" s="145" t="s">
        <v>196</v>
      </c>
      <c r="C124" s="145"/>
    </row>
    <row r="125" spans="1:3" ht="16.5" thickBot="1" x14ac:dyDescent="0.25">
      <c r="A125" s="27" t="s">
        <v>197</v>
      </c>
      <c r="B125" s="90" t="s">
        <v>198</v>
      </c>
      <c r="C125" s="83">
        <f>[38]С5!F17</f>
        <v>0.02</v>
      </c>
    </row>
    <row r="126" spans="1:3" s="89" customFormat="1" ht="13.5" thickBot="1" x14ac:dyDescent="0.25">
      <c r="A126" s="47"/>
      <c r="B126" s="75"/>
      <c r="C126" s="15"/>
    </row>
    <row r="127" spans="1:3" ht="42.75" customHeight="1" x14ac:dyDescent="0.2">
      <c r="A127" s="84" t="s">
        <v>199</v>
      </c>
      <c r="B127" s="146" t="s">
        <v>200</v>
      </c>
      <c r="C127" s="146"/>
    </row>
    <row r="128" spans="1:3" ht="68.25" x14ac:dyDescent="0.2">
      <c r="A128" s="59" t="s">
        <v>201</v>
      </c>
      <c r="B128" s="91" t="s">
        <v>202</v>
      </c>
      <c r="C128" s="34" t="s">
        <v>203</v>
      </c>
    </row>
    <row r="129" spans="1:3" ht="42.75" hidden="1" x14ac:dyDescent="0.2">
      <c r="A129" s="59" t="s">
        <v>204</v>
      </c>
      <c r="B129" s="86" t="s">
        <v>205</v>
      </c>
      <c r="C129" s="92"/>
    </row>
    <row r="130" spans="1:3" ht="69" thickBot="1" x14ac:dyDescent="0.25">
      <c r="A130" s="72" t="s">
        <v>206</v>
      </c>
      <c r="B130" s="93" t="s">
        <v>207</v>
      </c>
      <c r="C130" s="94" t="s">
        <v>203</v>
      </c>
    </row>
    <row r="131" spans="1:3" ht="62.25" hidden="1" customHeight="1" x14ac:dyDescent="0.2">
      <c r="A131" s="95" t="s">
        <v>208</v>
      </c>
      <c r="B131" s="96" t="s">
        <v>209</v>
      </c>
      <c r="C131" s="97"/>
    </row>
    <row r="132" spans="1:3" ht="68.25" hidden="1" x14ac:dyDescent="0.2">
      <c r="A132" s="59" t="s">
        <v>210</v>
      </c>
      <c r="B132" s="86" t="s">
        <v>211</v>
      </c>
      <c r="C132" s="35"/>
    </row>
    <row r="133" spans="1:3" ht="69" hidden="1" thickBot="1" x14ac:dyDescent="0.25">
      <c r="A133" s="72" t="s">
        <v>212</v>
      </c>
      <c r="B133" s="98" t="s">
        <v>213</v>
      </c>
      <c r="C133" s="74"/>
    </row>
    <row r="134" spans="1:3" s="89" customFormat="1" ht="13.5" thickBot="1" x14ac:dyDescent="0.25">
      <c r="A134" s="47"/>
      <c r="B134" s="75"/>
      <c r="C134" s="15"/>
    </row>
    <row r="135" spans="1:3" ht="26.25" customHeight="1" x14ac:dyDescent="0.2">
      <c r="A135" s="84" t="s">
        <v>214</v>
      </c>
      <c r="B135" s="99" t="s">
        <v>215</v>
      </c>
      <c r="C135" s="100">
        <f>[38]С2!F37</f>
        <v>20.818139999999996</v>
      </c>
    </row>
    <row r="136" spans="1:3" ht="14.25" x14ac:dyDescent="0.2">
      <c r="A136" s="59" t="s">
        <v>216</v>
      </c>
      <c r="B136" s="101" t="s">
        <v>217</v>
      </c>
      <c r="C136" s="34">
        <f>[38]С2!F38</f>
        <v>7</v>
      </c>
    </row>
    <row r="137" spans="1:3" ht="17.25" x14ac:dyDescent="0.2">
      <c r="A137" s="59" t="s">
        <v>218</v>
      </c>
      <c r="B137" s="101" t="s">
        <v>219</v>
      </c>
      <c r="C137" s="34">
        <f>[38]С2!F40</f>
        <v>0.97</v>
      </c>
    </row>
    <row r="138" spans="1:3" ht="15" thickBot="1" x14ac:dyDescent="0.25">
      <c r="A138" s="72" t="s">
        <v>220</v>
      </c>
      <c r="B138" s="102" t="s">
        <v>221</v>
      </c>
      <c r="C138" s="46">
        <f>[38]С2!F42</f>
        <v>0.35</v>
      </c>
    </row>
    <row r="139" spans="1:3" s="89" customFormat="1" ht="13.5" thickBot="1" x14ac:dyDescent="0.25">
      <c r="A139" s="47"/>
      <c r="B139" s="75"/>
      <c r="C139" s="15"/>
    </row>
    <row r="140" spans="1:3" ht="30" x14ac:dyDescent="0.2">
      <c r="A140" s="84" t="s">
        <v>222</v>
      </c>
      <c r="B140" s="103" t="s">
        <v>223</v>
      </c>
      <c r="C140" s="104">
        <f>[38]С2!F35</f>
        <v>1.7157947422665329</v>
      </c>
    </row>
    <row r="141" spans="1:3" ht="22.7" customHeight="1" thickBot="1" x14ac:dyDescent="0.25">
      <c r="A141" s="72" t="s">
        <v>224</v>
      </c>
      <c r="B141" s="141" t="s">
        <v>225</v>
      </c>
      <c r="C141" s="141"/>
    </row>
    <row r="142" spans="1:3" ht="13.5" thickBot="1" x14ac:dyDescent="0.25">
      <c r="A142" s="105"/>
      <c r="B142" s="106" t="s">
        <v>226</v>
      </c>
      <c r="C142" s="107"/>
    </row>
    <row r="143" spans="1:3" x14ac:dyDescent="0.2">
      <c r="A143" s="105"/>
      <c r="B143" s="108">
        <v>2020</v>
      </c>
      <c r="C143" s="109">
        <f>[38]С2.5!$E$11</f>
        <v>-2.9000000000000026E-2</v>
      </c>
    </row>
    <row r="144" spans="1:3" x14ac:dyDescent="0.2">
      <c r="A144" s="105"/>
      <c r="B144" s="110">
        <f>B143+1</f>
        <v>2021</v>
      </c>
      <c r="C144" s="111">
        <f>[38]С2.5!$F$11</f>
        <v>0.245</v>
      </c>
    </row>
    <row r="145" spans="1:3" x14ac:dyDescent="0.2">
      <c r="A145" s="105"/>
      <c r="B145" s="110">
        <f t="shared" ref="B145:B208" si="0">B144+1</f>
        <v>2022</v>
      </c>
      <c r="C145" s="111">
        <f>[38]С2.5!$G$11</f>
        <v>0.114</v>
      </c>
    </row>
    <row r="146" spans="1:3" ht="13.5" thickBot="1" x14ac:dyDescent="0.25">
      <c r="A146" s="105"/>
      <c r="B146" s="112">
        <f t="shared" si="0"/>
        <v>2023</v>
      </c>
      <c r="C146" s="113">
        <f>[38]С2.5!$H$11</f>
        <v>0.04</v>
      </c>
    </row>
    <row r="147" spans="1:3" x14ac:dyDescent="0.2">
      <c r="A147" s="105"/>
      <c r="B147" s="114">
        <f t="shared" si="0"/>
        <v>2024</v>
      </c>
      <c r="C147" s="115">
        <f>[38]С2.5!$I$11</f>
        <v>0.121</v>
      </c>
    </row>
    <row r="148" spans="1:3" x14ac:dyDescent="0.2">
      <c r="A148" s="105"/>
      <c r="B148" s="110">
        <f t="shared" si="0"/>
        <v>2025</v>
      </c>
      <c r="C148" s="111">
        <f>[38]С2.5!$J$11</f>
        <v>0.03</v>
      </c>
    </row>
    <row r="149" spans="1:3" x14ac:dyDescent="0.2">
      <c r="A149" s="105"/>
      <c r="B149" s="110">
        <f t="shared" si="0"/>
        <v>2026</v>
      </c>
      <c r="C149" s="111">
        <f>[38]С2.5!$K$11</f>
        <v>6.0999999999999999E-2</v>
      </c>
    </row>
    <row r="150" spans="1:3" hidden="1" x14ac:dyDescent="0.2">
      <c r="A150" s="105"/>
      <c r="B150" s="110">
        <f t="shared" si="0"/>
        <v>2027</v>
      </c>
      <c r="C150" s="111">
        <f>[38]С2.5!$L$11</f>
        <v>3.2682303599220003E-2</v>
      </c>
    </row>
    <row r="151" spans="1:3" hidden="1" x14ac:dyDescent="0.2">
      <c r="A151" s="105"/>
      <c r="B151" s="110">
        <f t="shared" si="0"/>
        <v>2028</v>
      </c>
      <c r="C151" s="111">
        <f>[38]С2.5!$M$11</f>
        <v>0</v>
      </c>
    </row>
    <row r="152" spans="1:3" hidden="1" x14ac:dyDescent="0.2">
      <c r="A152" s="105"/>
      <c r="B152" s="110">
        <f t="shared" si="0"/>
        <v>2029</v>
      </c>
      <c r="C152" s="111">
        <f>[38]С2.5!$N$11</f>
        <v>0</v>
      </c>
    </row>
    <row r="153" spans="1:3" hidden="1" x14ac:dyDescent="0.2">
      <c r="A153" s="105"/>
      <c r="B153" s="110">
        <f t="shared" si="0"/>
        <v>2030</v>
      </c>
      <c r="C153" s="111">
        <f>[38]С2.5!$O$11</f>
        <v>0</v>
      </c>
    </row>
    <row r="154" spans="1:3" hidden="1" x14ac:dyDescent="0.2">
      <c r="A154" s="105"/>
      <c r="B154" s="110">
        <f t="shared" si="0"/>
        <v>2031</v>
      </c>
      <c r="C154" s="111">
        <f>[38]С2.5!$P$11</f>
        <v>0</v>
      </c>
    </row>
    <row r="155" spans="1:3" hidden="1" x14ac:dyDescent="0.2">
      <c r="A155" s="89"/>
      <c r="B155" s="110">
        <f t="shared" si="0"/>
        <v>2032</v>
      </c>
      <c r="C155" s="111">
        <f>[38]С2.5!$Q$11</f>
        <v>0</v>
      </c>
    </row>
    <row r="156" spans="1:3" hidden="1" x14ac:dyDescent="0.2">
      <c r="A156" s="89"/>
      <c r="B156" s="110">
        <f t="shared" si="0"/>
        <v>2033</v>
      </c>
      <c r="C156" s="111">
        <f>[38]С2.5!$R$11</f>
        <v>0</v>
      </c>
    </row>
    <row r="157" spans="1:3" hidden="1" x14ac:dyDescent="0.2">
      <c r="B157" s="110">
        <f t="shared" si="0"/>
        <v>2034</v>
      </c>
      <c r="C157" s="111">
        <f>[38]С2.5!$S$11</f>
        <v>0</v>
      </c>
    </row>
    <row r="158" spans="1:3" hidden="1" x14ac:dyDescent="0.2">
      <c r="B158" s="110">
        <f t="shared" si="0"/>
        <v>2035</v>
      </c>
      <c r="C158" s="111">
        <f>[38]С2.5!$T$11</f>
        <v>0</v>
      </c>
    </row>
    <row r="159" spans="1:3" hidden="1" x14ac:dyDescent="0.2">
      <c r="B159" s="110">
        <f t="shared" si="0"/>
        <v>2036</v>
      </c>
      <c r="C159" s="111">
        <f>[38]С2.5!$U$11</f>
        <v>0</v>
      </c>
    </row>
    <row r="160" spans="1:3" hidden="1" x14ac:dyDescent="0.2">
      <c r="B160" s="110">
        <f t="shared" si="0"/>
        <v>2037</v>
      </c>
      <c r="C160" s="111">
        <f>[38]С2.5!$V$11</f>
        <v>0</v>
      </c>
    </row>
    <row r="161" spans="2:3" hidden="1" x14ac:dyDescent="0.2">
      <c r="B161" s="110">
        <f t="shared" si="0"/>
        <v>2038</v>
      </c>
      <c r="C161" s="111">
        <f>[38]С2.5!$W$11</f>
        <v>0</v>
      </c>
    </row>
    <row r="162" spans="2:3" hidden="1" x14ac:dyDescent="0.2">
      <c r="B162" s="110">
        <f t="shared" si="0"/>
        <v>2039</v>
      </c>
      <c r="C162" s="111">
        <f>[38]С2.5!$X$11</f>
        <v>0</v>
      </c>
    </row>
    <row r="163" spans="2:3" hidden="1" x14ac:dyDescent="0.2">
      <c r="B163" s="110">
        <f t="shared" si="0"/>
        <v>2040</v>
      </c>
      <c r="C163" s="111">
        <f>[38]С2.5!$Y$11</f>
        <v>0</v>
      </c>
    </row>
    <row r="164" spans="2:3" hidden="1" x14ac:dyDescent="0.2">
      <c r="B164" s="110">
        <f t="shared" si="0"/>
        <v>2041</v>
      </c>
      <c r="C164" s="111">
        <f>[38]С2.5!$Z$11</f>
        <v>0</v>
      </c>
    </row>
    <row r="165" spans="2:3" hidden="1" x14ac:dyDescent="0.2">
      <c r="B165" s="110">
        <f t="shared" si="0"/>
        <v>2042</v>
      </c>
      <c r="C165" s="111">
        <f>[38]С2.5!$AA$11</f>
        <v>0</v>
      </c>
    </row>
    <row r="166" spans="2:3" hidden="1" x14ac:dyDescent="0.2">
      <c r="B166" s="110">
        <f t="shared" si="0"/>
        <v>2043</v>
      </c>
      <c r="C166" s="111">
        <f>[38]С2.5!$AB$11</f>
        <v>0</v>
      </c>
    </row>
    <row r="167" spans="2:3" hidden="1" x14ac:dyDescent="0.2">
      <c r="B167" s="110">
        <f t="shared" si="0"/>
        <v>2044</v>
      </c>
      <c r="C167" s="111">
        <f>[38]С2.5!$AC$11</f>
        <v>0</v>
      </c>
    </row>
    <row r="168" spans="2:3" hidden="1" x14ac:dyDescent="0.2">
      <c r="B168" s="110">
        <f t="shared" si="0"/>
        <v>2045</v>
      </c>
      <c r="C168" s="111">
        <f>[38]С2.5!$AD$11</f>
        <v>0</v>
      </c>
    </row>
    <row r="169" spans="2:3" hidden="1" x14ac:dyDescent="0.2">
      <c r="B169" s="110">
        <f t="shared" si="0"/>
        <v>2046</v>
      </c>
      <c r="C169" s="111">
        <f>[38]С2.5!$AE$11</f>
        <v>0</v>
      </c>
    </row>
    <row r="170" spans="2:3" hidden="1" x14ac:dyDescent="0.2">
      <c r="B170" s="110">
        <f t="shared" si="0"/>
        <v>2047</v>
      </c>
      <c r="C170" s="111">
        <f>[38]С2.5!$AF$11</f>
        <v>0</v>
      </c>
    </row>
    <row r="171" spans="2:3" hidden="1" x14ac:dyDescent="0.2">
      <c r="B171" s="110">
        <f t="shared" si="0"/>
        <v>2048</v>
      </c>
      <c r="C171" s="111">
        <f>[38]С2.5!$AG$11</f>
        <v>0</v>
      </c>
    </row>
    <row r="172" spans="2:3" hidden="1" x14ac:dyDescent="0.2">
      <c r="B172" s="110">
        <f t="shared" si="0"/>
        <v>2049</v>
      </c>
      <c r="C172" s="111">
        <f>[38]С2.5!$AH$11</f>
        <v>0</v>
      </c>
    </row>
    <row r="173" spans="2:3" hidden="1" x14ac:dyDescent="0.2">
      <c r="B173" s="110">
        <f t="shared" si="0"/>
        <v>2050</v>
      </c>
      <c r="C173" s="111">
        <f>[38]С2.5!$AI$11</f>
        <v>0</v>
      </c>
    </row>
    <row r="174" spans="2:3" hidden="1" x14ac:dyDescent="0.2">
      <c r="B174" s="110">
        <f t="shared" si="0"/>
        <v>2051</v>
      </c>
      <c r="C174" s="111">
        <f>[38]С2.5!$AJ$11</f>
        <v>0</v>
      </c>
    </row>
    <row r="175" spans="2:3" hidden="1" x14ac:dyDescent="0.2">
      <c r="B175" s="110">
        <f t="shared" si="0"/>
        <v>2052</v>
      </c>
      <c r="C175" s="111">
        <f>[38]С2.5!$AK$11</f>
        <v>0</v>
      </c>
    </row>
    <row r="176" spans="2:3" hidden="1" x14ac:dyDescent="0.2">
      <c r="B176" s="110">
        <f t="shared" si="0"/>
        <v>2053</v>
      </c>
      <c r="C176" s="111">
        <f>[38]С2.5!$AL$11</f>
        <v>0</v>
      </c>
    </row>
    <row r="177" spans="2:3" hidden="1" x14ac:dyDescent="0.2">
      <c r="B177" s="110">
        <f t="shared" si="0"/>
        <v>2054</v>
      </c>
      <c r="C177" s="111">
        <f>[38]С2.5!$AM$11</f>
        <v>0</v>
      </c>
    </row>
    <row r="178" spans="2:3" hidden="1" x14ac:dyDescent="0.2">
      <c r="B178" s="110">
        <f t="shared" si="0"/>
        <v>2055</v>
      </c>
      <c r="C178" s="111">
        <f>[38]С2.5!$AN$11</f>
        <v>0</v>
      </c>
    </row>
    <row r="179" spans="2:3" hidden="1" x14ac:dyDescent="0.2">
      <c r="B179" s="110">
        <f t="shared" si="0"/>
        <v>2056</v>
      </c>
      <c r="C179" s="111">
        <f>[38]С2.5!$AO$11</f>
        <v>0</v>
      </c>
    </row>
    <row r="180" spans="2:3" hidden="1" x14ac:dyDescent="0.2">
      <c r="B180" s="110">
        <f t="shared" si="0"/>
        <v>2057</v>
      </c>
      <c r="C180" s="111">
        <f>[38]С2.5!$AP$11</f>
        <v>0</v>
      </c>
    </row>
    <row r="181" spans="2:3" hidden="1" x14ac:dyDescent="0.2">
      <c r="B181" s="110">
        <f t="shared" si="0"/>
        <v>2058</v>
      </c>
      <c r="C181" s="111">
        <f>[38]С2.5!$AQ$11</f>
        <v>0</v>
      </c>
    </row>
    <row r="182" spans="2:3" hidden="1" x14ac:dyDescent="0.2">
      <c r="B182" s="110">
        <f t="shared" si="0"/>
        <v>2059</v>
      </c>
      <c r="C182" s="111">
        <f>[38]С2.5!$AR$11</f>
        <v>0</v>
      </c>
    </row>
    <row r="183" spans="2:3" hidden="1" x14ac:dyDescent="0.2">
      <c r="B183" s="110">
        <f t="shared" si="0"/>
        <v>2060</v>
      </c>
      <c r="C183" s="111">
        <f>[38]С2.5!$AS$11</f>
        <v>0</v>
      </c>
    </row>
    <row r="184" spans="2:3" hidden="1" x14ac:dyDescent="0.2">
      <c r="B184" s="110">
        <f t="shared" si="0"/>
        <v>2061</v>
      </c>
      <c r="C184" s="111">
        <f>[38]С2.5!$AT$11</f>
        <v>0</v>
      </c>
    </row>
    <row r="185" spans="2:3" hidden="1" x14ac:dyDescent="0.2">
      <c r="B185" s="110">
        <f t="shared" si="0"/>
        <v>2062</v>
      </c>
      <c r="C185" s="111">
        <f>[38]С2.5!$AU$11</f>
        <v>0</v>
      </c>
    </row>
    <row r="186" spans="2:3" hidden="1" x14ac:dyDescent="0.2">
      <c r="B186" s="110">
        <f t="shared" si="0"/>
        <v>2063</v>
      </c>
      <c r="C186" s="111">
        <f>[38]С2.5!$AV$11</f>
        <v>0</v>
      </c>
    </row>
    <row r="187" spans="2:3" hidden="1" x14ac:dyDescent="0.2">
      <c r="B187" s="110">
        <f t="shared" si="0"/>
        <v>2064</v>
      </c>
      <c r="C187" s="111">
        <f>[38]С2.5!$AW$11</f>
        <v>0</v>
      </c>
    </row>
    <row r="188" spans="2:3" hidden="1" x14ac:dyDescent="0.2">
      <c r="B188" s="110">
        <f t="shared" si="0"/>
        <v>2065</v>
      </c>
      <c r="C188" s="111">
        <f>[38]С2.5!$AX$11</f>
        <v>0</v>
      </c>
    </row>
    <row r="189" spans="2:3" hidden="1" x14ac:dyDescent="0.2">
      <c r="B189" s="110">
        <f t="shared" si="0"/>
        <v>2066</v>
      </c>
      <c r="C189" s="111">
        <f>[38]С2.5!$AY$11</f>
        <v>0</v>
      </c>
    </row>
    <row r="190" spans="2:3" hidden="1" x14ac:dyDescent="0.2">
      <c r="B190" s="110">
        <f t="shared" si="0"/>
        <v>2067</v>
      </c>
      <c r="C190" s="111">
        <f>[38]С2.5!$AZ$11</f>
        <v>0</v>
      </c>
    </row>
    <row r="191" spans="2:3" hidden="1" x14ac:dyDescent="0.2">
      <c r="B191" s="110">
        <f t="shared" si="0"/>
        <v>2068</v>
      </c>
      <c r="C191" s="111">
        <f>[38]С2.5!$BA$11</f>
        <v>0</v>
      </c>
    </row>
    <row r="192" spans="2:3" hidden="1" x14ac:dyDescent="0.2">
      <c r="B192" s="110">
        <f t="shared" si="0"/>
        <v>2069</v>
      </c>
      <c r="C192" s="111">
        <f>[38]С2.5!$BB$11</f>
        <v>0</v>
      </c>
    </row>
    <row r="193" spans="2:3" hidden="1" x14ac:dyDescent="0.2">
      <c r="B193" s="110">
        <f t="shared" si="0"/>
        <v>2070</v>
      </c>
      <c r="C193" s="111">
        <f>[38]С2.5!$BC$11</f>
        <v>0</v>
      </c>
    </row>
    <row r="194" spans="2:3" hidden="1" x14ac:dyDescent="0.2">
      <c r="B194" s="110">
        <f t="shared" si="0"/>
        <v>2071</v>
      </c>
      <c r="C194" s="111">
        <f>[38]С2.5!$BD$11</f>
        <v>0</v>
      </c>
    </row>
    <row r="195" spans="2:3" hidden="1" x14ac:dyDescent="0.2">
      <c r="B195" s="110">
        <f t="shared" si="0"/>
        <v>2072</v>
      </c>
      <c r="C195" s="111">
        <f>[38]С2.5!$BE$11</f>
        <v>0</v>
      </c>
    </row>
    <row r="196" spans="2:3" hidden="1" x14ac:dyDescent="0.2">
      <c r="B196" s="110">
        <f t="shared" si="0"/>
        <v>2073</v>
      </c>
      <c r="C196" s="111">
        <f>[38]С2.5!$BF$11</f>
        <v>0</v>
      </c>
    </row>
    <row r="197" spans="2:3" hidden="1" x14ac:dyDescent="0.2">
      <c r="B197" s="110">
        <f t="shared" si="0"/>
        <v>2074</v>
      </c>
      <c r="C197" s="111">
        <f>[38]С2.5!$BG$11</f>
        <v>0</v>
      </c>
    </row>
    <row r="198" spans="2:3" hidden="1" x14ac:dyDescent="0.2">
      <c r="B198" s="110">
        <f t="shared" si="0"/>
        <v>2075</v>
      </c>
      <c r="C198" s="111">
        <f>[38]С2.5!$BH$11</f>
        <v>0</v>
      </c>
    </row>
    <row r="199" spans="2:3" hidden="1" x14ac:dyDescent="0.2">
      <c r="B199" s="110">
        <f t="shared" si="0"/>
        <v>2076</v>
      </c>
      <c r="C199" s="111">
        <f>[38]С2.5!$BI$11</f>
        <v>0</v>
      </c>
    </row>
    <row r="200" spans="2:3" hidden="1" x14ac:dyDescent="0.2">
      <c r="B200" s="110">
        <f t="shared" si="0"/>
        <v>2077</v>
      </c>
      <c r="C200" s="111">
        <f>[38]С2.5!$BJ$11</f>
        <v>0</v>
      </c>
    </row>
    <row r="201" spans="2:3" hidden="1" x14ac:dyDescent="0.2">
      <c r="B201" s="110">
        <f t="shared" si="0"/>
        <v>2078</v>
      </c>
      <c r="C201" s="111">
        <f>[38]С2.5!$BK$11</f>
        <v>0</v>
      </c>
    </row>
    <row r="202" spans="2:3" hidden="1" x14ac:dyDescent="0.2">
      <c r="B202" s="110">
        <f t="shared" si="0"/>
        <v>2079</v>
      </c>
      <c r="C202" s="111">
        <f>[38]С2.5!$BL$11</f>
        <v>0</v>
      </c>
    </row>
    <row r="203" spans="2:3" hidden="1" x14ac:dyDescent="0.2">
      <c r="B203" s="110">
        <f t="shared" si="0"/>
        <v>2080</v>
      </c>
      <c r="C203" s="111">
        <f>[38]С2.5!$BM$11</f>
        <v>0</v>
      </c>
    </row>
    <row r="204" spans="2:3" hidden="1" x14ac:dyDescent="0.2">
      <c r="B204" s="110">
        <f t="shared" si="0"/>
        <v>2081</v>
      </c>
      <c r="C204" s="111">
        <f>[38]С2.5!$BN$11</f>
        <v>0</v>
      </c>
    </row>
    <row r="205" spans="2:3" hidden="1" x14ac:dyDescent="0.2">
      <c r="B205" s="110">
        <f t="shared" si="0"/>
        <v>2082</v>
      </c>
      <c r="C205" s="111">
        <f>[38]С2.5!$BO$11</f>
        <v>0</v>
      </c>
    </row>
    <row r="206" spans="2:3" hidden="1" x14ac:dyDescent="0.2">
      <c r="B206" s="110">
        <f t="shared" si="0"/>
        <v>2083</v>
      </c>
      <c r="C206" s="111">
        <f>[38]С2.5!$BP$11</f>
        <v>0</v>
      </c>
    </row>
    <row r="207" spans="2:3" hidden="1" x14ac:dyDescent="0.2">
      <c r="B207" s="110">
        <f t="shared" si="0"/>
        <v>2084</v>
      </c>
      <c r="C207" s="111">
        <f>[38]С2.5!$BQ$11</f>
        <v>0</v>
      </c>
    </row>
    <row r="208" spans="2:3" hidden="1" x14ac:dyDescent="0.2">
      <c r="B208" s="110">
        <f t="shared" si="0"/>
        <v>2085</v>
      </c>
      <c r="C208" s="111">
        <f>[38]С2.5!$BR$11</f>
        <v>0</v>
      </c>
    </row>
    <row r="209" spans="2:3" hidden="1" x14ac:dyDescent="0.2">
      <c r="B209" s="110">
        <f t="shared" ref="B209:B223" si="1">B208+1</f>
        <v>2086</v>
      </c>
      <c r="C209" s="111">
        <f>[38]С2.5!$BS$11</f>
        <v>0</v>
      </c>
    </row>
    <row r="210" spans="2:3" hidden="1" x14ac:dyDescent="0.2">
      <c r="B210" s="110">
        <f t="shared" si="1"/>
        <v>2087</v>
      </c>
      <c r="C210" s="111">
        <f>[38]С2.5!$BT$11</f>
        <v>0</v>
      </c>
    </row>
    <row r="211" spans="2:3" hidden="1" x14ac:dyDescent="0.2">
      <c r="B211" s="110">
        <f t="shared" si="1"/>
        <v>2088</v>
      </c>
      <c r="C211" s="111">
        <f>[38]С2.5!$BU$11</f>
        <v>0</v>
      </c>
    </row>
    <row r="212" spans="2:3" hidden="1" x14ac:dyDescent="0.2">
      <c r="B212" s="110">
        <f t="shared" si="1"/>
        <v>2089</v>
      </c>
      <c r="C212" s="111">
        <f>[38]С2.5!$BV$11</f>
        <v>0</v>
      </c>
    </row>
    <row r="213" spans="2:3" hidden="1" x14ac:dyDescent="0.2">
      <c r="B213" s="110">
        <f t="shared" si="1"/>
        <v>2090</v>
      </c>
      <c r="C213" s="111">
        <f>[38]С2.5!$BW$11</f>
        <v>0</v>
      </c>
    </row>
    <row r="214" spans="2:3" hidden="1" x14ac:dyDescent="0.2">
      <c r="B214" s="110">
        <f t="shared" si="1"/>
        <v>2091</v>
      </c>
      <c r="C214" s="111">
        <f>[38]С2.5!$BX$11</f>
        <v>0</v>
      </c>
    </row>
    <row r="215" spans="2:3" hidden="1" x14ac:dyDescent="0.2">
      <c r="B215" s="110">
        <f t="shared" si="1"/>
        <v>2092</v>
      </c>
      <c r="C215" s="111">
        <f>[38]С2.5!$BY$11</f>
        <v>0</v>
      </c>
    </row>
    <row r="216" spans="2:3" hidden="1" x14ac:dyDescent="0.2">
      <c r="B216" s="110">
        <f t="shared" si="1"/>
        <v>2093</v>
      </c>
      <c r="C216" s="111">
        <f>[38]С2.5!$BZ$11</f>
        <v>0</v>
      </c>
    </row>
    <row r="217" spans="2:3" hidden="1" x14ac:dyDescent="0.2">
      <c r="B217" s="110">
        <f t="shared" si="1"/>
        <v>2094</v>
      </c>
      <c r="C217" s="111">
        <f>[38]С2.5!$CA$11</f>
        <v>0</v>
      </c>
    </row>
    <row r="218" spans="2:3" hidden="1" x14ac:dyDescent="0.2">
      <c r="B218" s="110">
        <f t="shared" si="1"/>
        <v>2095</v>
      </c>
      <c r="C218" s="111">
        <f>[38]С2.5!$CB$11</f>
        <v>0</v>
      </c>
    </row>
    <row r="219" spans="2:3" hidden="1" x14ac:dyDescent="0.2">
      <c r="B219" s="110">
        <f t="shared" si="1"/>
        <v>2096</v>
      </c>
      <c r="C219" s="111">
        <f>[38]С2.5!$CC$11</f>
        <v>0</v>
      </c>
    </row>
    <row r="220" spans="2:3" hidden="1" x14ac:dyDescent="0.2">
      <c r="B220" s="110">
        <f t="shared" si="1"/>
        <v>2097</v>
      </c>
      <c r="C220" s="111">
        <f>[38]С2.5!$CD$11</f>
        <v>0</v>
      </c>
    </row>
    <row r="221" spans="2:3" hidden="1" x14ac:dyDescent="0.2">
      <c r="B221" s="110">
        <f t="shared" si="1"/>
        <v>2098</v>
      </c>
      <c r="C221" s="111">
        <f>[38]С2.5!$CE$11</f>
        <v>0</v>
      </c>
    </row>
    <row r="222" spans="2:3" hidden="1" x14ac:dyDescent="0.2">
      <c r="B222" s="110">
        <f t="shared" si="1"/>
        <v>2099</v>
      </c>
      <c r="C222" s="111">
        <f>[38]С2.5!$CF$11</f>
        <v>0</v>
      </c>
    </row>
    <row r="223" spans="2:3" ht="13.5" hidden="1" thickBot="1" x14ac:dyDescent="0.25">
      <c r="B223" s="112">
        <f t="shared" si="1"/>
        <v>2100</v>
      </c>
      <c r="C223" s="113">
        <f>[38]С2.5!$CG$11</f>
        <v>0</v>
      </c>
    </row>
    <row r="224" spans="2:3" hidden="1" x14ac:dyDescent="0.2">
      <c r="C224" s="116"/>
    </row>
    <row r="225" spans="3:3" hidden="1" x14ac:dyDescent="0.2">
      <c r="C225" s="116"/>
    </row>
    <row r="226" spans="3:3" x14ac:dyDescent="0.2">
      <c r="C226" s="116"/>
    </row>
  </sheetData>
  <mergeCells count="9">
    <mergeCell ref="B141:C141"/>
    <mergeCell ref="A14:C14"/>
    <mergeCell ref="B1:C1"/>
    <mergeCell ref="B27:C27"/>
    <mergeCell ref="B40:C40"/>
    <mergeCell ref="B84:C84"/>
    <mergeCell ref="B95:C95"/>
    <mergeCell ref="B124:C124"/>
    <mergeCell ref="B127:C127"/>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26"/>
  <sheetViews>
    <sheetView zoomScaleNormal="100" workbookViewId="0">
      <selection activeCell="C7" sqref="C7"/>
    </sheetView>
  </sheetViews>
  <sheetFormatPr defaultRowHeight="12.75" x14ac:dyDescent="0.2"/>
  <cols>
    <col min="1" max="1" width="9.140625" style="2" customWidth="1"/>
    <col min="2" max="2" width="100.5703125" style="2" customWidth="1"/>
    <col min="3" max="3" width="20.85546875" style="7" customWidth="1"/>
    <col min="4" max="241" width="9.140625" style="2"/>
    <col min="242" max="242" width="3.5703125" style="2" customWidth="1"/>
    <col min="243" max="243" width="96.85546875" style="2" customWidth="1"/>
    <col min="244" max="244" width="30.85546875" style="2" customWidth="1"/>
    <col min="245" max="245" width="12.5703125" style="2" customWidth="1"/>
    <col min="246" max="246" width="5.140625" style="2" customWidth="1"/>
    <col min="247" max="247" width="9.140625" style="2"/>
    <col min="248" max="248" width="4.85546875" style="2" customWidth="1"/>
    <col min="249" max="249" width="30.5703125" style="2" customWidth="1"/>
    <col min="250" max="250" width="33.85546875" style="2" customWidth="1"/>
    <col min="251" max="251" width="5.140625" style="2" customWidth="1"/>
    <col min="252" max="253" width="17.5703125" style="2" customWidth="1"/>
    <col min="254" max="497" width="9.140625" style="2"/>
    <col min="498" max="498" width="3.5703125" style="2" customWidth="1"/>
    <col min="499" max="499" width="96.85546875" style="2" customWidth="1"/>
    <col min="500" max="500" width="30.85546875" style="2" customWidth="1"/>
    <col min="501" max="501" width="12.5703125" style="2" customWidth="1"/>
    <col min="502" max="502" width="5.140625" style="2" customWidth="1"/>
    <col min="503" max="503" width="9.140625" style="2"/>
    <col min="504" max="504" width="4.85546875" style="2" customWidth="1"/>
    <col min="505" max="505" width="30.5703125" style="2" customWidth="1"/>
    <col min="506" max="506" width="33.85546875" style="2" customWidth="1"/>
    <col min="507" max="507" width="5.140625" style="2" customWidth="1"/>
    <col min="508" max="509" width="17.5703125" style="2" customWidth="1"/>
    <col min="510" max="753" width="9.140625" style="2"/>
    <col min="754" max="754" width="3.5703125" style="2" customWidth="1"/>
    <col min="755" max="755" width="96.85546875" style="2" customWidth="1"/>
    <col min="756" max="756" width="30.85546875" style="2" customWidth="1"/>
    <col min="757" max="757" width="12.5703125" style="2" customWidth="1"/>
    <col min="758" max="758" width="5.140625" style="2" customWidth="1"/>
    <col min="759" max="759" width="9.140625" style="2"/>
    <col min="760" max="760" width="4.85546875" style="2" customWidth="1"/>
    <col min="761" max="761" width="30.5703125" style="2" customWidth="1"/>
    <col min="762" max="762" width="33.85546875" style="2" customWidth="1"/>
    <col min="763" max="763" width="5.140625" style="2" customWidth="1"/>
    <col min="764" max="765" width="17.5703125" style="2" customWidth="1"/>
    <col min="766" max="1009" width="9.140625" style="2"/>
    <col min="1010" max="1010" width="3.5703125" style="2" customWidth="1"/>
    <col min="1011" max="1011" width="96.85546875" style="2" customWidth="1"/>
    <col min="1012" max="1012" width="30.85546875" style="2" customWidth="1"/>
    <col min="1013" max="1013" width="12.5703125" style="2" customWidth="1"/>
    <col min="1014" max="1014" width="5.140625" style="2" customWidth="1"/>
    <col min="1015" max="1015" width="9.140625" style="2"/>
    <col min="1016" max="1016" width="4.85546875" style="2" customWidth="1"/>
    <col min="1017" max="1017" width="30.5703125" style="2" customWidth="1"/>
    <col min="1018" max="1018" width="33.85546875" style="2" customWidth="1"/>
    <col min="1019" max="1019" width="5.140625" style="2" customWidth="1"/>
    <col min="1020" max="1021" width="17.5703125" style="2" customWidth="1"/>
    <col min="1022" max="1265" width="9.140625" style="2"/>
    <col min="1266" max="1266" width="3.5703125" style="2" customWidth="1"/>
    <col min="1267" max="1267" width="96.85546875" style="2" customWidth="1"/>
    <col min="1268" max="1268" width="30.85546875" style="2" customWidth="1"/>
    <col min="1269" max="1269" width="12.5703125" style="2" customWidth="1"/>
    <col min="1270" max="1270" width="5.140625" style="2" customWidth="1"/>
    <col min="1271" max="1271" width="9.140625" style="2"/>
    <col min="1272" max="1272" width="4.85546875" style="2" customWidth="1"/>
    <col min="1273" max="1273" width="30.5703125" style="2" customWidth="1"/>
    <col min="1274" max="1274" width="33.85546875" style="2" customWidth="1"/>
    <col min="1275" max="1275" width="5.140625" style="2" customWidth="1"/>
    <col min="1276" max="1277" width="17.5703125" style="2" customWidth="1"/>
    <col min="1278" max="1521" width="9.140625" style="2"/>
    <col min="1522" max="1522" width="3.5703125" style="2" customWidth="1"/>
    <col min="1523" max="1523" width="96.85546875" style="2" customWidth="1"/>
    <col min="1524" max="1524" width="30.85546875" style="2" customWidth="1"/>
    <col min="1525" max="1525" width="12.5703125" style="2" customWidth="1"/>
    <col min="1526" max="1526" width="5.140625" style="2" customWidth="1"/>
    <col min="1527" max="1527" width="9.140625" style="2"/>
    <col min="1528" max="1528" width="4.85546875" style="2" customWidth="1"/>
    <col min="1529" max="1529" width="30.5703125" style="2" customWidth="1"/>
    <col min="1530" max="1530" width="33.85546875" style="2" customWidth="1"/>
    <col min="1531" max="1531" width="5.140625" style="2" customWidth="1"/>
    <col min="1532" max="1533" width="17.5703125" style="2" customWidth="1"/>
    <col min="1534" max="1777" width="9.140625" style="2"/>
    <col min="1778" max="1778" width="3.5703125" style="2" customWidth="1"/>
    <col min="1779" max="1779" width="96.85546875" style="2" customWidth="1"/>
    <col min="1780" max="1780" width="30.85546875" style="2" customWidth="1"/>
    <col min="1781" max="1781" width="12.5703125" style="2" customWidth="1"/>
    <col min="1782" max="1782" width="5.140625" style="2" customWidth="1"/>
    <col min="1783" max="1783" width="9.140625" style="2"/>
    <col min="1784" max="1784" width="4.85546875" style="2" customWidth="1"/>
    <col min="1785" max="1785" width="30.5703125" style="2" customWidth="1"/>
    <col min="1786" max="1786" width="33.85546875" style="2" customWidth="1"/>
    <col min="1787" max="1787" width="5.140625" style="2" customWidth="1"/>
    <col min="1788" max="1789" width="17.5703125" style="2" customWidth="1"/>
    <col min="1790" max="2033" width="9.140625" style="2"/>
    <col min="2034" max="2034" width="3.5703125" style="2" customWidth="1"/>
    <col min="2035" max="2035" width="96.85546875" style="2" customWidth="1"/>
    <col min="2036" max="2036" width="30.85546875" style="2" customWidth="1"/>
    <col min="2037" max="2037" width="12.5703125" style="2" customWidth="1"/>
    <col min="2038" max="2038" width="5.140625" style="2" customWidth="1"/>
    <col min="2039" max="2039" width="9.140625" style="2"/>
    <col min="2040" max="2040" width="4.85546875" style="2" customWidth="1"/>
    <col min="2041" max="2041" width="30.5703125" style="2" customWidth="1"/>
    <col min="2042" max="2042" width="33.85546875" style="2" customWidth="1"/>
    <col min="2043" max="2043" width="5.140625" style="2" customWidth="1"/>
    <col min="2044" max="2045" width="17.5703125" style="2" customWidth="1"/>
    <col min="2046" max="2289" width="9.140625" style="2"/>
    <col min="2290" max="2290" width="3.5703125" style="2" customWidth="1"/>
    <col min="2291" max="2291" width="96.85546875" style="2" customWidth="1"/>
    <col min="2292" max="2292" width="30.85546875" style="2" customWidth="1"/>
    <col min="2293" max="2293" width="12.5703125" style="2" customWidth="1"/>
    <col min="2294" max="2294" width="5.140625" style="2" customWidth="1"/>
    <col min="2295" max="2295" width="9.140625" style="2"/>
    <col min="2296" max="2296" width="4.85546875" style="2" customWidth="1"/>
    <col min="2297" max="2297" width="30.5703125" style="2" customWidth="1"/>
    <col min="2298" max="2298" width="33.85546875" style="2" customWidth="1"/>
    <col min="2299" max="2299" width="5.140625" style="2" customWidth="1"/>
    <col min="2300" max="2301" width="17.5703125" style="2" customWidth="1"/>
    <col min="2302" max="2545" width="9.140625" style="2"/>
    <col min="2546" max="2546" width="3.5703125" style="2" customWidth="1"/>
    <col min="2547" max="2547" width="96.85546875" style="2" customWidth="1"/>
    <col min="2548" max="2548" width="30.85546875" style="2" customWidth="1"/>
    <col min="2549" max="2549" width="12.5703125" style="2" customWidth="1"/>
    <col min="2550" max="2550" width="5.140625" style="2" customWidth="1"/>
    <col min="2551" max="2551" width="9.140625" style="2"/>
    <col min="2552" max="2552" width="4.85546875" style="2" customWidth="1"/>
    <col min="2553" max="2553" width="30.5703125" style="2" customWidth="1"/>
    <col min="2554" max="2554" width="33.85546875" style="2" customWidth="1"/>
    <col min="2555" max="2555" width="5.140625" style="2" customWidth="1"/>
    <col min="2556" max="2557" width="17.5703125" style="2" customWidth="1"/>
    <col min="2558" max="2801" width="9.140625" style="2"/>
    <col min="2802" max="2802" width="3.5703125" style="2" customWidth="1"/>
    <col min="2803" max="2803" width="96.85546875" style="2" customWidth="1"/>
    <col min="2804" max="2804" width="30.85546875" style="2" customWidth="1"/>
    <col min="2805" max="2805" width="12.5703125" style="2" customWidth="1"/>
    <col min="2806" max="2806" width="5.140625" style="2" customWidth="1"/>
    <col min="2807" max="2807" width="9.140625" style="2"/>
    <col min="2808" max="2808" width="4.85546875" style="2" customWidth="1"/>
    <col min="2809" max="2809" width="30.5703125" style="2" customWidth="1"/>
    <col min="2810" max="2810" width="33.85546875" style="2" customWidth="1"/>
    <col min="2811" max="2811" width="5.140625" style="2" customWidth="1"/>
    <col min="2812" max="2813" width="17.5703125" style="2" customWidth="1"/>
    <col min="2814" max="3057" width="9.140625" style="2"/>
    <col min="3058" max="3058" width="3.5703125" style="2" customWidth="1"/>
    <col min="3059" max="3059" width="96.85546875" style="2" customWidth="1"/>
    <col min="3060" max="3060" width="30.85546875" style="2" customWidth="1"/>
    <col min="3061" max="3061" width="12.5703125" style="2" customWidth="1"/>
    <col min="3062" max="3062" width="5.140625" style="2" customWidth="1"/>
    <col min="3063" max="3063" width="9.140625" style="2"/>
    <col min="3064" max="3064" width="4.85546875" style="2" customWidth="1"/>
    <col min="3065" max="3065" width="30.5703125" style="2" customWidth="1"/>
    <col min="3066" max="3066" width="33.85546875" style="2" customWidth="1"/>
    <col min="3067" max="3067" width="5.140625" style="2" customWidth="1"/>
    <col min="3068" max="3069" width="17.5703125" style="2" customWidth="1"/>
    <col min="3070" max="3313" width="9.140625" style="2"/>
    <col min="3314" max="3314" width="3.5703125" style="2" customWidth="1"/>
    <col min="3315" max="3315" width="96.85546875" style="2" customWidth="1"/>
    <col min="3316" max="3316" width="30.85546875" style="2" customWidth="1"/>
    <col min="3317" max="3317" width="12.5703125" style="2" customWidth="1"/>
    <col min="3318" max="3318" width="5.140625" style="2" customWidth="1"/>
    <col min="3319" max="3319" width="9.140625" style="2"/>
    <col min="3320" max="3320" width="4.85546875" style="2" customWidth="1"/>
    <col min="3321" max="3321" width="30.5703125" style="2" customWidth="1"/>
    <col min="3322" max="3322" width="33.85546875" style="2" customWidth="1"/>
    <col min="3323" max="3323" width="5.140625" style="2" customWidth="1"/>
    <col min="3324" max="3325" width="17.5703125" style="2" customWidth="1"/>
    <col min="3326" max="3569" width="9.140625" style="2"/>
    <col min="3570" max="3570" width="3.5703125" style="2" customWidth="1"/>
    <col min="3571" max="3571" width="96.85546875" style="2" customWidth="1"/>
    <col min="3572" max="3572" width="30.85546875" style="2" customWidth="1"/>
    <col min="3573" max="3573" width="12.5703125" style="2" customWidth="1"/>
    <col min="3574" max="3574" width="5.140625" style="2" customWidth="1"/>
    <col min="3575" max="3575" width="9.140625" style="2"/>
    <col min="3576" max="3576" width="4.85546875" style="2" customWidth="1"/>
    <col min="3577" max="3577" width="30.5703125" style="2" customWidth="1"/>
    <col min="3578" max="3578" width="33.85546875" style="2" customWidth="1"/>
    <col min="3579" max="3579" width="5.140625" style="2" customWidth="1"/>
    <col min="3580" max="3581" width="17.5703125" style="2" customWidth="1"/>
    <col min="3582" max="3825" width="9.140625" style="2"/>
    <col min="3826" max="3826" width="3.5703125" style="2" customWidth="1"/>
    <col min="3827" max="3827" width="96.85546875" style="2" customWidth="1"/>
    <col min="3828" max="3828" width="30.85546875" style="2" customWidth="1"/>
    <col min="3829" max="3829" width="12.5703125" style="2" customWidth="1"/>
    <col min="3830" max="3830" width="5.140625" style="2" customWidth="1"/>
    <col min="3831" max="3831" width="9.140625" style="2"/>
    <col min="3832" max="3832" width="4.85546875" style="2" customWidth="1"/>
    <col min="3833" max="3833" width="30.5703125" style="2" customWidth="1"/>
    <col min="3834" max="3834" width="33.85546875" style="2" customWidth="1"/>
    <col min="3835" max="3835" width="5.140625" style="2" customWidth="1"/>
    <col min="3836" max="3837" width="17.5703125" style="2" customWidth="1"/>
    <col min="3838" max="4081" width="9.140625" style="2"/>
    <col min="4082" max="4082" width="3.5703125" style="2" customWidth="1"/>
    <col min="4083" max="4083" width="96.85546875" style="2" customWidth="1"/>
    <col min="4084" max="4084" width="30.85546875" style="2" customWidth="1"/>
    <col min="4085" max="4085" width="12.5703125" style="2" customWidth="1"/>
    <col min="4086" max="4086" width="5.140625" style="2" customWidth="1"/>
    <col min="4087" max="4087" width="9.140625" style="2"/>
    <col min="4088" max="4088" width="4.85546875" style="2" customWidth="1"/>
    <col min="4089" max="4089" width="30.5703125" style="2" customWidth="1"/>
    <col min="4090" max="4090" width="33.85546875" style="2" customWidth="1"/>
    <col min="4091" max="4091" width="5.140625" style="2" customWidth="1"/>
    <col min="4092" max="4093" width="17.5703125" style="2" customWidth="1"/>
    <col min="4094" max="4337" width="9.140625" style="2"/>
    <col min="4338" max="4338" width="3.5703125" style="2" customWidth="1"/>
    <col min="4339" max="4339" width="96.85546875" style="2" customWidth="1"/>
    <col min="4340" max="4340" width="30.85546875" style="2" customWidth="1"/>
    <col min="4341" max="4341" width="12.5703125" style="2" customWidth="1"/>
    <col min="4342" max="4342" width="5.140625" style="2" customWidth="1"/>
    <col min="4343" max="4343" width="9.140625" style="2"/>
    <col min="4344" max="4344" width="4.85546875" style="2" customWidth="1"/>
    <col min="4345" max="4345" width="30.5703125" style="2" customWidth="1"/>
    <col min="4346" max="4346" width="33.85546875" style="2" customWidth="1"/>
    <col min="4347" max="4347" width="5.140625" style="2" customWidth="1"/>
    <col min="4348" max="4349" width="17.5703125" style="2" customWidth="1"/>
    <col min="4350" max="4593" width="9.140625" style="2"/>
    <col min="4594" max="4594" width="3.5703125" style="2" customWidth="1"/>
    <col min="4595" max="4595" width="96.85546875" style="2" customWidth="1"/>
    <col min="4596" max="4596" width="30.85546875" style="2" customWidth="1"/>
    <col min="4597" max="4597" width="12.5703125" style="2" customWidth="1"/>
    <col min="4598" max="4598" width="5.140625" style="2" customWidth="1"/>
    <col min="4599" max="4599" width="9.140625" style="2"/>
    <col min="4600" max="4600" width="4.85546875" style="2" customWidth="1"/>
    <col min="4601" max="4601" width="30.5703125" style="2" customWidth="1"/>
    <col min="4602" max="4602" width="33.85546875" style="2" customWidth="1"/>
    <col min="4603" max="4603" width="5.140625" style="2" customWidth="1"/>
    <col min="4604" max="4605" width="17.5703125" style="2" customWidth="1"/>
    <col min="4606" max="4849" width="9.140625" style="2"/>
    <col min="4850" max="4850" width="3.5703125" style="2" customWidth="1"/>
    <col min="4851" max="4851" width="96.85546875" style="2" customWidth="1"/>
    <col min="4852" max="4852" width="30.85546875" style="2" customWidth="1"/>
    <col min="4853" max="4853" width="12.5703125" style="2" customWidth="1"/>
    <col min="4854" max="4854" width="5.140625" style="2" customWidth="1"/>
    <col min="4855" max="4855" width="9.140625" style="2"/>
    <col min="4856" max="4856" width="4.85546875" style="2" customWidth="1"/>
    <col min="4857" max="4857" width="30.5703125" style="2" customWidth="1"/>
    <col min="4858" max="4858" width="33.85546875" style="2" customWidth="1"/>
    <col min="4859" max="4859" width="5.140625" style="2" customWidth="1"/>
    <col min="4860" max="4861" width="17.5703125" style="2" customWidth="1"/>
    <col min="4862" max="5105" width="9.140625" style="2"/>
    <col min="5106" max="5106" width="3.5703125" style="2" customWidth="1"/>
    <col min="5107" max="5107" width="96.85546875" style="2" customWidth="1"/>
    <col min="5108" max="5108" width="30.85546875" style="2" customWidth="1"/>
    <col min="5109" max="5109" width="12.5703125" style="2" customWidth="1"/>
    <col min="5110" max="5110" width="5.140625" style="2" customWidth="1"/>
    <col min="5111" max="5111" width="9.140625" style="2"/>
    <col min="5112" max="5112" width="4.85546875" style="2" customWidth="1"/>
    <col min="5113" max="5113" width="30.5703125" style="2" customWidth="1"/>
    <col min="5114" max="5114" width="33.85546875" style="2" customWidth="1"/>
    <col min="5115" max="5115" width="5.140625" style="2" customWidth="1"/>
    <col min="5116" max="5117" width="17.5703125" style="2" customWidth="1"/>
    <col min="5118" max="5361" width="9.140625" style="2"/>
    <col min="5362" max="5362" width="3.5703125" style="2" customWidth="1"/>
    <col min="5363" max="5363" width="96.85546875" style="2" customWidth="1"/>
    <col min="5364" max="5364" width="30.85546875" style="2" customWidth="1"/>
    <col min="5365" max="5365" width="12.5703125" style="2" customWidth="1"/>
    <col min="5366" max="5366" width="5.140625" style="2" customWidth="1"/>
    <col min="5367" max="5367" width="9.140625" style="2"/>
    <col min="5368" max="5368" width="4.85546875" style="2" customWidth="1"/>
    <col min="5369" max="5369" width="30.5703125" style="2" customWidth="1"/>
    <col min="5370" max="5370" width="33.85546875" style="2" customWidth="1"/>
    <col min="5371" max="5371" width="5.140625" style="2" customWidth="1"/>
    <col min="5372" max="5373" width="17.5703125" style="2" customWidth="1"/>
    <col min="5374" max="5617" width="9.140625" style="2"/>
    <col min="5618" max="5618" width="3.5703125" style="2" customWidth="1"/>
    <col min="5619" max="5619" width="96.85546875" style="2" customWidth="1"/>
    <col min="5620" max="5620" width="30.85546875" style="2" customWidth="1"/>
    <col min="5621" max="5621" width="12.5703125" style="2" customWidth="1"/>
    <col min="5622" max="5622" width="5.140625" style="2" customWidth="1"/>
    <col min="5623" max="5623" width="9.140625" style="2"/>
    <col min="5624" max="5624" width="4.85546875" style="2" customWidth="1"/>
    <col min="5625" max="5625" width="30.5703125" style="2" customWidth="1"/>
    <col min="5626" max="5626" width="33.85546875" style="2" customWidth="1"/>
    <col min="5627" max="5627" width="5.140625" style="2" customWidth="1"/>
    <col min="5628" max="5629" width="17.5703125" style="2" customWidth="1"/>
    <col min="5630" max="5873" width="9.140625" style="2"/>
    <col min="5874" max="5874" width="3.5703125" style="2" customWidth="1"/>
    <col min="5875" max="5875" width="96.85546875" style="2" customWidth="1"/>
    <col min="5876" max="5876" width="30.85546875" style="2" customWidth="1"/>
    <col min="5877" max="5877" width="12.5703125" style="2" customWidth="1"/>
    <col min="5878" max="5878" width="5.140625" style="2" customWidth="1"/>
    <col min="5879" max="5879" width="9.140625" style="2"/>
    <col min="5880" max="5880" width="4.85546875" style="2" customWidth="1"/>
    <col min="5881" max="5881" width="30.5703125" style="2" customWidth="1"/>
    <col min="5882" max="5882" width="33.85546875" style="2" customWidth="1"/>
    <col min="5883" max="5883" width="5.140625" style="2" customWidth="1"/>
    <col min="5884" max="5885" width="17.5703125" style="2" customWidth="1"/>
    <col min="5886" max="6129" width="9.140625" style="2"/>
    <col min="6130" max="6130" width="3.5703125" style="2" customWidth="1"/>
    <col min="6131" max="6131" width="96.85546875" style="2" customWidth="1"/>
    <col min="6132" max="6132" width="30.85546875" style="2" customWidth="1"/>
    <col min="6133" max="6133" width="12.5703125" style="2" customWidth="1"/>
    <col min="6134" max="6134" width="5.140625" style="2" customWidth="1"/>
    <col min="6135" max="6135" width="9.140625" style="2"/>
    <col min="6136" max="6136" width="4.85546875" style="2" customWidth="1"/>
    <col min="6137" max="6137" width="30.5703125" style="2" customWidth="1"/>
    <col min="6138" max="6138" width="33.85546875" style="2" customWidth="1"/>
    <col min="6139" max="6139" width="5.140625" style="2" customWidth="1"/>
    <col min="6140" max="6141" width="17.5703125" style="2" customWidth="1"/>
    <col min="6142" max="6385" width="9.140625" style="2"/>
    <col min="6386" max="6386" width="3.5703125" style="2" customWidth="1"/>
    <col min="6387" max="6387" width="96.85546875" style="2" customWidth="1"/>
    <col min="6388" max="6388" width="30.85546875" style="2" customWidth="1"/>
    <col min="6389" max="6389" width="12.5703125" style="2" customWidth="1"/>
    <col min="6390" max="6390" width="5.140625" style="2" customWidth="1"/>
    <col min="6391" max="6391" width="9.140625" style="2"/>
    <col min="6392" max="6392" width="4.85546875" style="2" customWidth="1"/>
    <col min="6393" max="6393" width="30.5703125" style="2" customWidth="1"/>
    <col min="6394" max="6394" width="33.85546875" style="2" customWidth="1"/>
    <col min="6395" max="6395" width="5.140625" style="2" customWidth="1"/>
    <col min="6396" max="6397" width="17.5703125" style="2" customWidth="1"/>
    <col min="6398" max="6641" width="9.140625" style="2"/>
    <col min="6642" max="6642" width="3.5703125" style="2" customWidth="1"/>
    <col min="6643" max="6643" width="96.85546875" style="2" customWidth="1"/>
    <col min="6644" max="6644" width="30.85546875" style="2" customWidth="1"/>
    <col min="6645" max="6645" width="12.5703125" style="2" customWidth="1"/>
    <col min="6646" max="6646" width="5.140625" style="2" customWidth="1"/>
    <col min="6647" max="6647" width="9.140625" style="2"/>
    <col min="6648" max="6648" width="4.85546875" style="2" customWidth="1"/>
    <col min="6649" max="6649" width="30.5703125" style="2" customWidth="1"/>
    <col min="6650" max="6650" width="33.85546875" style="2" customWidth="1"/>
    <col min="6651" max="6651" width="5.140625" style="2" customWidth="1"/>
    <col min="6652" max="6653" width="17.5703125" style="2" customWidth="1"/>
    <col min="6654" max="6897" width="9.140625" style="2"/>
    <col min="6898" max="6898" width="3.5703125" style="2" customWidth="1"/>
    <col min="6899" max="6899" width="96.85546875" style="2" customWidth="1"/>
    <col min="6900" max="6900" width="30.85546875" style="2" customWidth="1"/>
    <col min="6901" max="6901" width="12.5703125" style="2" customWidth="1"/>
    <col min="6902" max="6902" width="5.140625" style="2" customWidth="1"/>
    <col min="6903" max="6903" width="9.140625" style="2"/>
    <col min="6904" max="6904" width="4.85546875" style="2" customWidth="1"/>
    <col min="6905" max="6905" width="30.5703125" style="2" customWidth="1"/>
    <col min="6906" max="6906" width="33.85546875" style="2" customWidth="1"/>
    <col min="6907" max="6907" width="5.140625" style="2" customWidth="1"/>
    <col min="6908" max="6909" width="17.5703125" style="2" customWidth="1"/>
    <col min="6910" max="7153" width="9.140625" style="2"/>
    <col min="7154" max="7154" width="3.5703125" style="2" customWidth="1"/>
    <col min="7155" max="7155" width="96.85546875" style="2" customWidth="1"/>
    <col min="7156" max="7156" width="30.85546875" style="2" customWidth="1"/>
    <col min="7157" max="7157" width="12.5703125" style="2" customWidth="1"/>
    <col min="7158" max="7158" width="5.140625" style="2" customWidth="1"/>
    <col min="7159" max="7159" width="9.140625" style="2"/>
    <col min="7160" max="7160" width="4.85546875" style="2" customWidth="1"/>
    <col min="7161" max="7161" width="30.5703125" style="2" customWidth="1"/>
    <col min="7162" max="7162" width="33.85546875" style="2" customWidth="1"/>
    <col min="7163" max="7163" width="5.140625" style="2" customWidth="1"/>
    <col min="7164" max="7165" width="17.5703125" style="2" customWidth="1"/>
    <col min="7166" max="7409" width="9.140625" style="2"/>
    <col min="7410" max="7410" width="3.5703125" style="2" customWidth="1"/>
    <col min="7411" max="7411" width="96.85546875" style="2" customWidth="1"/>
    <col min="7412" max="7412" width="30.85546875" style="2" customWidth="1"/>
    <col min="7413" max="7413" width="12.5703125" style="2" customWidth="1"/>
    <col min="7414" max="7414" width="5.140625" style="2" customWidth="1"/>
    <col min="7415" max="7415" width="9.140625" style="2"/>
    <col min="7416" max="7416" width="4.85546875" style="2" customWidth="1"/>
    <col min="7417" max="7417" width="30.5703125" style="2" customWidth="1"/>
    <col min="7418" max="7418" width="33.85546875" style="2" customWidth="1"/>
    <col min="7419" max="7419" width="5.140625" style="2" customWidth="1"/>
    <col min="7420" max="7421" width="17.5703125" style="2" customWidth="1"/>
    <col min="7422" max="7665" width="9.140625" style="2"/>
    <col min="7666" max="7666" width="3.5703125" style="2" customWidth="1"/>
    <col min="7667" max="7667" width="96.85546875" style="2" customWidth="1"/>
    <col min="7668" max="7668" width="30.85546875" style="2" customWidth="1"/>
    <col min="7669" max="7669" width="12.5703125" style="2" customWidth="1"/>
    <col min="7670" max="7670" width="5.140625" style="2" customWidth="1"/>
    <col min="7671" max="7671" width="9.140625" style="2"/>
    <col min="7672" max="7672" width="4.85546875" style="2" customWidth="1"/>
    <col min="7673" max="7673" width="30.5703125" style="2" customWidth="1"/>
    <col min="7674" max="7674" width="33.85546875" style="2" customWidth="1"/>
    <col min="7675" max="7675" width="5.140625" style="2" customWidth="1"/>
    <col min="7676" max="7677" width="17.5703125" style="2" customWidth="1"/>
    <col min="7678" max="7921" width="9.140625" style="2"/>
    <col min="7922" max="7922" width="3.5703125" style="2" customWidth="1"/>
    <col min="7923" max="7923" width="96.85546875" style="2" customWidth="1"/>
    <col min="7924" max="7924" width="30.85546875" style="2" customWidth="1"/>
    <col min="7925" max="7925" width="12.5703125" style="2" customWidth="1"/>
    <col min="7926" max="7926" width="5.140625" style="2" customWidth="1"/>
    <col min="7927" max="7927" width="9.140625" style="2"/>
    <col min="7928" max="7928" width="4.85546875" style="2" customWidth="1"/>
    <col min="7929" max="7929" width="30.5703125" style="2" customWidth="1"/>
    <col min="7930" max="7930" width="33.85546875" style="2" customWidth="1"/>
    <col min="7931" max="7931" width="5.140625" style="2" customWidth="1"/>
    <col min="7932" max="7933" width="17.5703125" style="2" customWidth="1"/>
    <col min="7934" max="8177" width="9.140625" style="2"/>
    <col min="8178" max="8178" width="3.5703125" style="2" customWidth="1"/>
    <col min="8179" max="8179" width="96.85546875" style="2" customWidth="1"/>
    <col min="8180" max="8180" width="30.85546875" style="2" customWidth="1"/>
    <col min="8181" max="8181" width="12.5703125" style="2" customWidth="1"/>
    <col min="8182" max="8182" width="5.140625" style="2" customWidth="1"/>
    <col min="8183" max="8183" width="9.140625" style="2"/>
    <col min="8184" max="8184" width="4.85546875" style="2" customWidth="1"/>
    <col min="8185" max="8185" width="30.5703125" style="2" customWidth="1"/>
    <col min="8186" max="8186" width="33.85546875" style="2" customWidth="1"/>
    <col min="8187" max="8187" width="5.140625" style="2" customWidth="1"/>
    <col min="8188" max="8189" width="17.5703125" style="2" customWidth="1"/>
    <col min="8190" max="8433" width="9.140625" style="2"/>
    <col min="8434" max="8434" width="3.5703125" style="2" customWidth="1"/>
    <col min="8435" max="8435" width="96.85546875" style="2" customWidth="1"/>
    <col min="8436" max="8436" width="30.85546875" style="2" customWidth="1"/>
    <col min="8437" max="8437" width="12.5703125" style="2" customWidth="1"/>
    <col min="8438" max="8438" width="5.140625" style="2" customWidth="1"/>
    <col min="8439" max="8439" width="9.140625" style="2"/>
    <col min="8440" max="8440" width="4.85546875" style="2" customWidth="1"/>
    <col min="8441" max="8441" width="30.5703125" style="2" customWidth="1"/>
    <col min="8442" max="8442" width="33.85546875" style="2" customWidth="1"/>
    <col min="8443" max="8443" width="5.140625" style="2" customWidth="1"/>
    <col min="8444" max="8445" width="17.5703125" style="2" customWidth="1"/>
    <col min="8446" max="8689" width="9.140625" style="2"/>
    <col min="8690" max="8690" width="3.5703125" style="2" customWidth="1"/>
    <col min="8691" max="8691" width="96.85546875" style="2" customWidth="1"/>
    <col min="8692" max="8692" width="30.85546875" style="2" customWidth="1"/>
    <col min="8693" max="8693" width="12.5703125" style="2" customWidth="1"/>
    <col min="8694" max="8694" width="5.140625" style="2" customWidth="1"/>
    <col min="8695" max="8695" width="9.140625" style="2"/>
    <col min="8696" max="8696" width="4.85546875" style="2" customWidth="1"/>
    <col min="8697" max="8697" width="30.5703125" style="2" customWidth="1"/>
    <col min="8698" max="8698" width="33.85546875" style="2" customWidth="1"/>
    <col min="8699" max="8699" width="5.140625" style="2" customWidth="1"/>
    <col min="8700" max="8701" width="17.5703125" style="2" customWidth="1"/>
    <col min="8702" max="8945" width="9.140625" style="2"/>
    <col min="8946" max="8946" width="3.5703125" style="2" customWidth="1"/>
    <col min="8947" max="8947" width="96.85546875" style="2" customWidth="1"/>
    <col min="8948" max="8948" width="30.85546875" style="2" customWidth="1"/>
    <col min="8949" max="8949" width="12.5703125" style="2" customWidth="1"/>
    <col min="8950" max="8950" width="5.140625" style="2" customWidth="1"/>
    <col min="8951" max="8951" width="9.140625" style="2"/>
    <col min="8952" max="8952" width="4.85546875" style="2" customWidth="1"/>
    <col min="8953" max="8953" width="30.5703125" style="2" customWidth="1"/>
    <col min="8954" max="8954" width="33.85546875" style="2" customWidth="1"/>
    <col min="8955" max="8955" width="5.140625" style="2" customWidth="1"/>
    <col min="8956" max="8957" width="17.5703125" style="2" customWidth="1"/>
    <col min="8958" max="9201" width="9.140625" style="2"/>
    <col min="9202" max="9202" width="3.5703125" style="2" customWidth="1"/>
    <col min="9203" max="9203" width="96.85546875" style="2" customWidth="1"/>
    <col min="9204" max="9204" width="30.85546875" style="2" customWidth="1"/>
    <col min="9205" max="9205" width="12.5703125" style="2" customWidth="1"/>
    <col min="9206" max="9206" width="5.140625" style="2" customWidth="1"/>
    <col min="9207" max="9207" width="9.140625" style="2"/>
    <col min="9208" max="9208" width="4.85546875" style="2" customWidth="1"/>
    <col min="9209" max="9209" width="30.5703125" style="2" customWidth="1"/>
    <col min="9210" max="9210" width="33.85546875" style="2" customWidth="1"/>
    <col min="9211" max="9211" width="5.140625" style="2" customWidth="1"/>
    <col min="9212" max="9213" width="17.5703125" style="2" customWidth="1"/>
    <col min="9214" max="9457" width="9.140625" style="2"/>
    <col min="9458" max="9458" width="3.5703125" style="2" customWidth="1"/>
    <col min="9459" max="9459" width="96.85546875" style="2" customWidth="1"/>
    <col min="9460" max="9460" width="30.85546875" style="2" customWidth="1"/>
    <col min="9461" max="9461" width="12.5703125" style="2" customWidth="1"/>
    <col min="9462" max="9462" width="5.140625" style="2" customWidth="1"/>
    <col min="9463" max="9463" width="9.140625" style="2"/>
    <col min="9464" max="9464" width="4.85546875" style="2" customWidth="1"/>
    <col min="9465" max="9465" width="30.5703125" style="2" customWidth="1"/>
    <col min="9466" max="9466" width="33.85546875" style="2" customWidth="1"/>
    <col min="9467" max="9467" width="5.140625" style="2" customWidth="1"/>
    <col min="9468" max="9469" width="17.5703125" style="2" customWidth="1"/>
    <col min="9470" max="9713" width="9.140625" style="2"/>
    <col min="9714" max="9714" width="3.5703125" style="2" customWidth="1"/>
    <col min="9715" max="9715" width="96.85546875" style="2" customWidth="1"/>
    <col min="9716" max="9716" width="30.85546875" style="2" customWidth="1"/>
    <col min="9717" max="9717" width="12.5703125" style="2" customWidth="1"/>
    <col min="9718" max="9718" width="5.140625" style="2" customWidth="1"/>
    <col min="9719" max="9719" width="9.140625" style="2"/>
    <col min="9720" max="9720" width="4.85546875" style="2" customWidth="1"/>
    <col min="9721" max="9721" width="30.5703125" style="2" customWidth="1"/>
    <col min="9722" max="9722" width="33.85546875" style="2" customWidth="1"/>
    <col min="9723" max="9723" width="5.140625" style="2" customWidth="1"/>
    <col min="9724" max="9725" width="17.5703125" style="2" customWidth="1"/>
    <col min="9726" max="9969" width="9.140625" style="2"/>
    <col min="9970" max="9970" width="3.5703125" style="2" customWidth="1"/>
    <col min="9971" max="9971" width="96.85546875" style="2" customWidth="1"/>
    <col min="9972" max="9972" width="30.85546875" style="2" customWidth="1"/>
    <col min="9973" max="9973" width="12.5703125" style="2" customWidth="1"/>
    <col min="9974" max="9974" width="5.140625" style="2" customWidth="1"/>
    <col min="9975" max="9975" width="9.140625" style="2"/>
    <col min="9976" max="9976" width="4.85546875" style="2" customWidth="1"/>
    <col min="9977" max="9977" width="30.5703125" style="2" customWidth="1"/>
    <col min="9978" max="9978" width="33.85546875" style="2" customWidth="1"/>
    <col min="9979" max="9979" width="5.140625" style="2" customWidth="1"/>
    <col min="9980" max="9981" width="17.5703125" style="2" customWidth="1"/>
    <col min="9982" max="10225" width="9.140625" style="2"/>
    <col min="10226" max="10226" width="3.5703125" style="2" customWidth="1"/>
    <col min="10227" max="10227" width="96.85546875" style="2" customWidth="1"/>
    <col min="10228" max="10228" width="30.85546875" style="2" customWidth="1"/>
    <col min="10229" max="10229" width="12.5703125" style="2" customWidth="1"/>
    <col min="10230" max="10230" width="5.140625" style="2" customWidth="1"/>
    <col min="10231" max="10231" width="9.140625" style="2"/>
    <col min="10232" max="10232" width="4.85546875" style="2" customWidth="1"/>
    <col min="10233" max="10233" width="30.5703125" style="2" customWidth="1"/>
    <col min="10234" max="10234" width="33.85546875" style="2" customWidth="1"/>
    <col min="10235" max="10235" width="5.140625" style="2" customWidth="1"/>
    <col min="10236" max="10237" width="17.5703125" style="2" customWidth="1"/>
    <col min="10238" max="10481" width="9.140625" style="2"/>
    <col min="10482" max="10482" width="3.5703125" style="2" customWidth="1"/>
    <col min="10483" max="10483" width="96.85546875" style="2" customWidth="1"/>
    <col min="10484" max="10484" width="30.85546875" style="2" customWidth="1"/>
    <col min="10485" max="10485" width="12.5703125" style="2" customWidth="1"/>
    <col min="10486" max="10486" width="5.140625" style="2" customWidth="1"/>
    <col min="10487" max="10487" width="9.140625" style="2"/>
    <col min="10488" max="10488" width="4.85546875" style="2" customWidth="1"/>
    <col min="10489" max="10489" width="30.5703125" style="2" customWidth="1"/>
    <col min="10490" max="10490" width="33.85546875" style="2" customWidth="1"/>
    <col min="10491" max="10491" width="5.140625" style="2" customWidth="1"/>
    <col min="10492" max="10493" width="17.5703125" style="2" customWidth="1"/>
    <col min="10494" max="10737" width="9.140625" style="2"/>
    <col min="10738" max="10738" width="3.5703125" style="2" customWidth="1"/>
    <col min="10739" max="10739" width="96.85546875" style="2" customWidth="1"/>
    <col min="10740" max="10740" width="30.85546875" style="2" customWidth="1"/>
    <col min="10741" max="10741" width="12.5703125" style="2" customWidth="1"/>
    <col min="10742" max="10742" width="5.140625" style="2" customWidth="1"/>
    <col min="10743" max="10743" width="9.140625" style="2"/>
    <col min="10744" max="10744" width="4.85546875" style="2" customWidth="1"/>
    <col min="10745" max="10745" width="30.5703125" style="2" customWidth="1"/>
    <col min="10746" max="10746" width="33.85546875" style="2" customWidth="1"/>
    <col min="10747" max="10747" width="5.140625" style="2" customWidth="1"/>
    <col min="10748" max="10749" width="17.5703125" style="2" customWidth="1"/>
    <col min="10750" max="10993" width="9.140625" style="2"/>
    <col min="10994" max="10994" width="3.5703125" style="2" customWidth="1"/>
    <col min="10995" max="10995" width="96.85546875" style="2" customWidth="1"/>
    <col min="10996" max="10996" width="30.85546875" style="2" customWidth="1"/>
    <col min="10997" max="10997" width="12.5703125" style="2" customWidth="1"/>
    <col min="10998" max="10998" width="5.140625" style="2" customWidth="1"/>
    <col min="10999" max="10999" width="9.140625" style="2"/>
    <col min="11000" max="11000" width="4.85546875" style="2" customWidth="1"/>
    <col min="11001" max="11001" width="30.5703125" style="2" customWidth="1"/>
    <col min="11002" max="11002" width="33.85546875" style="2" customWidth="1"/>
    <col min="11003" max="11003" width="5.140625" style="2" customWidth="1"/>
    <col min="11004" max="11005" width="17.5703125" style="2" customWidth="1"/>
    <col min="11006" max="11249" width="9.140625" style="2"/>
    <col min="11250" max="11250" width="3.5703125" style="2" customWidth="1"/>
    <col min="11251" max="11251" width="96.85546875" style="2" customWidth="1"/>
    <col min="11252" max="11252" width="30.85546875" style="2" customWidth="1"/>
    <col min="11253" max="11253" width="12.5703125" style="2" customWidth="1"/>
    <col min="11254" max="11254" width="5.140625" style="2" customWidth="1"/>
    <col min="11255" max="11255" width="9.140625" style="2"/>
    <col min="11256" max="11256" width="4.85546875" style="2" customWidth="1"/>
    <col min="11257" max="11257" width="30.5703125" style="2" customWidth="1"/>
    <col min="11258" max="11258" width="33.85546875" style="2" customWidth="1"/>
    <col min="11259" max="11259" width="5.140625" style="2" customWidth="1"/>
    <col min="11260" max="11261" width="17.5703125" style="2" customWidth="1"/>
    <col min="11262" max="11505" width="9.140625" style="2"/>
    <col min="11506" max="11506" width="3.5703125" style="2" customWidth="1"/>
    <col min="11507" max="11507" width="96.85546875" style="2" customWidth="1"/>
    <col min="11508" max="11508" width="30.85546875" style="2" customWidth="1"/>
    <col min="11509" max="11509" width="12.5703125" style="2" customWidth="1"/>
    <col min="11510" max="11510" width="5.140625" style="2" customWidth="1"/>
    <col min="11511" max="11511" width="9.140625" style="2"/>
    <col min="11512" max="11512" width="4.85546875" style="2" customWidth="1"/>
    <col min="11513" max="11513" width="30.5703125" style="2" customWidth="1"/>
    <col min="11514" max="11514" width="33.85546875" style="2" customWidth="1"/>
    <col min="11515" max="11515" width="5.140625" style="2" customWidth="1"/>
    <col min="11516" max="11517" width="17.5703125" style="2" customWidth="1"/>
    <col min="11518" max="11761" width="9.140625" style="2"/>
    <col min="11762" max="11762" width="3.5703125" style="2" customWidth="1"/>
    <col min="11763" max="11763" width="96.85546875" style="2" customWidth="1"/>
    <col min="11764" max="11764" width="30.85546875" style="2" customWidth="1"/>
    <col min="11765" max="11765" width="12.5703125" style="2" customWidth="1"/>
    <col min="11766" max="11766" width="5.140625" style="2" customWidth="1"/>
    <col min="11767" max="11767" width="9.140625" style="2"/>
    <col min="11768" max="11768" width="4.85546875" style="2" customWidth="1"/>
    <col min="11769" max="11769" width="30.5703125" style="2" customWidth="1"/>
    <col min="11770" max="11770" width="33.85546875" style="2" customWidth="1"/>
    <col min="11771" max="11771" width="5.140625" style="2" customWidth="1"/>
    <col min="11772" max="11773" width="17.5703125" style="2" customWidth="1"/>
    <col min="11774" max="12017" width="9.140625" style="2"/>
    <col min="12018" max="12018" width="3.5703125" style="2" customWidth="1"/>
    <col min="12019" max="12019" width="96.85546875" style="2" customWidth="1"/>
    <col min="12020" max="12020" width="30.85546875" style="2" customWidth="1"/>
    <col min="12021" max="12021" width="12.5703125" style="2" customWidth="1"/>
    <col min="12022" max="12022" width="5.140625" style="2" customWidth="1"/>
    <col min="12023" max="12023" width="9.140625" style="2"/>
    <col min="12024" max="12024" width="4.85546875" style="2" customWidth="1"/>
    <col min="12025" max="12025" width="30.5703125" style="2" customWidth="1"/>
    <col min="12026" max="12026" width="33.85546875" style="2" customWidth="1"/>
    <col min="12027" max="12027" width="5.140625" style="2" customWidth="1"/>
    <col min="12028" max="12029" width="17.5703125" style="2" customWidth="1"/>
    <col min="12030" max="12273" width="9.140625" style="2"/>
    <col min="12274" max="12274" width="3.5703125" style="2" customWidth="1"/>
    <col min="12275" max="12275" width="96.85546875" style="2" customWidth="1"/>
    <col min="12276" max="12276" width="30.85546875" style="2" customWidth="1"/>
    <col min="12277" max="12277" width="12.5703125" style="2" customWidth="1"/>
    <col min="12278" max="12278" width="5.140625" style="2" customWidth="1"/>
    <col min="12279" max="12279" width="9.140625" style="2"/>
    <col min="12280" max="12280" width="4.85546875" style="2" customWidth="1"/>
    <col min="12281" max="12281" width="30.5703125" style="2" customWidth="1"/>
    <col min="12282" max="12282" width="33.85546875" style="2" customWidth="1"/>
    <col min="12283" max="12283" width="5.140625" style="2" customWidth="1"/>
    <col min="12284" max="12285" width="17.5703125" style="2" customWidth="1"/>
    <col min="12286" max="12529" width="9.140625" style="2"/>
    <col min="12530" max="12530" width="3.5703125" style="2" customWidth="1"/>
    <col min="12531" max="12531" width="96.85546875" style="2" customWidth="1"/>
    <col min="12532" max="12532" width="30.85546875" style="2" customWidth="1"/>
    <col min="12533" max="12533" width="12.5703125" style="2" customWidth="1"/>
    <col min="12534" max="12534" width="5.140625" style="2" customWidth="1"/>
    <col min="12535" max="12535" width="9.140625" style="2"/>
    <col min="12536" max="12536" width="4.85546875" style="2" customWidth="1"/>
    <col min="12537" max="12537" width="30.5703125" style="2" customWidth="1"/>
    <col min="12538" max="12538" width="33.85546875" style="2" customWidth="1"/>
    <col min="12539" max="12539" width="5.140625" style="2" customWidth="1"/>
    <col min="12540" max="12541" width="17.5703125" style="2" customWidth="1"/>
    <col min="12542" max="12785" width="9.140625" style="2"/>
    <col min="12786" max="12786" width="3.5703125" style="2" customWidth="1"/>
    <col min="12787" max="12787" width="96.85546875" style="2" customWidth="1"/>
    <col min="12788" max="12788" width="30.85546875" style="2" customWidth="1"/>
    <col min="12789" max="12789" width="12.5703125" style="2" customWidth="1"/>
    <col min="12790" max="12790" width="5.140625" style="2" customWidth="1"/>
    <col min="12791" max="12791" width="9.140625" style="2"/>
    <col min="12792" max="12792" width="4.85546875" style="2" customWidth="1"/>
    <col min="12793" max="12793" width="30.5703125" style="2" customWidth="1"/>
    <col min="12794" max="12794" width="33.85546875" style="2" customWidth="1"/>
    <col min="12795" max="12795" width="5.140625" style="2" customWidth="1"/>
    <col min="12796" max="12797" width="17.5703125" style="2" customWidth="1"/>
    <col min="12798" max="13041" width="9.140625" style="2"/>
    <col min="13042" max="13042" width="3.5703125" style="2" customWidth="1"/>
    <col min="13043" max="13043" width="96.85546875" style="2" customWidth="1"/>
    <col min="13044" max="13044" width="30.85546875" style="2" customWidth="1"/>
    <col min="13045" max="13045" width="12.5703125" style="2" customWidth="1"/>
    <col min="13046" max="13046" width="5.140625" style="2" customWidth="1"/>
    <col min="13047" max="13047" width="9.140625" style="2"/>
    <col min="13048" max="13048" width="4.85546875" style="2" customWidth="1"/>
    <col min="13049" max="13049" width="30.5703125" style="2" customWidth="1"/>
    <col min="13050" max="13050" width="33.85546875" style="2" customWidth="1"/>
    <col min="13051" max="13051" width="5.140625" style="2" customWidth="1"/>
    <col min="13052" max="13053" width="17.5703125" style="2" customWidth="1"/>
    <col min="13054" max="13297" width="9.140625" style="2"/>
    <col min="13298" max="13298" width="3.5703125" style="2" customWidth="1"/>
    <col min="13299" max="13299" width="96.85546875" style="2" customWidth="1"/>
    <col min="13300" max="13300" width="30.85546875" style="2" customWidth="1"/>
    <col min="13301" max="13301" width="12.5703125" style="2" customWidth="1"/>
    <col min="13302" max="13302" width="5.140625" style="2" customWidth="1"/>
    <col min="13303" max="13303" width="9.140625" style="2"/>
    <col min="13304" max="13304" width="4.85546875" style="2" customWidth="1"/>
    <col min="13305" max="13305" width="30.5703125" style="2" customWidth="1"/>
    <col min="13306" max="13306" width="33.85546875" style="2" customWidth="1"/>
    <col min="13307" max="13307" width="5.140625" style="2" customWidth="1"/>
    <col min="13308" max="13309" width="17.5703125" style="2" customWidth="1"/>
    <col min="13310" max="13553" width="9.140625" style="2"/>
    <col min="13554" max="13554" width="3.5703125" style="2" customWidth="1"/>
    <col min="13555" max="13555" width="96.85546875" style="2" customWidth="1"/>
    <col min="13556" max="13556" width="30.85546875" style="2" customWidth="1"/>
    <col min="13557" max="13557" width="12.5703125" style="2" customWidth="1"/>
    <col min="13558" max="13558" width="5.140625" style="2" customWidth="1"/>
    <col min="13559" max="13559" width="9.140625" style="2"/>
    <col min="13560" max="13560" width="4.85546875" style="2" customWidth="1"/>
    <col min="13561" max="13561" width="30.5703125" style="2" customWidth="1"/>
    <col min="13562" max="13562" width="33.85546875" style="2" customWidth="1"/>
    <col min="13563" max="13563" width="5.140625" style="2" customWidth="1"/>
    <col min="13564" max="13565" width="17.5703125" style="2" customWidth="1"/>
    <col min="13566" max="13809" width="9.140625" style="2"/>
    <col min="13810" max="13810" width="3.5703125" style="2" customWidth="1"/>
    <col min="13811" max="13811" width="96.85546875" style="2" customWidth="1"/>
    <col min="13812" max="13812" width="30.85546875" style="2" customWidth="1"/>
    <col min="13813" max="13813" width="12.5703125" style="2" customWidth="1"/>
    <col min="13814" max="13814" width="5.140625" style="2" customWidth="1"/>
    <col min="13815" max="13815" width="9.140625" style="2"/>
    <col min="13816" max="13816" width="4.85546875" style="2" customWidth="1"/>
    <col min="13817" max="13817" width="30.5703125" style="2" customWidth="1"/>
    <col min="13818" max="13818" width="33.85546875" style="2" customWidth="1"/>
    <col min="13819" max="13819" width="5.140625" style="2" customWidth="1"/>
    <col min="13820" max="13821" width="17.5703125" style="2" customWidth="1"/>
    <col min="13822" max="14065" width="9.140625" style="2"/>
    <col min="14066" max="14066" width="3.5703125" style="2" customWidth="1"/>
    <col min="14067" max="14067" width="96.85546875" style="2" customWidth="1"/>
    <col min="14068" max="14068" width="30.85546875" style="2" customWidth="1"/>
    <col min="14069" max="14069" width="12.5703125" style="2" customWidth="1"/>
    <col min="14070" max="14070" width="5.140625" style="2" customWidth="1"/>
    <col min="14071" max="14071" width="9.140625" style="2"/>
    <col min="14072" max="14072" width="4.85546875" style="2" customWidth="1"/>
    <col min="14073" max="14073" width="30.5703125" style="2" customWidth="1"/>
    <col min="14074" max="14074" width="33.85546875" style="2" customWidth="1"/>
    <col min="14075" max="14075" width="5.140625" style="2" customWidth="1"/>
    <col min="14076" max="14077" width="17.5703125" style="2" customWidth="1"/>
    <col min="14078" max="14321" width="9.140625" style="2"/>
    <col min="14322" max="14322" width="3.5703125" style="2" customWidth="1"/>
    <col min="14323" max="14323" width="96.85546875" style="2" customWidth="1"/>
    <col min="14324" max="14324" width="30.85546875" style="2" customWidth="1"/>
    <col min="14325" max="14325" width="12.5703125" style="2" customWidth="1"/>
    <col min="14326" max="14326" width="5.140625" style="2" customWidth="1"/>
    <col min="14327" max="14327" width="9.140625" style="2"/>
    <col min="14328" max="14328" width="4.85546875" style="2" customWidth="1"/>
    <col min="14329" max="14329" width="30.5703125" style="2" customWidth="1"/>
    <col min="14330" max="14330" width="33.85546875" style="2" customWidth="1"/>
    <col min="14331" max="14331" width="5.140625" style="2" customWidth="1"/>
    <col min="14332" max="14333" width="17.5703125" style="2" customWidth="1"/>
    <col min="14334" max="14577" width="9.140625" style="2"/>
    <col min="14578" max="14578" width="3.5703125" style="2" customWidth="1"/>
    <col min="14579" max="14579" width="96.85546875" style="2" customWidth="1"/>
    <col min="14580" max="14580" width="30.85546875" style="2" customWidth="1"/>
    <col min="14581" max="14581" width="12.5703125" style="2" customWidth="1"/>
    <col min="14582" max="14582" width="5.140625" style="2" customWidth="1"/>
    <col min="14583" max="14583" width="9.140625" style="2"/>
    <col min="14584" max="14584" width="4.85546875" style="2" customWidth="1"/>
    <col min="14585" max="14585" width="30.5703125" style="2" customWidth="1"/>
    <col min="14586" max="14586" width="33.85546875" style="2" customWidth="1"/>
    <col min="14587" max="14587" width="5.140625" style="2" customWidth="1"/>
    <col min="14588" max="14589" width="17.5703125" style="2" customWidth="1"/>
    <col min="14590" max="14833" width="9.140625" style="2"/>
    <col min="14834" max="14834" width="3.5703125" style="2" customWidth="1"/>
    <col min="14835" max="14835" width="96.85546875" style="2" customWidth="1"/>
    <col min="14836" max="14836" width="30.85546875" style="2" customWidth="1"/>
    <col min="14837" max="14837" width="12.5703125" style="2" customWidth="1"/>
    <col min="14838" max="14838" width="5.140625" style="2" customWidth="1"/>
    <col min="14839" max="14839" width="9.140625" style="2"/>
    <col min="14840" max="14840" width="4.85546875" style="2" customWidth="1"/>
    <col min="14841" max="14841" width="30.5703125" style="2" customWidth="1"/>
    <col min="14842" max="14842" width="33.85546875" style="2" customWidth="1"/>
    <col min="14843" max="14843" width="5.140625" style="2" customWidth="1"/>
    <col min="14844" max="14845" width="17.5703125" style="2" customWidth="1"/>
    <col min="14846" max="15089" width="9.140625" style="2"/>
    <col min="15090" max="15090" width="3.5703125" style="2" customWidth="1"/>
    <col min="15091" max="15091" width="96.85546875" style="2" customWidth="1"/>
    <col min="15092" max="15092" width="30.85546875" style="2" customWidth="1"/>
    <col min="15093" max="15093" width="12.5703125" style="2" customWidth="1"/>
    <col min="15094" max="15094" width="5.140625" style="2" customWidth="1"/>
    <col min="15095" max="15095" width="9.140625" style="2"/>
    <col min="15096" max="15096" width="4.85546875" style="2" customWidth="1"/>
    <col min="15097" max="15097" width="30.5703125" style="2" customWidth="1"/>
    <col min="15098" max="15098" width="33.85546875" style="2" customWidth="1"/>
    <col min="15099" max="15099" width="5.140625" style="2" customWidth="1"/>
    <col min="15100" max="15101" width="17.5703125" style="2" customWidth="1"/>
    <col min="15102" max="15345" width="9.140625" style="2"/>
    <col min="15346" max="15346" width="3.5703125" style="2" customWidth="1"/>
    <col min="15347" max="15347" width="96.85546875" style="2" customWidth="1"/>
    <col min="15348" max="15348" width="30.85546875" style="2" customWidth="1"/>
    <col min="15349" max="15349" width="12.5703125" style="2" customWidth="1"/>
    <col min="15350" max="15350" width="5.140625" style="2" customWidth="1"/>
    <col min="15351" max="15351" width="9.140625" style="2"/>
    <col min="15352" max="15352" width="4.85546875" style="2" customWidth="1"/>
    <col min="15353" max="15353" width="30.5703125" style="2" customWidth="1"/>
    <col min="15354" max="15354" width="33.85546875" style="2" customWidth="1"/>
    <col min="15355" max="15355" width="5.140625" style="2" customWidth="1"/>
    <col min="15356" max="15357" width="17.5703125" style="2" customWidth="1"/>
    <col min="15358" max="15601" width="9.140625" style="2"/>
    <col min="15602" max="15602" width="3.5703125" style="2" customWidth="1"/>
    <col min="15603" max="15603" width="96.85546875" style="2" customWidth="1"/>
    <col min="15604" max="15604" width="30.85546875" style="2" customWidth="1"/>
    <col min="15605" max="15605" width="12.5703125" style="2" customWidth="1"/>
    <col min="15606" max="15606" width="5.140625" style="2" customWidth="1"/>
    <col min="15607" max="15607" width="9.140625" style="2"/>
    <col min="15608" max="15608" width="4.85546875" style="2" customWidth="1"/>
    <col min="15609" max="15609" width="30.5703125" style="2" customWidth="1"/>
    <col min="15610" max="15610" width="33.85546875" style="2" customWidth="1"/>
    <col min="15611" max="15611" width="5.140625" style="2" customWidth="1"/>
    <col min="15612" max="15613" width="17.5703125" style="2" customWidth="1"/>
    <col min="15614" max="15857" width="9.140625" style="2"/>
    <col min="15858" max="15858" width="3.5703125" style="2" customWidth="1"/>
    <col min="15859" max="15859" width="96.85546875" style="2" customWidth="1"/>
    <col min="15860" max="15860" width="30.85546875" style="2" customWidth="1"/>
    <col min="15861" max="15861" width="12.5703125" style="2" customWidth="1"/>
    <col min="15862" max="15862" width="5.140625" style="2" customWidth="1"/>
    <col min="15863" max="15863" width="9.140625" style="2"/>
    <col min="15864" max="15864" width="4.85546875" style="2" customWidth="1"/>
    <col min="15865" max="15865" width="30.5703125" style="2" customWidth="1"/>
    <col min="15866" max="15866" width="33.85546875" style="2" customWidth="1"/>
    <col min="15867" max="15867" width="5.140625" style="2" customWidth="1"/>
    <col min="15868" max="15869" width="17.5703125" style="2" customWidth="1"/>
    <col min="15870" max="16113" width="9.140625" style="2"/>
    <col min="16114" max="16114" width="3.5703125" style="2" customWidth="1"/>
    <col min="16115" max="16115" width="96.85546875" style="2" customWidth="1"/>
    <col min="16116" max="16116" width="30.85546875" style="2" customWidth="1"/>
    <col min="16117" max="16117" width="12.5703125" style="2" customWidth="1"/>
    <col min="16118" max="16118" width="5.140625" style="2" customWidth="1"/>
    <col min="16119" max="16119" width="9.140625" style="2"/>
    <col min="16120" max="16120" width="4.85546875" style="2" customWidth="1"/>
    <col min="16121" max="16121" width="30.5703125" style="2" customWidth="1"/>
    <col min="16122" max="16122" width="33.85546875" style="2" customWidth="1"/>
    <col min="16123" max="16123" width="5.140625" style="2" customWidth="1"/>
    <col min="16124" max="16125" width="17.5703125" style="2" customWidth="1"/>
    <col min="16126" max="16384" width="9.140625" style="2"/>
  </cols>
  <sheetData>
    <row r="1" spans="1:3" ht="48" customHeight="1" x14ac:dyDescent="0.2">
      <c r="A1" s="1"/>
      <c r="B1" s="143" t="s">
        <v>0</v>
      </c>
      <c r="C1" s="143"/>
    </row>
    <row r="2" spans="1:3" x14ac:dyDescent="0.2">
      <c r="A2" s="3"/>
      <c r="B2" s="4" t="s">
        <v>1</v>
      </c>
      <c r="C2" s="5">
        <v>46052</v>
      </c>
    </row>
    <row r="3" spans="1:3" x14ac:dyDescent="0.2">
      <c r="A3" s="3"/>
      <c r="B3" s="6" t="s">
        <v>2</v>
      </c>
    </row>
    <row r="4" spans="1:3" ht="25.5" x14ac:dyDescent="0.2">
      <c r="A4" s="8"/>
      <c r="B4" s="9" t="str">
        <f>[40]И1!D13</f>
        <v>Субъект Российской Федерации</v>
      </c>
      <c r="C4" s="10" t="str">
        <f>[40]И1!E13</f>
        <v>Новосибирская область</v>
      </c>
    </row>
    <row r="5" spans="1:3" ht="51.75" customHeight="1" x14ac:dyDescent="0.2">
      <c r="A5" s="8"/>
      <c r="B5" s="9" t="str">
        <f>[40]И1!D14</f>
        <v>Тип муниципального образования (выберите из списка)</v>
      </c>
      <c r="C5" s="10" t="str">
        <f>[41]И1!E14</f>
        <v xml:space="preserve">деревня Шибково, Искитимский муниципальный район </v>
      </c>
    </row>
    <row r="6" spans="1:3" x14ac:dyDescent="0.2">
      <c r="A6" s="8"/>
      <c r="B6" s="9" t="str">
        <f>IF([40]И1!E15="","",[40]И1!D15)</f>
        <v/>
      </c>
      <c r="C6" s="10">
        <f>IF([40]И1!E15="","",[40]И1!E15)</f>
        <v>0</v>
      </c>
    </row>
    <row r="7" spans="1:3" x14ac:dyDescent="0.2">
      <c r="A7" s="8"/>
      <c r="B7" s="9" t="str">
        <f>[40]И1!D16</f>
        <v>Код ОКТМО</v>
      </c>
      <c r="C7" s="11" t="str">
        <f>[41]И1!E16</f>
        <v>(50615440101)</v>
      </c>
    </row>
    <row r="8" spans="1:3" x14ac:dyDescent="0.2">
      <c r="A8" s="8"/>
      <c r="B8" s="12" t="str">
        <f>[40]И1!D17</f>
        <v>Система теплоснабжения</v>
      </c>
      <c r="C8" s="13">
        <f>[40]И1!E17</f>
        <v>0</v>
      </c>
    </row>
    <row r="9" spans="1:3" x14ac:dyDescent="0.2">
      <c r="A9" s="8"/>
      <c r="B9" s="9" t="str">
        <f>[40]И1!D8</f>
        <v>Период регулирования (i)-й</v>
      </c>
      <c r="C9" s="14">
        <f>[40]И1!E8</f>
        <v>2026</v>
      </c>
    </row>
    <row r="10" spans="1:3" x14ac:dyDescent="0.2">
      <c r="A10" s="8"/>
      <c r="B10" s="9" t="str">
        <f>[40]И1!D9</f>
        <v>Период регулирования (i-1)-й</v>
      </c>
      <c r="C10" s="14">
        <f>[40]И1!E9</f>
        <v>2025</v>
      </c>
    </row>
    <row r="11" spans="1:3" x14ac:dyDescent="0.2">
      <c r="A11" s="8"/>
      <c r="B11" s="9" t="str">
        <f>[40]И1!D10</f>
        <v>Период регулирования (i-2)-й</v>
      </c>
      <c r="C11" s="14">
        <f>[40]И1!E10</f>
        <v>2024</v>
      </c>
    </row>
    <row r="12" spans="1:3" x14ac:dyDescent="0.2">
      <c r="A12" s="8"/>
      <c r="B12" s="9" t="str">
        <f>[40]И1!D11</f>
        <v>Базовый год (б)</v>
      </c>
      <c r="C12" s="14">
        <f>[40]И1!E11</f>
        <v>2019</v>
      </c>
    </row>
    <row r="13" spans="1:3" x14ac:dyDescent="0.2">
      <c r="A13" s="8"/>
      <c r="B13" s="9" t="str">
        <f>[40]И1!D18</f>
        <v>Вид топлива, использование которого преобладает в системе теплоснабжения</v>
      </c>
      <c r="C13" s="15" t="str">
        <f>[40]С1.1!E13</f>
        <v>каменный уголь</v>
      </c>
    </row>
    <row r="14" spans="1:3" ht="31.7" customHeight="1" thickBot="1" x14ac:dyDescent="0.25">
      <c r="A14" s="142" t="s">
        <v>3</v>
      </c>
      <c r="B14" s="142"/>
      <c r="C14" s="142"/>
    </row>
    <row r="15" spans="1:3" x14ac:dyDescent="0.2">
      <c r="A15" s="16" t="s">
        <v>4</v>
      </c>
      <c r="B15" s="17" t="s">
        <v>5</v>
      </c>
      <c r="C15" s="18" t="s">
        <v>6</v>
      </c>
    </row>
    <row r="16" spans="1:3" x14ac:dyDescent="0.2">
      <c r="A16" s="19">
        <v>1</v>
      </c>
      <c r="B16" s="20">
        <v>2</v>
      </c>
      <c r="C16" s="21">
        <v>3</v>
      </c>
    </row>
    <row r="17" spans="1:3" x14ac:dyDescent="0.2">
      <c r="A17" s="22">
        <v>1</v>
      </c>
      <c r="B17" s="23" t="s">
        <v>7</v>
      </c>
      <c r="C17" s="24">
        <f>SUM(C18:C22)</f>
        <v>5963.4558464582842</v>
      </c>
    </row>
    <row r="18" spans="1:3" ht="42.75" x14ac:dyDescent="0.2">
      <c r="A18" s="22" t="s">
        <v>8</v>
      </c>
      <c r="B18" s="25" t="s">
        <v>9</v>
      </c>
      <c r="C18" s="26">
        <f>[40]С1!F12</f>
        <v>1253.4885262317794</v>
      </c>
    </row>
    <row r="19" spans="1:3" ht="42.75" x14ac:dyDescent="0.2">
      <c r="A19" s="22" t="s">
        <v>10</v>
      </c>
      <c r="B19" s="25" t="s">
        <v>11</v>
      </c>
      <c r="C19" s="26">
        <f>[40]С2!F12</f>
        <v>3097.7824122172187</v>
      </c>
    </row>
    <row r="20" spans="1:3" ht="30" x14ac:dyDescent="0.2">
      <c r="A20" s="22" t="s">
        <v>12</v>
      </c>
      <c r="B20" s="25" t="s">
        <v>13</v>
      </c>
      <c r="C20" s="26">
        <f>[40]С3!F12</f>
        <v>940.47266370947932</v>
      </c>
    </row>
    <row r="21" spans="1:3" ht="42.75" x14ac:dyDescent="0.2">
      <c r="A21" s="22" t="s">
        <v>14</v>
      </c>
      <c r="B21" s="25" t="s">
        <v>15</v>
      </c>
      <c r="C21" s="26">
        <f>[40]С4!F12</f>
        <v>554.78173750650694</v>
      </c>
    </row>
    <row r="22" spans="1:3" ht="30" x14ac:dyDescent="0.2">
      <c r="A22" s="22" t="s">
        <v>16</v>
      </c>
      <c r="B22" s="25" t="s">
        <v>17</v>
      </c>
      <c r="C22" s="26">
        <f>[40]С5!F12</f>
        <v>116.93050679329968</v>
      </c>
    </row>
    <row r="23" spans="1:3" ht="43.5" thickBot="1" x14ac:dyDescent="0.25">
      <c r="A23" s="27" t="s">
        <v>18</v>
      </c>
      <c r="B23" s="140" t="s">
        <v>19</v>
      </c>
      <c r="C23" s="28" t="str">
        <f>[40]С6!F12</f>
        <v>-</v>
      </c>
    </row>
    <row r="24" spans="1:3" ht="13.5" thickBot="1" x14ac:dyDescent="0.25">
      <c r="A24" s="3"/>
    </row>
    <row r="25" spans="1:3" x14ac:dyDescent="0.2">
      <c r="A25" s="16" t="s">
        <v>4</v>
      </c>
      <c r="B25" s="29" t="s">
        <v>5</v>
      </c>
      <c r="C25" s="30" t="s">
        <v>6</v>
      </c>
    </row>
    <row r="26" spans="1:3" x14ac:dyDescent="0.2">
      <c r="A26" s="19">
        <v>1</v>
      </c>
      <c r="B26" s="31">
        <v>2</v>
      </c>
      <c r="C26" s="32">
        <v>3</v>
      </c>
    </row>
    <row r="27" spans="1:3" ht="39.75" customHeight="1" x14ac:dyDescent="0.2">
      <c r="A27" s="22">
        <v>1</v>
      </c>
      <c r="B27" s="144" t="s">
        <v>20</v>
      </c>
      <c r="C27" s="144"/>
    </row>
    <row r="28" spans="1:3" ht="128.25" customHeight="1" x14ac:dyDescent="0.2">
      <c r="A28" s="22" t="s">
        <v>8</v>
      </c>
      <c r="B28" s="33" t="s">
        <v>21</v>
      </c>
      <c r="C28" s="34">
        <f>[40]С1.1!E16</f>
        <v>5100</v>
      </c>
    </row>
    <row r="29" spans="1:3" ht="57.75" customHeight="1" x14ac:dyDescent="0.2">
      <c r="A29" s="22" t="s">
        <v>10</v>
      </c>
      <c r="B29" s="33" t="s">
        <v>22</v>
      </c>
      <c r="C29" s="34">
        <f>[40]С1.1!E27</f>
        <v>5390.87</v>
      </c>
    </row>
    <row r="30" spans="1:3" ht="261.75" customHeight="1" x14ac:dyDescent="0.2">
      <c r="A30" s="22" t="s">
        <v>12</v>
      </c>
      <c r="B30" s="33" t="s">
        <v>23</v>
      </c>
      <c r="C30" s="35">
        <f>[40]С1.1!E19</f>
        <v>-0.11899999999999999</v>
      </c>
    </row>
    <row r="31" spans="1:3" ht="17.25" x14ac:dyDescent="0.2">
      <c r="A31" s="22" t="s">
        <v>14</v>
      </c>
      <c r="B31" s="33" t="s">
        <v>24</v>
      </c>
      <c r="C31" s="35">
        <f>[40]С1.1!E20</f>
        <v>4.0000000000000001E-3</v>
      </c>
    </row>
    <row r="32" spans="1:3" ht="30" x14ac:dyDescent="0.2">
      <c r="A32" s="22" t="s">
        <v>16</v>
      </c>
      <c r="B32" s="36" t="s">
        <v>25</v>
      </c>
      <c r="C32" s="37">
        <f>[40]С1!F13</f>
        <v>176.4</v>
      </c>
    </row>
    <row r="33" spans="1:3" x14ac:dyDescent="0.2">
      <c r="A33" s="22" t="s">
        <v>18</v>
      </c>
      <c r="B33" s="36" t="s">
        <v>26</v>
      </c>
      <c r="C33" s="38">
        <f>[40]С1!F16</f>
        <v>7000</v>
      </c>
    </row>
    <row r="34" spans="1:3" ht="14.25" x14ac:dyDescent="0.2">
      <c r="A34" s="22" t="s">
        <v>27</v>
      </c>
      <c r="B34" s="39" t="s">
        <v>28</v>
      </c>
      <c r="C34" s="40">
        <f>[40]С1!F17</f>
        <v>0.72857142857142854</v>
      </c>
    </row>
    <row r="35" spans="1:3" ht="15.75" x14ac:dyDescent="0.2">
      <c r="A35" s="41" t="s">
        <v>29</v>
      </c>
      <c r="B35" s="42" t="s">
        <v>30</v>
      </c>
      <c r="C35" s="40">
        <f>[40]С1!F20</f>
        <v>21.588411179999994</v>
      </c>
    </row>
    <row r="36" spans="1:3" ht="15.75" x14ac:dyDescent="0.2">
      <c r="A36" s="41" t="s">
        <v>31</v>
      </c>
      <c r="B36" s="43" t="s">
        <v>32</v>
      </c>
      <c r="C36" s="40">
        <f>[40]С1!F21</f>
        <v>20.818139999999996</v>
      </c>
    </row>
    <row r="37" spans="1:3" ht="14.25" x14ac:dyDescent="0.2">
      <c r="A37" s="41" t="s">
        <v>33</v>
      </c>
      <c r="B37" s="44" t="s">
        <v>34</v>
      </c>
      <c r="C37" s="40">
        <f>[40]С1!F22</f>
        <v>1.0369999999999999</v>
      </c>
    </row>
    <row r="38" spans="1:3" ht="53.25" thickBot="1" x14ac:dyDescent="0.25">
      <c r="A38" s="27" t="s">
        <v>35</v>
      </c>
      <c r="B38" s="45" t="s">
        <v>36</v>
      </c>
      <c r="C38" s="46">
        <f>[40]С1!F23</f>
        <v>1.0469999999999999</v>
      </c>
    </row>
    <row r="39" spans="1:3" ht="13.5" thickBot="1" x14ac:dyDescent="0.25">
      <c r="A39" s="47"/>
      <c r="B39" s="48"/>
      <c r="C39" s="49"/>
    </row>
    <row r="40" spans="1:3" ht="30" customHeight="1" x14ac:dyDescent="0.2">
      <c r="A40" s="50" t="s">
        <v>37</v>
      </c>
      <c r="B40" s="145" t="s">
        <v>38</v>
      </c>
      <c r="C40" s="145"/>
    </row>
    <row r="41" spans="1:3" ht="25.5" x14ac:dyDescent="0.2">
      <c r="A41" s="22" t="s">
        <v>39</v>
      </c>
      <c r="B41" s="36" t="s">
        <v>40</v>
      </c>
      <c r="C41" s="51" t="str">
        <f>[40]С2.1!E12</f>
        <v>V</v>
      </c>
    </row>
    <row r="42" spans="1:3" ht="233.25" customHeight="1" x14ac:dyDescent="0.2">
      <c r="A42" s="22" t="s">
        <v>41</v>
      </c>
      <c r="B42" s="33" t="s">
        <v>42</v>
      </c>
      <c r="C42" s="51" t="str">
        <f>[40]С2.1!E13</f>
        <v>6 и менее баллов</v>
      </c>
    </row>
    <row r="43" spans="1:3" ht="144.75" customHeight="1" x14ac:dyDescent="0.2">
      <c r="A43" s="22" t="s">
        <v>43</v>
      </c>
      <c r="B43" s="33" t="s">
        <v>44</v>
      </c>
      <c r="C43" s="51" t="str">
        <f>[40]С2.1!E14</f>
        <v>от 200 до 500</v>
      </c>
    </row>
    <row r="44" spans="1:3" ht="25.5" x14ac:dyDescent="0.2">
      <c r="A44" s="22" t="s">
        <v>45</v>
      </c>
      <c r="B44" s="33" t="s">
        <v>46</v>
      </c>
      <c r="C44" s="52" t="str">
        <f>[40]С2.1!E15</f>
        <v>нет</v>
      </c>
    </row>
    <row r="45" spans="1:3" ht="30" x14ac:dyDescent="0.2">
      <c r="A45" s="22" t="s">
        <v>47</v>
      </c>
      <c r="B45" s="33" t="s">
        <v>48</v>
      </c>
      <c r="C45" s="34">
        <f>[40]С2!F18</f>
        <v>40220.845230503684</v>
      </c>
    </row>
    <row r="46" spans="1:3" ht="30" x14ac:dyDescent="0.2">
      <c r="A46" s="22" t="s">
        <v>49</v>
      </c>
      <c r="B46" s="53" t="s">
        <v>50</v>
      </c>
      <c r="C46" s="34">
        <f>IF([40]С2!F19&gt;0,[40]С2!F19,[40]С2!F20)</f>
        <v>23441.524932855718</v>
      </c>
    </row>
    <row r="47" spans="1:3" ht="46.5" customHeight="1" x14ac:dyDescent="0.2">
      <c r="A47" s="22" t="s">
        <v>51</v>
      </c>
      <c r="B47" s="54" t="s">
        <v>52</v>
      </c>
      <c r="C47" s="34">
        <f>[40]С2.1!E19</f>
        <v>-38</v>
      </c>
    </row>
    <row r="48" spans="1:3" ht="25.5" x14ac:dyDescent="0.2">
      <c r="A48" s="22" t="s">
        <v>53</v>
      </c>
      <c r="B48" s="54" t="s">
        <v>54</v>
      </c>
      <c r="C48" s="34" t="str">
        <f>[40]С2.1!E22</f>
        <v>нет</v>
      </c>
    </row>
    <row r="49" spans="1:3" ht="38.25" x14ac:dyDescent="0.2">
      <c r="A49" s="22" t="s">
        <v>55</v>
      </c>
      <c r="B49" s="55" t="s">
        <v>56</v>
      </c>
      <c r="C49" s="34">
        <f>[40]С2.2!E10</f>
        <v>1287</v>
      </c>
    </row>
    <row r="50" spans="1:3" ht="25.5" x14ac:dyDescent="0.2">
      <c r="A50" s="22" t="s">
        <v>57</v>
      </c>
      <c r="B50" s="56" t="s">
        <v>58</v>
      </c>
      <c r="C50" s="34">
        <f>[40]С2.2!E12</f>
        <v>5.97</v>
      </c>
    </row>
    <row r="51" spans="1:3" ht="52.5" x14ac:dyDescent="0.2">
      <c r="A51" s="22" t="s">
        <v>59</v>
      </c>
      <c r="B51" s="57" t="s">
        <v>60</v>
      </c>
      <c r="C51" s="34">
        <f>[40]С2.2!E13</f>
        <v>1</v>
      </c>
    </row>
    <row r="52" spans="1:3" ht="27.75" x14ac:dyDescent="0.2">
      <c r="A52" s="22" t="s">
        <v>61</v>
      </c>
      <c r="B52" s="56" t="s">
        <v>62</v>
      </c>
      <c r="C52" s="34">
        <f>[40]С2.2!E14</f>
        <v>12104</v>
      </c>
    </row>
    <row r="53" spans="1:3" ht="79.5" customHeight="1" x14ac:dyDescent="0.2">
      <c r="A53" s="22" t="s">
        <v>63</v>
      </c>
      <c r="B53" s="57" t="s">
        <v>64</v>
      </c>
      <c r="C53" s="35">
        <f>[40]С2.2!E15</f>
        <v>4.8000000000000001E-2</v>
      </c>
    </row>
    <row r="54" spans="1:3" x14ac:dyDescent="0.2">
      <c r="A54" s="22" t="s">
        <v>65</v>
      </c>
      <c r="B54" s="57" t="s">
        <v>66</v>
      </c>
      <c r="C54" s="34">
        <f>[40]С2.2!E16</f>
        <v>1</v>
      </c>
    </row>
    <row r="55" spans="1:3" ht="15.75" x14ac:dyDescent="0.2">
      <c r="A55" s="22" t="s">
        <v>67</v>
      </c>
      <c r="B55" s="58" t="s">
        <v>68</v>
      </c>
      <c r="C55" s="34">
        <f>[40]С2!F21</f>
        <v>1</v>
      </c>
    </row>
    <row r="56" spans="1:3" ht="30" x14ac:dyDescent="0.2">
      <c r="A56" s="59" t="s">
        <v>69</v>
      </c>
      <c r="B56" s="33" t="s">
        <v>70</v>
      </c>
      <c r="C56" s="34">
        <f>[40]С2!F13</f>
        <v>210571.60987470482</v>
      </c>
    </row>
    <row r="57" spans="1:3" ht="30" x14ac:dyDescent="0.2">
      <c r="A57" s="59" t="s">
        <v>71</v>
      </c>
      <c r="B57" s="58" t="s">
        <v>72</v>
      </c>
      <c r="C57" s="34">
        <f>[40]С2!F14</f>
        <v>113455</v>
      </c>
    </row>
    <row r="58" spans="1:3" ht="15.75" x14ac:dyDescent="0.2">
      <c r="A58" s="59" t="s">
        <v>73</v>
      </c>
      <c r="B58" s="60" t="s">
        <v>74</v>
      </c>
      <c r="C58" s="40">
        <f>[40]С2!F15</f>
        <v>1.071</v>
      </c>
    </row>
    <row r="59" spans="1:3" ht="15.75" x14ac:dyDescent="0.2">
      <c r="A59" s="59" t="s">
        <v>75</v>
      </c>
      <c r="B59" s="60" t="s">
        <v>76</v>
      </c>
      <c r="C59" s="40">
        <f>[40]С2!F16</f>
        <v>1</v>
      </c>
    </row>
    <row r="60" spans="1:3" ht="17.25" x14ac:dyDescent="0.2">
      <c r="A60" s="59" t="s">
        <v>77</v>
      </c>
      <c r="B60" s="58" t="s">
        <v>78</v>
      </c>
      <c r="C60" s="34">
        <f>[40]С2!F17</f>
        <v>1.01</v>
      </c>
    </row>
    <row r="61" spans="1:3" s="63" customFormat="1" ht="14.25" x14ac:dyDescent="0.2">
      <c r="A61" s="59" t="s">
        <v>79</v>
      </c>
      <c r="B61" s="61" t="s">
        <v>80</v>
      </c>
      <c r="C61" s="62">
        <f>[40]С2!F33</f>
        <v>10</v>
      </c>
    </row>
    <row r="62" spans="1:3" ht="30" x14ac:dyDescent="0.2">
      <c r="A62" s="59" t="s">
        <v>81</v>
      </c>
      <c r="B62" s="64" t="s">
        <v>82</v>
      </c>
      <c r="C62" s="34">
        <f>[40]С2!F26</f>
        <v>3185.880383940208</v>
      </c>
    </row>
    <row r="63" spans="1:3" ht="168" customHeight="1" x14ac:dyDescent="0.2">
      <c r="A63" s="59" t="s">
        <v>83</v>
      </c>
      <c r="B63" s="53" t="s">
        <v>84</v>
      </c>
      <c r="C63" s="34">
        <f>[40]С2!F27</f>
        <v>0.44209422600000003</v>
      </c>
    </row>
    <row r="64" spans="1:3" ht="17.25" x14ac:dyDescent="0.2">
      <c r="A64" s="59" t="s">
        <v>85</v>
      </c>
      <c r="B64" s="58" t="s">
        <v>86</v>
      </c>
      <c r="C64" s="62">
        <f>[40]С2!F28</f>
        <v>4200</v>
      </c>
    </row>
    <row r="65" spans="1:3" ht="42.75" x14ac:dyDescent="0.2">
      <c r="A65" s="59" t="s">
        <v>87</v>
      </c>
      <c r="B65" s="33" t="s">
        <v>88</v>
      </c>
      <c r="C65" s="34">
        <f>[40]С2!F22</f>
        <v>4298.6978080550834</v>
      </c>
    </row>
    <row r="66" spans="1:3" ht="30" x14ac:dyDescent="0.2">
      <c r="A66" s="59" t="s">
        <v>89</v>
      </c>
      <c r="B66" s="60" t="s">
        <v>90</v>
      </c>
      <c r="C66" s="34">
        <f>[40]С2!F23</f>
        <v>1990</v>
      </c>
    </row>
    <row r="67" spans="1:3" ht="30" x14ac:dyDescent="0.2">
      <c r="A67" s="59" t="s">
        <v>91</v>
      </c>
      <c r="B67" s="53" t="s">
        <v>92</v>
      </c>
      <c r="C67" s="34">
        <f>[40]С2.1!E27</f>
        <v>246.24401</v>
      </c>
    </row>
    <row r="68" spans="1:3" ht="73.5" customHeight="1" x14ac:dyDescent="0.2">
      <c r="A68" s="59" t="s">
        <v>93</v>
      </c>
      <c r="B68" s="65" t="s">
        <v>94</v>
      </c>
      <c r="C68" s="52" t="str">
        <f>[40]С2.3!E21</f>
        <v>Муниципальное унитарное предприятие города Куйбышева Куйбышевского района Новосибирской области "Горводоканал"</v>
      </c>
    </row>
    <row r="69" spans="1:3" ht="25.5" x14ac:dyDescent="0.2">
      <c r="A69" s="59" t="s">
        <v>95</v>
      </c>
      <c r="B69" s="66" t="s">
        <v>96</v>
      </c>
      <c r="C69" s="67">
        <f>[40]С2.3!E11</f>
        <v>9.89</v>
      </c>
    </row>
    <row r="70" spans="1:3" ht="25.5" x14ac:dyDescent="0.2">
      <c r="A70" s="59" t="s">
        <v>97</v>
      </c>
      <c r="B70" s="66" t="s">
        <v>98</v>
      </c>
      <c r="C70" s="62">
        <f>[40]С2.3!E13</f>
        <v>300</v>
      </c>
    </row>
    <row r="71" spans="1:3" ht="192.75" customHeight="1" x14ac:dyDescent="0.2">
      <c r="A71" s="59" t="s">
        <v>99</v>
      </c>
      <c r="B71" s="65" t="s">
        <v>100</v>
      </c>
      <c r="C71" s="68">
        <f>IF([40]С2.3!E22&gt;0,[40]С2.3!E22,[40]С2.3!E14)</f>
        <v>8809</v>
      </c>
    </row>
    <row r="72" spans="1:3" ht="192.75" customHeight="1" x14ac:dyDescent="0.2">
      <c r="A72" s="59" t="s">
        <v>101</v>
      </c>
      <c r="B72" s="65" t="s">
        <v>102</v>
      </c>
      <c r="C72" s="68">
        <f>IF([40]С2.3!E23&gt;0,[40]С2.3!E23,[40]С2.3!E15)</f>
        <v>530.41</v>
      </c>
    </row>
    <row r="73" spans="1:3" ht="30" x14ac:dyDescent="0.2">
      <c r="A73" s="59" t="s">
        <v>103</v>
      </c>
      <c r="B73" s="53" t="s">
        <v>104</v>
      </c>
      <c r="C73" s="34">
        <f>[40]С2.1!E28</f>
        <v>269.12432000000001</v>
      </c>
    </row>
    <row r="74" spans="1:3" ht="87" customHeight="1" x14ac:dyDescent="0.2">
      <c r="A74" s="59" t="s">
        <v>105</v>
      </c>
      <c r="B74" s="65" t="s">
        <v>106</v>
      </c>
      <c r="C74" s="52" t="str">
        <f>[40]С2.3!E25</f>
        <v>Муниципальное унитарное предприятие города Куйбышева Куйбышевского района Новосибирской области "Геострой"</v>
      </c>
    </row>
    <row r="75" spans="1:3" ht="25.5" x14ac:dyDescent="0.2">
      <c r="A75" s="59" t="s">
        <v>107</v>
      </c>
      <c r="B75" s="66" t="s">
        <v>108</v>
      </c>
      <c r="C75" s="67">
        <f>[40]С2.3!E12</f>
        <v>0.56000000000000005</v>
      </c>
    </row>
    <row r="76" spans="1:3" ht="25.5" x14ac:dyDescent="0.2">
      <c r="A76" s="59" t="s">
        <v>109</v>
      </c>
      <c r="B76" s="66" t="s">
        <v>98</v>
      </c>
      <c r="C76" s="62">
        <f>[40]С2.3!E13</f>
        <v>300</v>
      </c>
    </row>
    <row r="77" spans="1:3" ht="183" customHeight="1" x14ac:dyDescent="0.2">
      <c r="A77" s="59" t="s">
        <v>110</v>
      </c>
      <c r="B77" s="69" t="s">
        <v>111</v>
      </c>
      <c r="C77" s="68">
        <f>IF([40]С2.3!E26&gt;0,[40]С2.3!E26,[40]С2.3!E16)</f>
        <v>21397</v>
      </c>
    </row>
    <row r="78" spans="1:3" ht="186.75" customHeight="1" x14ac:dyDescent="0.2">
      <c r="A78" s="59" t="s">
        <v>112</v>
      </c>
      <c r="B78" s="69" t="s">
        <v>113</v>
      </c>
      <c r="C78" s="68">
        <f>IF([40]С2.3!E27&gt;0,[40]С2.3!E27,[40]С2.3!E17)</f>
        <v>857.14</v>
      </c>
    </row>
    <row r="79" spans="1:3" ht="17.25" x14ac:dyDescent="0.2">
      <c r="A79" s="59" t="s">
        <v>114</v>
      </c>
      <c r="B79" s="33" t="s">
        <v>115</v>
      </c>
      <c r="C79" s="35">
        <f>[40]С2!F29</f>
        <v>0.21369165990259753</v>
      </c>
    </row>
    <row r="80" spans="1:3" ht="30" x14ac:dyDescent="0.2">
      <c r="A80" s="59" t="s">
        <v>116</v>
      </c>
      <c r="B80" s="53" t="s">
        <v>117</v>
      </c>
      <c r="C80" s="70">
        <f>[40]С2!F30</f>
        <v>0.20047619047619047</v>
      </c>
    </row>
    <row r="81" spans="1:3" ht="17.25" x14ac:dyDescent="0.2">
      <c r="A81" s="59" t="s">
        <v>118</v>
      </c>
      <c r="B81" s="71" t="s">
        <v>119</v>
      </c>
      <c r="C81" s="35">
        <f>[40]С2!F31</f>
        <v>0.13880000000000001</v>
      </c>
    </row>
    <row r="82" spans="1:3" s="63" customFormat="1" ht="18" thickBot="1" x14ac:dyDescent="0.25">
      <c r="A82" s="72" t="s">
        <v>120</v>
      </c>
      <c r="B82" s="73" t="s">
        <v>121</v>
      </c>
      <c r="C82" s="74">
        <f>[40]С2!F32</f>
        <v>0.12640000000000001</v>
      </c>
    </row>
    <row r="83" spans="1:3" ht="13.5" thickBot="1" x14ac:dyDescent="0.25">
      <c r="A83" s="47"/>
      <c r="B83" s="75"/>
      <c r="C83" s="15"/>
    </row>
    <row r="84" spans="1:3" s="63" customFormat="1" ht="30" customHeight="1" x14ac:dyDescent="0.2">
      <c r="A84" s="76" t="s">
        <v>122</v>
      </c>
      <c r="B84" s="145" t="s">
        <v>123</v>
      </c>
      <c r="C84" s="145"/>
    </row>
    <row r="85" spans="1:3" s="63" customFormat="1" ht="30" x14ac:dyDescent="0.2">
      <c r="A85" s="77" t="s">
        <v>124</v>
      </c>
      <c r="B85" s="33" t="s">
        <v>125</v>
      </c>
      <c r="C85" s="34">
        <f>[40]С3!F14</f>
        <v>15827.997028730506</v>
      </c>
    </row>
    <row r="86" spans="1:3" s="63" customFormat="1" ht="42.75" x14ac:dyDescent="0.2">
      <c r="A86" s="77" t="s">
        <v>126</v>
      </c>
      <c r="B86" s="53" t="s">
        <v>127</v>
      </c>
      <c r="C86" s="78">
        <f>[40]С3!F15</f>
        <v>0.25</v>
      </c>
    </row>
    <row r="87" spans="1:3" s="63" customFormat="1" ht="14.25" x14ac:dyDescent="0.2">
      <c r="A87" s="77" t="s">
        <v>128</v>
      </c>
      <c r="B87" s="79" t="s">
        <v>129</v>
      </c>
      <c r="C87" s="62">
        <f>[40]С3!F18</f>
        <v>15</v>
      </c>
    </row>
    <row r="88" spans="1:3" s="63" customFormat="1" ht="17.25" x14ac:dyDescent="0.2">
      <c r="A88" s="77" t="s">
        <v>130</v>
      </c>
      <c r="B88" s="33" t="s">
        <v>131</v>
      </c>
      <c r="C88" s="34">
        <f>[40]С3!F19</f>
        <v>3741.3369093945325</v>
      </c>
    </row>
    <row r="89" spans="1:3" s="63" customFormat="1" ht="55.5" x14ac:dyDescent="0.2">
      <c r="A89" s="77" t="s">
        <v>132</v>
      </c>
      <c r="B89" s="53" t="s">
        <v>133</v>
      </c>
      <c r="C89" s="80">
        <f>[40]С3!F20</f>
        <v>2.1999999999999999E-2</v>
      </c>
    </row>
    <row r="90" spans="1:3" s="63" customFormat="1" ht="14.25" x14ac:dyDescent="0.2">
      <c r="A90" s="77" t="s">
        <v>134</v>
      </c>
      <c r="B90" s="58" t="s">
        <v>80</v>
      </c>
      <c r="C90" s="62">
        <f>[40]С3!F21</f>
        <v>10</v>
      </c>
    </row>
    <row r="91" spans="1:3" s="63" customFormat="1" ht="17.25" x14ac:dyDescent="0.2">
      <c r="A91" s="77" t="s">
        <v>135</v>
      </c>
      <c r="B91" s="33" t="s">
        <v>136</v>
      </c>
      <c r="C91" s="34">
        <f>[40]С3!F22</f>
        <v>9.5576411518206239</v>
      </c>
    </row>
    <row r="92" spans="1:3" s="63" customFormat="1" ht="57" customHeight="1" x14ac:dyDescent="0.2">
      <c r="A92" s="77" t="s">
        <v>137</v>
      </c>
      <c r="B92" s="53" t="s">
        <v>138</v>
      </c>
      <c r="C92" s="80">
        <f>[40]С3!F23</f>
        <v>3.0000000000000001E-3</v>
      </c>
    </row>
    <row r="93" spans="1:3" s="63" customFormat="1" ht="27.75" thickBot="1" x14ac:dyDescent="0.25">
      <c r="A93" s="81" t="s">
        <v>139</v>
      </c>
      <c r="B93" s="82" t="s">
        <v>140</v>
      </c>
      <c r="C93" s="83">
        <f>[40]С3!F24</f>
        <v>3185.880383940208</v>
      </c>
    </row>
    <row r="94" spans="1:3" ht="13.5" thickBot="1" x14ac:dyDescent="0.25">
      <c r="A94" s="47"/>
      <c r="B94" s="75"/>
      <c r="C94" s="15"/>
    </row>
    <row r="95" spans="1:3" ht="30" customHeight="1" x14ac:dyDescent="0.2">
      <c r="A95" s="84" t="s">
        <v>141</v>
      </c>
      <c r="B95" s="145" t="s">
        <v>142</v>
      </c>
      <c r="C95" s="145"/>
    </row>
    <row r="96" spans="1:3" ht="30" x14ac:dyDescent="0.2">
      <c r="A96" s="59" t="s">
        <v>143</v>
      </c>
      <c r="B96" s="33" t="s">
        <v>144</v>
      </c>
      <c r="C96" s="34">
        <f>[40]С4!F16</f>
        <v>1652.5</v>
      </c>
    </row>
    <row r="97" spans="1:3" ht="30" x14ac:dyDescent="0.2">
      <c r="A97" s="59" t="s">
        <v>145</v>
      </c>
      <c r="B97" s="58" t="s">
        <v>146</v>
      </c>
      <c r="C97" s="34">
        <f>[40]С4!F17</f>
        <v>73547</v>
      </c>
    </row>
    <row r="98" spans="1:3" ht="17.25" x14ac:dyDescent="0.2">
      <c r="A98" s="59" t="s">
        <v>147</v>
      </c>
      <c r="B98" s="58" t="s">
        <v>148</v>
      </c>
      <c r="C98" s="40">
        <f>[40]С4!F18</f>
        <v>0.02</v>
      </c>
    </row>
    <row r="99" spans="1:3" ht="30" x14ac:dyDescent="0.2">
      <c r="A99" s="59" t="s">
        <v>149</v>
      </c>
      <c r="B99" s="58" t="s">
        <v>150</v>
      </c>
      <c r="C99" s="34">
        <f>[40]С4!F19</f>
        <v>12104</v>
      </c>
    </row>
    <row r="100" spans="1:3" ht="31.5" x14ac:dyDescent="0.2">
      <c r="A100" s="59" t="s">
        <v>151</v>
      </c>
      <c r="B100" s="58" t="s">
        <v>152</v>
      </c>
      <c r="C100" s="40">
        <f>[40]С4!F20</f>
        <v>1.4999999999999999E-2</v>
      </c>
    </row>
    <row r="101" spans="1:3" ht="30" x14ac:dyDescent="0.2">
      <c r="A101" s="59" t="s">
        <v>153</v>
      </c>
      <c r="B101" s="33" t="s">
        <v>154</v>
      </c>
      <c r="C101" s="34">
        <f>[40]С4!F21</f>
        <v>1933.1949342509995</v>
      </c>
    </row>
    <row r="102" spans="1:3" ht="35.25" customHeight="1" x14ac:dyDescent="0.2">
      <c r="A102" s="59" t="s">
        <v>155</v>
      </c>
      <c r="B102" s="53" t="s">
        <v>156</v>
      </c>
      <c r="C102" s="85" t="str">
        <f>IF([40]С4.2!F8="да",[40]С4.2!D21,[40]С4.2!D15)</f>
        <v>АО "Новосибирскэнергосбыт"</v>
      </c>
    </row>
    <row r="103" spans="1:3" ht="68.25" x14ac:dyDescent="0.2">
      <c r="A103" s="59" t="s">
        <v>157</v>
      </c>
      <c r="B103" s="53" t="s">
        <v>158</v>
      </c>
      <c r="C103" s="34">
        <f>[40]С4!F22</f>
        <v>3.6112641666666665</v>
      </c>
    </row>
    <row r="104" spans="1:3" ht="30" x14ac:dyDescent="0.2">
      <c r="A104" s="59" t="s">
        <v>159</v>
      </c>
      <c r="B104" s="58" t="s">
        <v>160</v>
      </c>
      <c r="C104" s="34">
        <f>[40]С4!F23</f>
        <v>180</v>
      </c>
    </row>
    <row r="105" spans="1:3" ht="14.25" x14ac:dyDescent="0.2">
      <c r="A105" s="59" t="s">
        <v>161</v>
      </c>
      <c r="B105" s="53" t="s">
        <v>162</v>
      </c>
      <c r="C105" s="34">
        <f>[40]С4!F24</f>
        <v>8497.1999999999989</v>
      </c>
    </row>
    <row r="106" spans="1:3" ht="14.25" x14ac:dyDescent="0.2">
      <c r="A106" s="59" t="s">
        <v>163</v>
      </c>
      <c r="B106" s="58" t="s">
        <v>164</v>
      </c>
      <c r="C106" s="40">
        <f>[40]С4!F25</f>
        <v>0.35</v>
      </c>
    </row>
    <row r="107" spans="1:3" ht="17.25" x14ac:dyDescent="0.2">
      <c r="A107" s="59" t="s">
        <v>165</v>
      </c>
      <c r="B107" s="33" t="s">
        <v>166</v>
      </c>
      <c r="C107" s="34">
        <f>[40]С4!F26</f>
        <v>58.038060000000002</v>
      </c>
    </row>
    <row r="108" spans="1:3" ht="75.75" customHeight="1" x14ac:dyDescent="0.2">
      <c r="A108" s="59" t="s">
        <v>167</v>
      </c>
      <c r="B108" s="53" t="s">
        <v>94</v>
      </c>
      <c r="C108" s="85">
        <f>[40]С4.3!E16</f>
        <v>0</v>
      </c>
    </row>
    <row r="109" spans="1:3" ht="25.5" x14ac:dyDescent="0.2">
      <c r="A109" s="59" t="s">
        <v>168</v>
      </c>
      <c r="B109" s="53" t="s">
        <v>169</v>
      </c>
      <c r="C109" s="34">
        <f>[40]С4.3!E17</f>
        <v>15.38</v>
      </c>
    </row>
    <row r="110" spans="1:3" ht="79.5" customHeight="1" x14ac:dyDescent="0.2">
      <c r="A110" s="59" t="s">
        <v>170</v>
      </c>
      <c r="B110" s="53" t="s">
        <v>106</v>
      </c>
      <c r="C110" s="85">
        <f>[40]С4.3!E18</f>
        <v>0</v>
      </c>
    </row>
    <row r="111" spans="1:3" x14ac:dyDescent="0.2">
      <c r="A111" s="59" t="s">
        <v>171</v>
      </c>
      <c r="B111" s="53" t="s">
        <v>172</v>
      </c>
      <c r="C111" s="34">
        <f>[40]С4.3!E19</f>
        <v>20.100000000000001</v>
      </c>
    </row>
    <row r="112" spans="1:3" x14ac:dyDescent="0.2">
      <c r="A112" s="59" t="s">
        <v>173</v>
      </c>
      <c r="B112" s="58" t="s">
        <v>174</v>
      </c>
      <c r="C112" s="34">
        <f>[40]С4.3!E11</f>
        <v>1871</v>
      </c>
    </row>
    <row r="113" spans="1:3" x14ac:dyDescent="0.2">
      <c r="A113" s="59" t="s">
        <v>175</v>
      </c>
      <c r="B113" s="58" t="s">
        <v>176</v>
      </c>
      <c r="C113" s="52">
        <f>[40]С4.3!E12</f>
        <v>1636</v>
      </c>
    </row>
    <row r="114" spans="1:3" x14ac:dyDescent="0.2">
      <c r="A114" s="59" t="s">
        <v>177</v>
      </c>
      <c r="B114" s="58" t="s">
        <v>178</v>
      </c>
      <c r="C114" s="52">
        <f>[40]С4.3!E13</f>
        <v>204</v>
      </c>
    </row>
    <row r="115" spans="1:3" ht="30" x14ac:dyDescent="0.2">
      <c r="A115" s="59" t="s">
        <v>179</v>
      </c>
      <c r="B115" s="33" t="s">
        <v>180</v>
      </c>
      <c r="C115" s="34">
        <f>[40]С4!F27</f>
        <v>1291.2863994686898</v>
      </c>
    </row>
    <row r="116" spans="1:3" ht="25.5" x14ac:dyDescent="0.2">
      <c r="A116" s="59" t="s">
        <v>181</v>
      </c>
      <c r="B116" s="53" t="s">
        <v>182</v>
      </c>
      <c r="C116" s="34">
        <f>[40]С4!F28</f>
        <v>991.77142816335618</v>
      </c>
    </row>
    <row r="117" spans="1:3" ht="42.75" x14ac:dyDescent="0.2">
      <c r="A117" s="59" t="s">
        <v>183</v>
      </c>
      <c r="B117" s="53" t="s">
        <v>184</v>
      </c>
      <c r="C117" s="34">
        <f>[40]С4!F29</f>
        <v>299.51497130533357</v>
      </c>
    </row>
    <row r="118" spans="1:3" ht="30" x14ac:dyDescent="0.2">
      <c r="A118" s="59" t="s">
        <v>185</v>
      </c>
      <c r="B118" s="39" t="s">
        <v>186</v>
      </c>
      <c r="C118" s="34">
        <f>[40]С4!F30</f>
        <v>3082.0435521260952</v>
      </c>
    </row>
    <row r="119" spans="1:3" ht="42.75" x14ac:dyDescent="0.2">
      <c r="A119" s="59" t="s">
        <v>187</v>
      </c>
      <c r="B119" s="86" t="s">
        <v>188</v>
      </c>
      <c r="C119" s="34">
        <f>[40]С4!F33</f>
        <v>1845.5732419240796</v>
      </c>
    </row>
    <row r="120" spans="1:3" ht="30" x14ac:dyDescent="0.2">
      <c r="A120" s="59" t="s">
        <v>189</v>
      </c>
      <c r="B120" s="87" t="s">
        <v>190</v>
      </c>
      <c r="C120" s="34">
        <f>[40]С4!F35</f>
        <v>18.902267999999999</v>
      </c>
    </row>
    <row r="121" spans="1:3" ht="14.25" x14ac:dyDescent="0.2">
      <c r="A121" s="59" t="s">
        <v>191</v>
      </c>
      <c r="B121" s="56" t="s">
        <v>192</v>
      </c>
      <c r="C121" s="34">
        <f>[40]С4!F36</f>
        <v>14319.9</v>
      </c>
    </row>
    <row r="122" spans="1:3" ht="43.5" customHeight="1" thickBot="1" x14ac:dyDescent="0.25">
      <c r="A122" s="72" t="s">
        <v>193</v>
      </c>
      <c r="B122" s="88" t="s">
        <v>194</v>
      </c>
      <c r="C122" s="83">
        <f>[40]С4!F37</f>
        <v>1.32</v>
      </c>
    </row>
    <row r="123" spans="1:3" s="89" customFormat="1" ht="13.5" thickBot="1" x14ac:dyDescent="0.25">
      <c r="A123" s="47"/>
      <c r="B123" s="75"/>
      <c r="C123" s="15"/>
    </row>
    <row r="124" spans="1:3" s="63" customFormat="1" ht="30" customHeight="1" x14ac:dyDescent="0.2">
      <c r="A124" s="76" t="s">
        <v>195</v>
      </c>
      <c r="B124" s="145" t="s">
        <v>196</v>
      </c>
      <c r="C124" s="145"/>
    </row>
    <row r="125" spans="1:3" ht="16.5" thickBot="1" x14ac:dyDescent="0.25">
      <c r="A125" s="27" t="s">
        <v>197</v>
      </c>
      <c r="B125" s="90" t="s">
        <v>198</v>
      </c>
      <c r="C125" s="83">
        <f>[40]С5!F17</f>
        <v>0.02</v>
      </c>
    </row>
    <row r="126" spans="1:3" s="89" customFormat="1" ht="13.5" thickBot="1" x14ac:dyDescent="0.25">
      <c r="A126" s="47"/>
      <c r="B126" s="75"/>
      <c r="C126" s="15"/>
    </row>
    <row r="127" spans="1:3" ht="42.75" customHeight="1" x14ac:dyDescent="0.2">
      <c r="A127" s="84" t="s">
        <v>199</v>
      </c>
      <c r="B127" s="146" t="s">
        <v>200</v>
      </c>
      <c r="C127" s="146"/>
    </row>
    <row r="128" spans="1:3" ht="68.25" x14ac:dyDescent="0.2">
      <c r="A128" s="59" t="s">
        <v>201</v>
      </c>
      <c r="B128" s="91" t="s">
        <v>202</v>
      </c>
      <c r="C128" s="34" t="s">
        <v>203</v>
      </c>
    </row>
    <row r="129" spans="1:3" ht="42.75" hidden="1" x14ac:dyDescent="0.2">
      <c r="A129" s="59" t="s">
        <v>204</v>
      </c>
      <c r="B129" s="86" t="s">
        <v>205</v>
      </c>
      <c r="C129" s="92"/>
    </row>
    <row r="130" spans="1:3" ht="69" thickBot="1" x14ac:dyDescent="0.25">
      <c r="A130" s="72" t="s">
        <v>206</v>
      </c>
      <c r="B130" s="93" t="s">
        <v>207</v>
      </c>
      <c r="C130" s="94" t="s">
        <v>203</v>
      </c>
    </row>
    <row r="131" spans="1:3" ht="62.25" hidden="1" customHeight="1" x14ac:dyDescent="0.2">
      <c r="A131" s="95" t="s">
        <v>208</v>
      </c>
      <c r="B131" s="96" t="s">
        <v>209</v>
      </c>
      <c r="C131" s="97"/>
    </row>
    <row r="132" spans="1:3" ht="68.25" hidden="1" x14ac:dyDescent="0.2">
      <c r="A132" s="59" t="s">
        <v>210</v>
      </c>
      <c r="B132" s="86" t="s">
        <v>211</v>
      </c>
      <c r="C132" s="35"/>
    </row>
    <row r="133" spans="1:3" ht="69" hidden="1" thickBot="1" x14ac:dyDescent="0.25">
      <c r="A133" s="72" t="s">
        <v>212</v>
      </c>
      <c r="B133" s="98" t="s">
        <v>213</v>
      </c>
      <c r="C133" s="74"/>
    </row>
    <row r="134" spans="1:3" s="89" customFormat="1" ht="13.5" thickBot="1" x14ac:dyDescent="0.25">
      <c r="A134" s="47"/>
      <c r="B134" s="75"/>
      <c r="C134" s="15"/>
    </row>
    <row r="135" spans="1:3" ht="26.25" customHeight="1" x14ac:dyDescent="0.2">
      <c r="A135" s="84" t="s">
        <v>214</v>
      </c>
      <c r="B135" s="99" t="s">
        <v>215</v>
      </c>
      <c r="C135" s="100">
        <f>[40]С2!F37</f>
        <v>20.818139999999996</v>
      </c>
    </row>
    <row r="136" spans="1:3" ht="14.25" x14ac:dyDescent="0.2">
      <c r="A136" s="59" t="s">
        <v>216</v>
      </c>
      <c r="B136" s="101" t="s">
        <v>217</v>
      </c>
      <c r="C136" s="34">
        <f>[40]С2!F38</f>
        <v>7</v>
      </c>
    </row>
    <row r="137" spans="1:3" ht="17.25" x14ac:dyDescent="0.2">
      <c r="A137" s="59" t="s">
        <v>218</v>
      </c>
      <c r="B137" s="101" t="s">
        <v>219</v>
      </c>
      <c r="C137" s="34">
        <f>[40]С2!F40</f>
        <v>0.97</v>
      </c>
    </row>
    <row r="138" spans="1:3" ht="15" thickBot="1" x14ac:dyDescent="0.25">
      <c r="A138" s="72" t="s">
        <v>220</v>
      </c>
      <c r="B138" s="102" t="s">
        <v>221</v>
      </c>
      <c r="C138" s="46">
        <f>[40]С2!F42</f>
        <v>0.35</v>
      </c>
    </row>
    <row r="139" spans="1:3" s="89" customFormat="1" ht="13.5" thickBot="1" x14ac:dyDescent="0.25">
      <c r="A139" s="47"/>
      <c r="B139" s="75"/>
      <c r="C139" s="15"/>
    </row>
    <row r="140" spans="1:3" ht="30" x14ac:dyDescent="0.2">
      <c r="A140" s="84" t="s">
        <v>222</v>
      </c>
      <c r="B140" s="103" t="s">
        <v>223</v>
      </c>
      <c r="C140" s="104">
        <f>[40]С2!F35</f>
        <v>1.7157947422665329</v>
      </c>
    </row>
    <row r="141" spans="1:3" ht="22.7" customHeight="1" thickBot="1" x14ac:dyDescent="0.25">
      <c r="A141" s="72" t="s">
        <v>224</v>
      </c>
      <c r="B141" s="141" t="s">
        <v>225</v>
      </c>
      <c r="C141" s="141"/>
    </row>
    <row r="142" spans="1:3" ht="13.5" thickBot="1" x14ac:dyDescent="0.25">
      <c r="A142" s="105"/>
      <c r="B142" s="106" t="s">
        <v>226</v>
      </c>
      <c r="C142" s="107"/>
    </row>
    <row r="143" spans="1:3" x14ac:dyDescent="0.2">
      <c r="A143" s="105"/>
      <c r="B143" s="108">
        <v>2020</v>
      </c>
      <c r="C143" s="109">
        <f>[40]С2.5!$E$11</f>
        <v>-2.9000000000000026E-2</v>
      </c>
    </row>
    <row r="144" spans="1:3" x14ac:dyDescent="0.2">
      <c r="A144" s="105"/>
      <c r="B144" s="110">
        <f>B143+1</f>
        <v>2021</v>
      </c>
      <c r="C144" s="111">
        <f>[40]С2.5!$F$11</f>
        <v>0.245</v>
      </c>
    </row>
    <row r="145" spans="1:3" x14ac:dyDescent="0.2">
      <c r="A145" s="105"/>
      <c r="B145" s="110">
        <f t="shared" ref="B145:B208" si="0">B144+1</f>
        <v>2022</v>
      </c>
      <c r="C145" s="111">
        <f>[40]С2.5!$G$11</f>
        <v>0.114</v>
      </c>
    </row>
    <row r="146" spans="1:3" ht="13.5" thickBot="1" x14ac:dyDescent="0.25">
      <c r="A146" s="105"/>
      <c r="B146" s="112">
        <f t="shared" si="0"/>
        <v>2023</v>
      </c>
      <c r="C146" s="113">
        <f>[40]С2.5!$H$11</f>
        <v>0.04</v>
      </c>
    </row>
    <row r="147" spans="1:3" x14ac:dyDescent="0.2">
      <c r="A147" s="105"/>
      <c r="B147" s="114">
        <f t="shared" si="0"/>
        <v>2024</v>
      </c>
      <c r="C147" s="115">
        <f>[40]С2.5!$I$11</f>
        <v>0.121</v>
      </c>
    </row>
    <row r="148" spans="1:3" x14ac:dyDescent="0.2">
      <c r="A148" s="105"/>
      <c r="B148" s="110">
        <f t="shared" si="0"/>
        <v>2025</v>
      </c>
      <c r="C148" s="111">
        <f>[40]С2.5!$J$11</f>
        <v>0.03</v>
      </c>
    </row>
    <row r="149" spans="1:3" x14ac:dyDescent="0.2">
      <c r="A149" s="105"/>
      <c r="B149" s="110">
        <f t="shared" si="0"/>
        <v>2026</v>
      </c>
      <c r="C149" s="111">
        <f>[40]С2.5!$K$11</f>
        <v>6.0999999999999999E-2</v>
      </c>
    </row>
    <row r="150" spans="1:3" hidden="1" x14ac:dyDescent="0.2">
      <c r="A150" s="105"/>
      <c r="B150" s="110">
        <f t="shared" si="0"/>
        <v>2027</v>
      </c>
      <c r="C150" s="111">
        <f>[40]С2.5!$L$11</f>
        <v>3.2682303599220003E-2</v>
      </c>
    </row>
    <row r="151" spans="1:3" hidden="1" x14ac:dyDescent="0.2">
      <c r="A151" s="105"/>
      <c r="B151" s="110">
        <f t="shared" si="0"/>
        <v>2028</v>
      </c>
      <c r="C151" s="111">
        <f>[40]С2.5!$M$11</f>
        <v>0</v>
      </c>
    </row>
    <row r="152" spans="1:3" hidden="1" x14ac:dyDescent="0.2">
      <c r="A152" s="105"/>
      <c r="B152" s="110">
        <f t="shared" si="0"/>
        <v>2029</v>
      </c>
      <c r="C152" s="111">
        <f>[40]С2.5!$N$11</f>
        <v>0</v>
      </c>
    </row>
    <row r="153" spans="1:3" hidden="1" x14ac:dyDescent="0.2">
      <c r="A153" s="105"/>
      <c r="B153" s="110">
        <f t="shared" si="0"/>
        <v>2030</v>
      </c>
      <c r="C153" s="111">
        <f>[40]С2.5!$O$11</f>
        <v>0</v>
      </c>
    </row>
    <row r="154" spans="1:3" hidden="1" x14ac:dyDescent="0.2">
      <c r="A154" s="105"/>
      <c r="B154" s="110">
        <f t="shared" si="0"/>
        <v>2031</v>
      </c>
      <c r="C154" s="111">
        <f>[40]С2.5!$P$11</f>
        <v>0</v>
      </c>
    </row>
    <row r="155" spans="1:3" hidden="1" x14ac:dyDescent="0.2">
      <c r="A155" s="89"/>
      <c r="B155" s="110">
        <f t="shared" si="0"/>
        <v>2032</v>
      </c>
      <c r="C155" s="111">
        <f>[40]С2.5!$Q$11</f>
        <v>0</v>
      </c>
    </row>
    <row r="156" spans="1:3" hidden="1" x14ac:dyDescent="0.2">
      <c r="A156" s="89"/>
      <c r="B156" s="110">
        <f t="shared" si="0"/>
        <v>2033</v>
      </c>
      <c r="C156" s="111">
        <f>[40]С2.5!$R$11</f>
        <v>0</v>
      </c>
    </row>
    <row r="157" spans="1:3" hidden="1" x14ac:dyDescent="0.2">
      <c r="B157" s="110">
        <f t="shared" si="0"/>
        <v>2034</v>
      </c>
      <c r="C157" s="111">
        <f>[40]С2.5!$S$11</f>
        <v>0</v>
      </c>
    </row>
    <row r="158" spans="1:3" hidden="1" x14ac:dyDescent="0.2">
      <c r="B158" s="110">
        <f t="shared" si="0"/>
        <v>2035</v>
      </c>
      <c r="C158" s="111">
        <f>[40]С2.5!$T$11</f>
        <v>0</v>
      </c>
    </row>
    <row r="159" spans="1:3" hidden="1" x14ac:dyDescent="0.2">
      <c r="B159" s="110">
        <f t="shared" si="0"/>
        <v>2036</v>
      </c>
      <c r="C159" s="111">
        <f>[40]С2.5!$U$11</f>
        <v>0</v>
      </c>
    </row>
    <row r="160" spans="1:3" hidden="1" x14ac:dyDescent="0.2">
      <c r="B160" s="110">
        <f t="shared" si="0"/>
        <v>2037</v>
      </c>
      <c r="C160" s="111">
        <f>[40]С2.5!$V$11</f>
        <v>0</v>
      </c>
    </row>
    <row r="161" spans="2:3" hidden="1" x14ac:dyDescent="0.2">
      <c r="B161" s="110">
        <f t="shared" si="0"/>
        <v>2038</v>
      </c>
      <c r="C161" s="111">
        <f>[40]С2.5!$W$11</f>
        <v>0</v>
      </c>
    </row>
    <row r="162" spans="2:3" hidden="1" x14ac:dyDescent="0.2">
      <c r="B162" s="110">
        <f t="shared" si="0"/>
        <v>2039</v>
      </c>
      <c r="C162" s="111">
        <f>[40]С2.5!$X$11</f>
        <v>0</v>
      </c>
    </row>
    <row r="163" spans="2:3" hidden="1" x14ac:dyDescent="0.2">
      <c r="B163" s="110">
        <f t="shared" si="0"/>
        <v>2040</v>
      </c>
      <c r="C163" s="111">
        <f>[40]С2.5!$Y$11</f>
        <v>0</v>
      </c>
    </row>
    <row r="164" spans="2:3" hidden="1" x14ac:dyDescent="0.2">
      <c r="B164" s="110">
        <f t="shared" si="0"/>
        <v>2041</v>
      </c>
      <c r="C164" s="111">
        <f>[40]С2.5!$Z$11</f>
        <v>0</v>
      </c>
    </row>
    <row r="165" spans="2:3" hidden="1" x14ac:dyDescent="0.2">
      <c r="B165" s="110">
        <f t="shared" si="0"/>
        <v>2042</v>
      </c>
      <c r="C165" s="111">
        <f>[40]С2.5!$AA$11</f>
        <v>0</v>
      </c>
    </row>
    <row r="166" spans="2:3" hidden="1" x14ac:dyDescent="0.2">
      <c r="B166" s="110">
        <f t="shared" si="0"/>
        <v>2043</v>
      </c>
      <c r="C166" s="111">
        <f>[40]С2.5!$AB$11</f>
        <v>0</v>
      </c>
    </row>
    <row r="167" spans="2:3" hidden="1" x14ac:dyDescent="0.2">
      <c r="B167" s="110">
        <f t="shared" si="0"/>
        <v>2044</v>
      </c>
      <c r="C167" s="111">
        <f>[40]С2.5!$AC$11</f>
        <v>0</v>
      </c>
    </row>
    <row r="168" spans="2:3" hidden="1" x14ac:dyDescent="0.2">
      <c r="B168" s="110">
        <f t="shared" si="0"/>
        <v>2045</v>
      </c>
      <c r="C168" s="111">
        <f>[40]С2.5!$AD$11</f>
        <v>0</v>
      </c>
    </row>
    <row r="169" spans="2:3" hidden="1" x14ac:dyDescent="0.2">
      <c r="B169" s="110">
        <f t="shared" si="0"/>
        <v>2046</v>
      </c>
      <c r="C169" s="111">
        <f>[40]С2.5!$AE$11</f>
        <v>0</v>
      </c>
    </row>
    <row r="170" spans="2:3" hidden="1" x14ac:dyDescent="0.2">
      <c r="B170" s="110">
        <f t="shared" si="0"/>
        <v>2047</v>
      </c>
      <c r="C170" s="111">
        <f>[40]С2.5!$AF$11</f>
        <v>0</v>
      </c>
    </row>
    <row r="171" spans="2:3" hidden="1" x14ac:dyDescent="0.2">
      <c r="B171" s="110">
        <f t="shared" si="0"/>
        <v>2048</v>
      </c>
      <c r="C171" s="111">
        <f>[40]С2.5!$AG$11</f>
        <v>0</v>
      </c>
    </row>
    <row r="172" spans="2:3" hidden="1" x14ac:dyDescent="0.2">
      <c r="B172" s="110">
        <f t="shared" si="0"/>
        <v>2049</v>
      </c>
      <c r="C172" s="111">
        <f>[40]С2.5!$AH$11</f>
        <v>0</v>
      </c>
    </row>
    <row r="173" spans="2:3" hidden="1" x14ac:dyDescent="0.2">
      <c r="B173" s="110">
        <f t="shared" si="0"/>
        <v>2050</v>
      </c>
      <c r="C173" s="111">
        <f>[40]С2.5!$AI$11</f>
        <v>0</v>
      </c>
    </row>
    <row r="174" spans="2:3" hidden="1" x14ac:dyDescent="0.2">
      <c r="B174" s="110">
        <f t="shared" si="0"/>
        <v>2051</v>
      </c>
      <c r="C174" s="111">
        <f>[40]С2.5!$AJ$11</f>
        <v>0</v>
      </c>
    </row>
    <row r="175" spans="2:3" hidden="1" x14ac:dyDescent="0.2">
      <c r="B175" s="110">
        <f t="shared" si="0"/>
        <v>2052</v>
      </c>
      <c r="C175" s="111">
        <f>[40]С2.5!$AK$11</f>
        <v>0</v>
      </c>
    </row>
    <row r="176" spans="2:3" hidden="1" x14ac:dyDescent="0.2">
      <c r="B176" s="110">
        <f t="shared" si="0"/>
        <v>2053</v>
      </c>
      <c r="C176" s="111">
        <f>[40]С2.5!$AL$11</f>
        <v>0</v>
      </c>
    </row>
    <row r="177" spans="2:3" hidden="1" x14ac:dyDescent="0.2">
      <c r="B177" s="110">
        <f t="shared" si="0"/>
        <v>2054</v>
      </c>
      <c r="C177" s="111">
        <f>[40]С2.5!$AM$11</f>
        <v>0</v>
      </c>
    </row>
    <row r="178" spans="2:3" hidden="1" x14ac:dyDescent="0.2">
      <c r="B178" s="110">
        <f t="shared" si="0"/>
        <v>2055</v>
      </c>
      <c r="C178" s="111">
        <f>[40]С2.5!$AN$11</f>
        <v>0</v>
      </c>
    </row>
    <row r="179" spans="2:3" hidden="1" x14ac:dyDescent="0.2">
      <c r="B179" s="110">
        <f t="shared" si="0"/>
        <v>2056</v>
      </c>
      <c r="C179" s="111">
        <f>[40]С2.5!$AO$11</f>
        <v>0</v>
      </c>
    </row>
    <row r="180" spans="2:3" hidden="1" x14ac:dyDescent="0.2">
      <c r="B180" s="110">
        <f t="shared" si="0"/>
        <v>2057</v>
      </c>
      <c r="C180" s="111">
        <f>[40]С2.5!$AP$11</f>
        <v>0</v>
      </c>
    </row>
    <row r="181" spans="2:3" hidden="1" x14ac:dyDescent="0.2">
      <c r="B181" s="110">
        <f t="shared" si="0"/>
        <v>2058</v>
      </c>
      <c r="C181" s="111">
        <f>[40]С2.5!$AQ$11</f>
        <v>0</v>
      </c>
    </row>
    <row r="182" spans="2:3" hidden="1" x14ac:dyDescent="0.2">
      <c r="B182" s="110">
        <f t="shared" si="0"/>
        <v>2059</v>
      </c>
      <c r="C182" s="111">
        <f>[40]С2.5!$AR$11</f>
        <v>0</v>
      </c>
    </row>
    <row r="183" spans="2:3" hidden="1" x14ac:dyDescent="0.2">
      <c r="B183" s="110">
        <f t="shared" si="0"/>
        <v>2060</v>
      </c>
      <c r="C183" s="111">
        <f>[40]С2.5!$AS$11</f>
        <v>0</v>
      </c>
    </row>
    <row r="184" spans="2:3" hidden="1" x14ac:dyDescent="0.2">
      <c r="B184" s="110">
        <f t="shared" si="0"/>
        <v>2061</v>
      </c>
      <c r="C184" s="111">
        <f>[40]С2.5!$AT$11</f>
        <v>0</v>
      </c>
    </row>
    <row r="185" spans="2:3" hidden="1" x14ac:dyDescent="0.2">
      <c r="B185" s="110">
        <f t="shared" si="0"/>
        <v>2062</v>
      </c>
      <c r="C185" s="111">
        <f>[40]С2.5!$AU$11</f>
        <v>0</v>
      </c>
    </row>
    <row r="186" spans="2:3" hidden="1" x14ac:dyDescent="0.2">
      <c r="B186" s="110">
        <f t="shared" si="0"/>
        <v>2063</v>
      </c>
      <c r="C186" s="111">
        <f>[40]С2.5!$AV$11</f>
        <v>0</v>
      </c>
    </row>
    <row r="187" spans="2:3" hidden="1" x14ac:dyDescent="0.2">
      <c r="B187" s="110">
        <f t="shared" si="0"/>
        <v>2064</v>
      </c>
      <c r="C187" s="111">
        <f>[40]С2.5!$AW$11</f>
        <v>0</v>
      </c>
    </row>
    <row r="188" spans="2:3" hidden="1" x14ac:dyDescent="0.2">
      <c r="B188" s="110">
        <f t="shared" si="0"/>
        <v>2065</v>
      </c>
      <c r="C188" s="111">
        <f>[40]С2.5!$AX$11</f>
        <v>0</v>
      </c>
    </row>
    <row r="189" spans="2:3" hidden="1" x14ac:dyDescent="0.2">
      <c r="B189" s="110">
        <f t="shared" si="0"/>
        <v>2066</v>
      </c>
      <c r="C189" s="111">
        <f>[40]С2.5!$AY$11</f>
        <v>0</v>
      </c>
    </row>
    <row r="190" spans="2:3" hidden="1" x14ac:dyDescent="0.2">
      <c r="B190" s="110">
        <f t="shared" si="0"/>
        <v>2067</v>
      </c>
      <c r="C190" s="111">
        <f>[40]С2.5!$AZ$11</f>
        <v>0</v>
      </c>
    </row>
    <row r="191" spans="2:3" hidden="1" x14ac:dyDescent="0.2">
      <c r="B191" s="110">
        <f t="shared" si="0"/>
        <v>2068</v>
      </c>
      <c r="C191" s="111">
        <f>[40]С2.5!$BA$11</f>
        <v>0</v>
      </c>
    </row>
    <row r="192" spans="2:3" hidden="1" x14ac:dyDescent="0.2">
      <c r="B192" s="110">
        <f t="shared" si="0"/>
        <v>2069</v>
      </c>
      <c r="C192" s="111">
        <f>[40]С2.5!$BB$11</f>
        <v>0</v>
      </c>
    </row>
    <row r="193" spans="2:3" hidden="1" x14ac:dyDescent="0.2">
      <c r="B193" s="110">
        <f t="shared" si="0"/>
        <v>2070</v>
      </c>
      <c r="C193" s="111">
        <f>[40]С2.5!$BC$11</f>
        <v>0</v>
      </c>
    </row>
    <row r="194" spans="2:3" hidden="1" x14ac:dyDescent="0.2">
      <c r="B194" s="110">
        <f t="shared" si="0"/>
        <v>2071</v>
      </c>
      <c r="C194" s="111">
        <f>[40]С2.5!$BD$11</f>
        <v>0</v>
      </c>
    </row>
    <row r="195" spans="2:3" hidden="1" x14ac:dyDescent="0.2">
      <c r="B195" s="110">
        <f t="shared" si="0"/>
        <v>2072</v>
      </c>
      <c r="C195" s="111">
        <f>[40]С2.5!$BE$11</f>
        <v>0</v>
      </c>
    </row>
    <row r="196" spans="2:3" hidden="1" x14ac:dyDescent="0.2">
      <c r="B196" s="110">
        <f t="shared" si="0"/>
        <v>2073</v>
      </c>
      <c r="C196" s="111">
        <f>[40]С2.5!$BF$11</f>
        <v>0</v>
      </c>
    </row>
    <row r="197" spans="2:3" hidden="1" x14ac:dyDescent="0.2">
      <c r="B197" s="110">
        <f t="shared" si="0"/>
        <v>2074</v>
      </c>
      <c r="C197" s="111">
        <f>[40]С2.5!$BG$11</f>
        <v>0</v>
      </c>
    </row>
    <row r="198" spans="2:3" hidden="1" x14ac:dyDescent="0.2">
      <c r="B198" s="110">
        <f t="shared" si="0"/>
        <v>2075</v>
      </c>
      <c r="C198" s="111">
        <f>[40]С2.5!$BH$11</f>
        <v>0</v>
      </c>
    </row>
    <row r="199" spans="2:3" hidden="1" x14ac:dyDescent="0.2">
      <c r="B199" s="110">
        <f t="shared" si="0"/>
        <v>2076</v>
      </c>
      <c r="C199" s="111">
        <f>[40]С2.5!$BI$11</f>
        <v>0</v>
      </c>
    </row>
    <row r="200" spans="2:3" hidden="1" x14ac:dyDescent="0.2">
      <c r="B200" s="110">
        <f t="shared" si="0"/>
        <v>2077</v>
      </c>
      <c r="C200" s="111">
        <f>[40]С2.5!$BJ$11</f>
        <v>0</v>
      </c>
    </row>
    <row r="201" spans="2:3" hidden="1" x14ac:dyDescent="0.2">
      <c r="B201" s="110">
        <f t="shared" si="0"/>
        <v>2078</v>
      </c>
      <c r="C201" s="111">
        <f>[40]С2.5!$BK$11</f>
        <v>0</v>
      </c>
    </row>
    <row r="202" spans="2:3" hidden="1" x14ac:dyDescent="0.2">
      <c r="B202" s="110">
        <f t="shared" si="0"/>
        <v>2079</v>
      </c>
      <c r="C202" s="111">
        <f>[40]С2.5!$BL$11</f>
        <v>0</v>
      </c>
    </row>
    <row r="203" spans="2:3" hidden="1" x14ac:dyDescent="0.2">
      <c r="B203" s="110">
        <f t="shared" si="0"/>
        <v>2080</v>
      </c>
      <c r="C203" s="111">
        <f>[40]С2.5!$BM$11</f>
        <v>0</v>
      </c>
    </row>
    <row r="204" spans="2:3" hidden="1" x14ac:dyDescent="0.2">
      <c r="B204" s="110">
        <f t="shared" si="0"/>
        <v>2081</v>
      </c>
      <c r="C204" s="111">
        <f>[40]С2.5!$BN$11</f>
        <v>0</v>
      </c>
    </row>
    <row r="205" spans="2:3" hidden="1" x14ac:dyDescent="0.2">
      <c r="B205" s="110">
        <f t="shared" si="0"/>
        <v>2082</v>
      </c>
      <c r="C205" s="111">
        <f>[40]С2.5!$BO$11</f>
        <v>0</v>
      </c>
    </row>
    <row r="206" spans="2:3" hidden="1" x14ac:dyDescent="0.2">
      <c r="B206" s="110">
        <f t="shared" si="0"/>
        <v>2083</v>
      </c>
      <c r="C206" s="111">
        <f>[40]С2.5!$BP$11</f>
        <v>0</v>
      </c>
    </row>
    <row r="207" spans="2:3" hidden="1" x14ac:dyDescent="0.2">
      <c r="B207" s="110">
        <f t="shared" si="0"/>
        <v>2084</v>
      </c>
      <c r="C207" s="111">
        <f>[40]С2.5!$BQ$11</f>
        <v>0</v>
      </c>
    </row>
    <row r="208" spans="2:3" hidden="1" x14ac:dyDescent="0.2">
      <c r="B208" s="110">
        <f t="shared" si="0"/>
        <v>2085</v>
      </c>
      <c r="C208" s="111">
        <f>[40]С2.5!$BR$11</f>
        <v>0</v>
      </c>
    </row>
    <row r="209" spans="2:3" hidden="1" x14ac:dyDescent="0.2">
      <c r="B209" s="110">
        <f t="shared" ref="B209:B223" si="1">B208+1</f>
        <v>2086</v>
      </c>
      <c r="C209" s="111">
        <f>[40]С2.5!$BS$11</f>
        <v>0</v>
      </c>
    </row>
    <row r="210" spans="2:3" hidden="1" x14ac:dyDescent="0.2">
      <c r="B210" s="110">
        <f t="shared" si="1"/>
        <v>2087</v>
      </c>
      <c r="C210" s="111">
        <f>[40]С2.5!$BT$11</f>
        <v>0</v>
      </c>
    </row>
    <row r="211" spans="2:3" hidden="1" x14ac:dyDescent="0.2">
      <c r="B211" s="110">
        <f t="shared" si="1"/>
        <v>2088</v>
      </c>
      <c r="C211" s="111">
        <f>[40]С2.5!$BU$11</f>
        <v>0</v>
      </c>
    </row>
    <row r="212" spans="2:3" hidden="1" x14ac:dyDescent="0.2">
      <c r="B212" s="110">
        <f t="shared" si="1"/>
        <v>2089</v>
      </c>
      <c r="C212" s="111">
        <f>[40]С2.5!$BV$11</f>
        <v>0</v>
      </c>
    </row>
    <row r="213" spans="2:3" hidden="1" x14ac:dyDescent="0.2">
      <c r="B213" s="110">
        <f t="shared" si="1"/>
        <v>2090</v>
      </c>
      <c r="C213" s="111">
        <f>[40]С2.5!$BW$11</f>
        <v>0</v>
      </c>
    </row>
    <row r="214" spans="2:3" hidden="1" x14ac:dyDescent="0.2">
      <c r="B214" s="110">
        <f t="shared" si="1"/>
        <v>2091</v>
      </c>
      <c r="C214" s="111">
        <f>[40]С2.5!$BX$11</f>
        <v>0</v>
      </c>
    </row>
    <row r="215" spans="2:3" hidden="1" x14ac:dyDescent="0.2">
      <c r="B215" s="110">
        <f t="shared" si="1"/>
        <v>2092</v>
      </c>
      <c r="C215" s="111">
        <f>[40]С2.5!$BY$11</f>
        <v>0</v>
      </c>
    </row>
    <row r="216" spans="2:3" hidden="1" x14ac:dyDescent="0.2">
      <c r="B216" s="110">
        <f t="shared" si="1"/>
        <v>2093</v>
      </c>
      <c r="C216" s="111">
        <f>[40]С2.5!$BZ$11</f>
        <v>0</v>
      </c>
    </row>
    <row r="217" spans="2:3" hidden="1" x14ac:dyDescent="0.2">
      <c r="B217" s="110">
        <f t="shared" si="1"/>
        <v>2094</v>
      </c>
      <c r="C217" s="111">
        <f>[40]С2.5!$CA$11</f>
        <v>0</v>
      </c>
    </row>
    <row r="218" spans="2:3" hidden="1" x14ac:dyDescent="0.2">
      <c r="B218" s="110">
        <f t="shared" si="1"/>
        <v>2095</v>
      </c>
      <c r="C218" s="111">
        <f>[40]С2.5!$CB$11</f>
        <v>0</v>
      </c>
    </row>
    <row r="219" spans="2:3" hidden="1" x14ac:dyDescent="0.2">
      <c r="B219" s="110">
        <f t="shared" si="1"/>
        <v>2096</v>
      </c>
      <c r="C219" s="111">
        <f>[40]С2.5!$CC$11</f>
        <v>0</v>
      </c>
    </row>
    <row r="220" spans="2:3" hidden="1" x14ac:dyDescent="0.2">
      <c r="B220" s="110">
        <f t="shared" si="1"/>
        <v>2097</v>
      </c>
      <c r="C220" s="111">
        <f>[40]С2.5!$CD$11</f>
        <v>0</v>
      </c>
    </row>
    <row r="221" spans="2:3" hidden="1" x14ac:dyDescent="0.2">
      <c r="B221" s="110">
        <f t="shared" si="1"/>
        <v>2098</v>
      </c>
      <c r="C221" s="111">
        <f>[40]С2.5!$CE$11</f>
        <v>0</v>
      </c>
    </row>
    <row r="222" spans="2:3" hidden="1" x14ac:dyDescent="0.2">
      <c r="B222" s="110">
        <f t="shared" si="1"/>
        <v>2099</v>
      </c>
      <c r="C222" s="111">
        <f>[40]С2.5!$CF$11</f>
        <v>0</v>
      </c>
    </row>
    <row r="223" spans="2:3" ht="13.5" hidden="1" thickBot="1" x14ac:dyDescent="0.25">
      <c r="B223" s="112">
        <f t="shared" si="1"/>
        <v>2100</v>
      </c>
      <c r="C223" s="113">
        <f>[40]С2.5!$CG$11</f>
        <v>0</v>
      </c>
    </row>
    <row r="224" spans="2:3" hidden="1" x14ac:dyDescent="0.2">
      <c r="C224" s="116"/>
    </row>
    <row r="225" spans="3:3" hidden="1" x14ac:dyDescent="0.2">
      <c r="C225" s="116"/>
    </row>
    <row r="226" spans="3:3" x14ac:dyDescent="0.2">
      <c r="C226" s="116"/>
    </row>
  </sheetData>
  <mergeCells count="9">
    <mergeCell ref="B141:C141"/>
    <mergeCell ref="A14:C14"/>
    <mergeCell ref="B1:C1"/>
    <mergeCell ref="B27:C27"/>
    <mergeCell ref="B40:C40"/>
    <mergeCell ref="B84:C84"/>
    <mergeCell ref="B95:C95"/>
    <mergeCell ref="B124:C124"/>
    <mergeCell ref="B127:C127"/>
  </mergeCell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26"/>
  <sheetViews>
    <sheetView workbookViewId="0">
      <selection activeCell="C7" sqref="C7"/>
    </sheetView>
  </sheetViews>
  <sheetFormatPr defaultRowHeight="12.75" x14ac:dyDescent="0.2"/>
  <cols>
    <col min="1" max="1" width="9.140625" style="2" customWidth="1"/>
    <col min="2" max="2" width="100.5703125" style="2" customWidth="1"/>
    <col min="3" max="3" width="20.85546875" style="7" customWidth="1"/>
    <col min="4" max="245" width="9.140625" style="2"/>
    <col min="246" max="246" width="3.5703125" style="2" customWidth="1"/>
    <col min="247" max="247" width="96.85546875" style="2" customWidth="1"/>
    <col min="248" max="248" width="30.85546875" style="2" customWidth="1"/>
    <col min="249" max="249" width="12.5703125" style="2" customWidth="1"/>
    <col min="250" max="250" width="5.140625" style="2" customWidth="1"/>
    <col min="251" max="251" width="9.140625" style="2"/>
    <col min="252" max="252" width="4.85546875" style="2" customWidth="1"/>
    <col min="253" max="253" width="30.5703125" style="2" customWidth="1"/>
    <col min="254" max="254" width="33.85546875" style="2" customWidth="1"/>
    <col min="255" max="255" width="5.140625" style="2" customWidth="1"/>
    <col min="256" max="257" width="17.5703125" style="2" customWidth="1"/>
    <col min="258" max="501" width="9.140625" style="2"/>
    <col min="502" max="502" width="3.5703125" style="2" customWidth="1"/>
    <col min="503" max="503" width="96.85546875" style="2" customWidth="1"/>
    <col min="504" max="504" width="30.85546875" style="2" customWidth="1"/>
    <col min="505" max="505" width="12.5703125" style="2" customWidth="1"/>
    <col min="506" max="506" width="5.140625" style="2" customWidth="1"/>
    <col min="507" max="507" width="9.140625" style="2"/>
    <col min="508" max="508" width="4.85546875" style="2" customWidth="1"/>
    <col min="509" max="509" width="30.5703125" style="2" customWidth="1"/>
    <col min="510" max="510" width="33.85546875" style="2" customWidth="1"/>
    <col min="511" max="511" width="5.140625" style="2" customWidth="1"/>
    <col min="512" max="513" width="17.5703125" style="2" customWidth="1"/>
    <col min="514" max="757" width="9.140625" style="2"/>
    <col min="758" max="758" width="3.5703125" style="2" customWidth="1"/>
    <col min="759" max="759" width="96.85546875" style="2" customWidth="1"/>
    <col min="760" max="760" width="30.85546875" style="2" customWidth="1"/>
    <col min="761" max="761" width="12.5703125" style="2" customWidth="1"/>
    <col min="762" max="762" width="5.140625" style="2" customWidth="1"/>
    <col min="763" max="763" width="9.140625" style="2"/>
    <col min="764" max="764" width="4.85546875" style="2" customWidth="1"/>
    <col min="765" max="765" width="30.5703125" style="2" customWidth="1"/>
    <col min="766" max="766" width="33.85546875" style="2" customWidth="1"/>
    <col min="767" max="767" width="5.140625" style="2" customWidth="1"/>
    <col min="768" max="769" width="17.5703125" style="2" customWidth="1"/>
    <col min="770" max="1013" width="9.140625" style="2"/>
    <col min="1014" max="1014" width="3.5703125" style="2" customWidth="1"/>
    <col min="1015" max="1015" width="96.85546875" style="2" customWidth="1"/>
    <col min="1016" max="1016" width="30.85546875" style="2" customWidth="1"/>
    <col min="1017" max="1017" width="12.5703125" style="2" customWidth="1"/>
    <col min="1018" max="1018" width="5.140625" style="2" customWidth="1"/>
    <col min="1019" max="1019" width="9.140625" style="2"/>
    <col min="1020" max="1020" width="4.85546875" style="2" customWidth="1"/>
    <col min="1021" max="1021" width="30.5703125" style="2" customWidth="1"/>
    <col min="1022" max="1022" width="33.85546875" style="2" customWidth="1"/>
    <col min="1023" max="1023" width="5.140625" style="2" customWidth="1"/>
    <col min="1024" max="1025" width="17.5703125" style="2" customWidth="1"/>
    <col min="1026" max="1269" width="9.140625" style="2"/>
    <col min="1270" max="1270" width="3.5703125" style="2" customWidth="1"/>
    <col min="1271" max="1271" width="96.85546875" style="2" customWidth="1"/>
    <col min="1272" max="1272" width="30.85546875" style="2" customWidth="1"/>
    <col min="1273" max="1273" width="12.5703125" style="2" customWidth="1"/>
    <col min="1274" max="1274" width="5.140625" style="2" customWidth="1"/>
    <col min="1275" max="1275" width="9.140625" style="2"/>
    <col min="1276" max="1276" width="4.85546875" style="2" customWidth="1"/>
    <col min="1277" max="1277" width="30.5703125" style="2" customWidth="1"/>
    <col min="1278" max="1278" width="33.85546875" style="2" customWidth="1"/>
    <col min="1279" max="1279" width="5.140625" style="2" customWidth="1"/>
    <col min="1280" max="1281" width="17.5703125" style="2" customWidth="1"/>
    <col min="1282" max="1525" width="9.140625" style="2"/>
    <col min="1526" max="1526" width="3.5703125" style="2" customWidth="1"/>
    <col min="1527" max="1527" width="96.85546875" style="2" customWidth="1"/>
    <col min="1528" max="1528" width="30.85546875" style="2" customWidth="1"/>
    <col min="1529" max="1529" width="12.5703125" style="2" customWidth="1"/>
    <col min="1530" max="1530" width="5.140625" style="2" customWidth="1"/>
    <col min="1531" max="1531" width="9.140625" style="2"/>
    <col min="1532" max="1532" width="4.85546875" style="2" customWidth="1"/>
    <col min="1533" max="1533" width="30.5703125" style="2" customWidth="1"/>
    <col min="1534" max="1534" width="33.85546875" style="2" customWidth="1"/>
    <col min="1535" max="1535" width="5.140625" style="2" customWidth="1"/>
    <col min="1536" max="1537" width="17.5703125" style="2" customWidth="1"/>
    <col min="1538" max="1781" width="9.140625" style="2"/>
    <col min="1782" max="1782" width="3.5703125" style="2" customWidth="1"/>
    <col min="1783" max="1783" width="96.85546875" style="2" customWidth="1"/>
    <col min="1784" max="1784" width="30.85546875" style="2" customWidth="1"/>
    <col min="1785" max="1785" width="12.5703125" style="2" customWidth="1"/>
    <col min="1786" max="1786" width="5.140625" style="2" customWidth="1"/>
    <col min="1787" max="1787" width="9.140625" style="2"/>
    <col min="1788" max="1788" width="4.85546875" style="2" customWidth="1"/>
    <col min="1789" max="1789" width="30.5703125" style="2" customWidth="1"/>
    <col min="1790" max="1790" width="33.85546875" style="2" customWidth="1"/>
    <col min="1791" max="1791" width="5.140625" style="2" customWidth="1"/>
    <col min="1792" max="1793" width="17.5703125" style="2" customWidth="1"/>
    <col min="1794" max="2037" width="9.140625" style="2"/>
    <col min="2038" max="2038" width="3.5703125" style="2" customWidth="1"/>
    <col min="2039" max="2039" width="96.85546875" style="2" customWidth="1"/>
    <col min="2040" max="2040" width="30.85546875" style="2" customWidth="1"/>
    <col min="2041" max="2041" width="12.5703125" style="2" customWidth="1"/>
    <col min="2042" max="2042" width="5.140625" style="2" customWidth="1"/>
    <col min="2043" max="2043" width="9.140625" style="2"/>
    <col min="2044" max="2044" width="4.85546875" style="2" customWidth="1"/>
    <col min="2045" max="2045" width="30.5703125" style="2" customWidth="1"/>
    <col min="2046" max="2046" width="33.85546875" style="2" customWidth="1"/>
    <col min="2047" max="2047" width="5.140625" style="2" customWidth="1"/>
    <col min="2048" max="2049" width="17.5703125" style="2" customWidth="1"/>
    <col min="2050" max="2293" width="9.140625" style="2"/>
    <col min="2294" max="2294" width="3.5703125" style="2" customWidth="1"/>
    <col min="2295" max="2295" width="96.85546875" style="2" customWidth="1"/>
    <col min="2296" max="2296" width="30.85546875" style="2" customWidth="1"/>
    <col min="2297" max="2297" width="12.5703125" style="2" customWidth="1"/>
    <col min="2298" max="2298" width="5.140625" style="2" customWidth="1"/>
    <col min="2299" max="2299" width="9.140625" style="2"/>
    <col min="2300" max="2300" width="4.85546875" style="2" customWidth="1"/>
    <col min="2301" max="2301" width="30.5703125" style="2" customWidth="1"/>
    <col min="2302" max="2302" width="33.85546875" style="2" customWidth="1"/>
    <col min="2303" max="2303" width="5.140625" style="2" customWidth="1"/>
    <col min="2304" max="2305" width="17.5703125" style="2" customWidth="1"/>
    <col min="2306" max="2549" width="9.140625" style="2"/>
    <col min="2550" max="2550" width="3.5703125" style="2" customWidth="1"/>
    <col min="2551" max="2551" width="96.85546875" style="2" customWidth="1"/>
    <col min="2552" max="2552" width="30.85546875" style="2" customWidth="1"/>
    <col min="2553" max="2553" width="12.5703125" style="2" customWidth="1"/>
    <col min="2554" max="2554" width="5.140625" style="2" customWidth="1"/>
    <col min="2555" max="2555" width="9.140625" style="2"/>
    <col min="2556" max="2556" width="4.85546875" style="2" customWidth="1"/>
    <col min="2557" max="2557" width="30.5703125" style="2" customWidth="1"/>
    <col min="2558" max="2558" width="33.85546875" style="2" customWidth="1"/>
    <col min="2559" max="2559" width="5.140625" style="2" customWidth="1"/>
    <col min="2560" max="2561" width="17.5703125" style="2" customWidth="1"/>
    <col min="2562" max="2805" width="9.140625" style="2"/>
    <col min="2806" max="2806" width="3.5703125" style="2" customWidth="1"/>
    <col min="2807" max="2807" width="96.85546875" style="2" customWidth="1"/>
    <col min="2808" max="2808" width="30.85546875" style="2" customWidth="1"/>
    <col min="2809" max="2809" width="12.5703125" style="2" customWidth="1"/>
    <col min="2810" max="2810" width="5.140625" style="2" customWidth="1"/>
    <col min="2811" max="2811" width="9.140625" style="2"/>
    <col min="2812" max="2812" width="4.85546875" style="2" customWidth="1"/>
    <col min="2813" max="2813" width="30.5703125" style="2" customWidth="1"/>
    <col min="2814" max="2814" width="33.85546875" style="2" customWidth="1"/>
    <col min="2815" max="2815" width="5.140625" style="2" customWidth="1"/>
    <col min="2816" max="2817" width="17.5703125" style="2" customWidth="1"/>
    <col min="2818" max="3061" width="9.140625" style="2"/>
    <col min="3062" max="3062" width="3.5703125" style="2" customWidth="1"/>
    <col min="3063" max="3063" width="96.85546875" style="2" customWidth="1"/>
    <col min="3064" max="3064" width="30.85546875" style="2" customWidth="1"/>
    <col min="3065" max="3065" width="12.5703125" style="2" customWidth="1"/>
    <col min="3066" max="3066" width="5.140625" style="2" customWidth="1"/>
    <col min="3067" max="3067" width="9.140625" style="2"/>
    <col min="3068" max="3068" width="4.85546875" style="2" customWidth="1"/>
    <col min="3069" max="3069" width="30.5703125" style="2" customWidth="1"/>
    <col min="3070" max="3070" width="33.85546875" style="2" customWidth="1"/>
    <col min="3071" max="3071" width="5.140625" style="2" customWidth="1"/>
    <col min="3072" max="3073" width="17.5703125" style="2" customWidth="1"/>
    <col min="3074" max="3317" width="9.140625" style="2"/>
    <col min="3318" max="3318" width="3.5703125" style="2" customWidth="1"/>
    <col min="3319" max="3319" width="96.85546875" style="2" customWidth="1"/>
    <col min="3320" max="3320" width="30.85546875" style="2" customWidth="1"/>
    <col min="3321" max="3321" width="12.5703125" style="2" customWidth="1"/>
    <col min="3322" max="3322" width="5.140625" style="2" customWidth="1"/>
    <col min="3323" max="3323" width="9.140625" style="2"/>
    <col min="3324" max="3324" width="4.85546875" style="2" customWidth="1"/>
    <col min="3325" max="3325" width="30.5703125" style="2" customWidth="1"/>
    <col min="3326" max="3326" width="33.85546875" style="2" customWidth="1"/>
    <col min="3327" max="3327" width="5.140625" style="2" customWidth="1"/>
    <col min="3328" max="3329" width="17.5703125" style="2" customWidth="1"/>
    <col min="3330" max="3573" width="9.140625" style="2"/>
    <col min="3574" max="3574" width="3.5703125" style="2" customWidth="1"/>
    <col min="3575" max="3575" width="96.85546875" style="2" customWidth="1"/>
    <col min="3576" max="3576" width="30.85546875" style="2" customWidth="1"/>
    <col min="3577" max="3577" width="12.5703125" style="2" customWidth="1"/>
    <col min="3578" max="3578" width="5.140625" style="2" customWidth="1"/>
    <col min="3579" max="3579" width="9.140625" style="2"/>
    <col min="3580" max="3580" width="4.85546875" style="2" customWidth="1"/>
    <col min="3581" max="3581" width="30.5703125" style="2" customWidth="1"/>
    <col min="3582" max="3582" width="33.85546875" style="2" customWidth="1"/>
    <col min="3583" max="3583" width="5.140625" style="2" customWidth="1"/>
    <col min="3584" max="3585" width="17.5703125" style="2" customWidth="1"/>
    <col min="3586" max="3829" width="9.140625" style="2"/>
    <col min="3830" max="3830" width="3.5703125" style="2" customWidth="1"/>
    <col min="3831" max="3831" width="96.85546875" style="2" customWidth="1"/>
    <col min="3832" max="3832" width="30.85546875" style="2" customWidth="1"/>
    <col min="3833" max="3833" width="12.5703125" style="2" customWidth="1"/>
    <col min="3834" max="3834" width="5.140625" style="2" customWidth="1"/>
    <col min="3835" max="3835" width="9.140625" style="2"/>
    <col min="3836" max="3836" width="4.85546875" style="2" customWidth="1"/>
    <col min="3837" max="3837" width="30.5703125" style="2" customWidth="1"/>
    <col min="3838" max="3838" width="33.85546875" style="2" customWidth="1"/>
    <col min="3839" max="3839" width="5.140625" style="2" customWidth="1"/>
    <col min="3840" max="3841" width="17.5703125" style="2" customWidth="1"/>
    <col min="3842" max="4085" width="9.140625" style="2"/>
    <col min="4086" max="4086" width="3.5703125" style="2" customWidth="1"/>
    <col min="4087" max="4087" width="96.85546875" style="2" customWidth="1"/>
    <col min="4088" max="4088" width="30.85546875" style="2" customWidth="1"/>
    <col min="4089" max="4089" width="12.5703125" style="2" customWidth="1"/>
    <col min="4090" max="4090" width="5.140625" style="2" customWidth="1"/>
    <col min="4091" max="4091" width="9.140625" style="2"/>
    <col min="4092" max="4092" width="4.85546875" style="2" customWidth="1"/>
    <col min="4093" max="4093" width="30.5703125" style="2" customWidth="1"/>
    <col min="4094" max="4094" width="33.85546875" style="2" customWidth="1"/>
    <col min="4095" max="4095" width="5.140625" style="2" customWidth="1"/>
    <col min="4096" max="4097" width="17.5703125" style="2" customWidth="1"/>
    <col min="4098" max="4341" width="9.140625" style="2"/>
    <col min="4342" max="4342" width="3.5703125" style="2" customWidth="1"/>
    <col min="4343" max="4343" width="96.85546875" style="2" customWidth="1"/>
    <col min="4344" max="4344" width="30.85546875" style="2" customWidth="1"/>
    <col min="4345" max="4345" width="12.5703125" style="2" customWidth="1"/>
    <col min="4346" max="4346" width="5.140625" style="2" customWidth="1"/>
    <col min="4347" max="4347" width="9.140625" style="2"/>
    <col min="4348" max="4348" width="4.85546875" style="2" customWidth="1"/>
    <col min="4349" max="4349" width="30.5703125" style="2" customWidth="1"/>
    <col min="4350" max="4350" width="33.85546875" style="2" customWidth="1"/>
    <col min="4351" max="4351" width="5.140625" style="2" customWidth="1"/>
    <col min="4352" max="4353" width="17.5703125" style="2" customWidth="1"/>
    <col min="4354" max="4597" width="9.140625" style="2"/>
    <col min="4598" max="4598" width="3.5703125" style="2" customWidth="1"/>
    <col min="4599" max="4599" width="96.85546875" style="2" customWidth="1"/>
    <col min="4600" max="4600" width="30.85546875" style="2" customWidth="1"/>
    <col min="4601" max="4601" width="12.5703125" style="2" customWidth="1"/>
    <col min="4602" max="4602" width="5.140625" style="2" customWidth="1"/>
    <col min="4603" max="4603" width="9.140625" style="2"/>
    <col min="4604" max="4604" width="4.85546875" style="2" customWidth="1"/>
    <col min="4605" max="4605" width="30.5703125" style="2" customWidth="1"/>
    <col min="4606" max="4606" width="33.85546875" style="2" customWidth="1"/>
    <col min="4607" max="4607" width="5.140625" style="2" customWidth="1"/>
    <col min="4608" max="4609" width="17.5703125" style="2" customWidth="1"/>
    <col min="4610" max="4853" width="9.140625" style="2"/>
    <col min="4854" max="4854" width="3.5703125" style="2" customWidth="1"/>
    <col min="4855" max="4855" width="96.85546875" style="2" customWidth="1"/>
    <col min="4856" max="4856" width="30.85546875" style="2" customWidth="1"/>
    <col min="4857" max="4857" width="12.5703125" style="2" customWidth="1"/>
    <col min="4858" max="4858" width="5.140625" style="2" customWidth="1"/>
    <col min="4859" max="4859" width="9.140625" style="2"/>
    <col min="4860" max="4860" width="4.85546875" style="2" customWidth="1"/>
    <col min="4861" max="4861" width="30.5703125" style="2" customWidth="1"/>
    <col min="4862" max="4862" width="33.85546875" style="2" customWidth="1"/>
    <col min="4863" max="4863" width="5.140625" style="2" customWidth="1"/>
    <col min="4864" max="4865" width="17.5703125" style="2" customWidth="1"/>
    <col min="4866" max="5109" width="9.140625" style="2"/>
    <col min="5110" max="5110" width="3.5703125" style="2" customWidth="1"/>
    <col min="5111" max="5111" width="96.85546875" style="2" customWidth="1"/>
    <col min="5112" max="5112" width="30.85546875" style="2" customWidth="1"/>
    <col min="5113" max="5113" width="12.5703125" style="2" customWidth="1"/>
    <col min="5114" max="5114" width="5.140625" style="2" customWidth="1"/>
    <col min="5115" max="5115" width="9.140625" style="2"/>
    <col min="5116" max="5116" width="4.85546875" style="2" customWidth="1"/>
    <col min="5117" max="5117" width="30.5703125" style="2" customWidth="1"/>
    <col min="5118" max="5118" width="33.85546875" style="2" customWidth="1"/>
    <col min="5119" max="5119" width="5.140625" style="2" customWidth="1"/>
    <col min="5120" max="5121" width="17.5703125" style="2" customWidth="1"/>
    <col min="5122" max="5365" width="9.140625" style="2"/>
    <col min="5366" max="5366" width="3.5703125" style="2" customWidth="1"/>
    <col min="5367" max="5367" width="96.85546875" style="2" customWidth="1"/>
    <col min="5368" max="5368" width="30.85546875" style="2" customWidth="1"/>
    <col min="5369" max="5369" width="12.5703125" style="2" customWidth="1"/>
    <col min="5370" max="5370" width="5.140625" style="2" customWidth="1"/>
    <col min="5371" max="5371" width="9.140625" style="2"/>
    <col min="5372" max="5372" width="4.85546875" style="2" customWidth="1"/>
    <col min="5373" max="5373" width="30.5703125" style="2" customWidth="1"/>
    <col min="5374" max="5374" width="33.85546875" style="2" customWidth="1"/>
    <col min="5375" max="5375" width="5.140625" style="2" customWidth="1"/>
    <col min="5376" max="5377" width="17.5703125" style="2" customWidth="1"/>
    <col min="5378" max="5621" width="9.140625" style="2"/>
    <col min="5622" max="5622" width="3.5703125" style="2" customWidth="1"/>
    <col min="5623" max="5623" width="96.85546875" style="2" customWidth="1"/>
    <col min="5624" max="5624" width="30.85546875" style="2" customWidth="1"/>
    <col min="5625" max="5625" width="12.5703125" style="2" customWidth="1"/>
    <col min="5626" max="5626" width="5.140625" style="2" customWidth="1"/>
    <col min="5627" max="5627" width="9.140625" style="2"/>
    <col min="5628" max="5628" width="4.85546875" style="2" customWidth="1"/>
    <col min="5629" max="5629" width="30.5703125" style="2" customWidth="1"/>
    <col min="5630" max="5630" width="33.85546875" style="2" customWidth="1"/>
    <col min="5631" max="5631" width="5.140625" style="2" customWidth="1"/>
    <col min="5632" max="5633" width="17.5703125" style="2" customWidth="1"/>
    <col min="5634" max="5877" width="9.140625" style="2"/>
    <col min="5878" max="5878" width="3.5703125" style="2" customWidth="1"/>
    <col min="5879" max="5879" width="96.85546875" style="2" customWidth="1"/>
    <col min="5880" max="5880" width="30.85546875" style="2" customWidth="1"/>
    <col min="5881" max="5881" width="12.5703125" style="2" customWidth="1"/>
    <col min="5882" max="5882" width="5.140625" style="2" customWidth="1"/>
    <col min="5883" max="5883" width="9.140625" style="2"/>
    <col min="5884" max="5884" width="4.85546875" style="2" customWidth="1"/>
    <col min="5885" max="5885" width="30.5703125" style="2" customWidth="1"/>
    <col min="5886" max="5886" width="33.85546875" style="2" customWidth="1"/>
    <col min="5887" max="5887" width="5.140625" style="2" customWidth="1"/>
    <col min="5888" max="5889" width="17.5703125" style="2" customWidth="1"/>
    <col min="5890" max="6133" width="9.140625" style="2"/>
    <col min="6134" max="6134" width="3.5703125" style="2" customWidth="1"/>
    <col min="6135" max="6135" width="96.85546875" style="2" customWidth="1"/>
    <col min="6136" max="6136" width="30.85546875" style="2" customWidth="1"/>
    <col min="6137" max="6137" width="12.5703125" style="2" customWidth="1"/>
    <col min="6138" max="6138" width="5.140625" style="2" customWidth="1"/>
    <col min="6139" max="6139" width="9.140625" style="2"/>
    <col min="6140" max="6140" width="4.85546875" style="2" customWidth="1"/>
    <col min="6141" max="6141" width="30.5703125" style="2" customWidth="1"/>
    <col min="6142" max="6142" width="33.85546875" style="2" customWidth="1"/>
    <col min="6143" max="6143" width="5.140625" style="2" customWidth="1"/>
    <col min="6144" max="6145" width="17.5703125" style="2" customWidth="1"/>
    <col min="6146" max="6389" width="9.140625" style="2"/>
    <col min="6390" max="6390" width="3.5703125" style="2" customWidth="1"/>
    <col min="6391" max="6391" width="96.85546875" style="2" customWidth="1"/>
    <col min="6392" max="6392" width="30.85546875" style="2" customWidth="1"/>
    <col min="6393" max="6393" width="12.5703125" style="2" customWidth="1"/>
    <col min="6394" max="6394" width="5.140625" style="2" customWidth="1"/>
    <col min="6395" max="6395" width="9.140625" style="2"/>
    <col min="6396" max="6396" width="4.85546875" style="2" customWidth="1"/>
    <col min="6397" max="6397" width="30.5703125" style="2" customWidth="1"/>
    <col min="6398" max="6398" width="33.85546875" style="2" customWidth="1"/>
    <col min="6399" max="6399" width="5.140625" style="2" customWidth="1"/>
    <col min="6400" max="6401" width="17.5703125" style="2" customWidth="1"/>
    <col min="6402" max="6645" width="9.140625" style="2"/>
    <col min="6646" max="6646" width="3.5703125" style="2" customWidth="1"/>
    <col min="6647" max="6647" width="96.85546875" style="2" customWidth="1"/>
    <col min="6648" max="6648" width="30.85546875" style="2" customWidth="1"/>
    <col min="6649" max="6649" width="12.5703125" style="2" customWidth="1"/>
    <col min="6650" max="6650" width="5.140625" style="2" customWidth="1"/>
    <col min="6651" max="6651" width="9.140625" style="2"/>
    <col min="6652" max="6652" width="4.85546875" style="2" customWidth="1"/>
    <col min="6653" max="6653" width="30.5703125" style="2" customWidth="1"/>
    <col min="6654" max="6654" width="33.85546875" style="2" customWidth="1"/>
    <col min="6655" max="6655" width="5.140625" style="2" customWidth="1"/>
    <col min="6656" max="6657" width="17.5703125" style="2" customWidth="1"/>
    <col min="6658" max="6901" width="9.140625" style="2"/>
    <col min="6902" max="6902" width="3.5703125" style="2" customWidth="1"/>
    <col min="6903" max="6903" width="96.85546875" style="2" customWidth="1"/>
    <col min="6904" max="6904" width="30.85546875" style="2" customWidth="1"/>
    <col min="6905" max="6905" width="12.5703125" style="2" customWidth="1"/>
    <col min="6906" max="6906" width="5.140625" style="2" customWidth="1"/>
    <col min="6907" max="6907" width="9.140625" style="2"/>
    <col min="6908" max="6908" width="4.85546875" style="2" customWidth="1"/>
    <col min="6909" max="6909" width="30.5703125" style="2" customWidth="1"/>
    <col min="6910" max="6910" width="33.85546875" style="2" customWidth="1"/>
    <col min="6911" max="6911" width="5.140625" style="2" customWidth="1"/>
    <col min="6912" max="6913" width="17.5703125" style="2" customWidth="1"/>
    <col min="6914" max="7157" width="9.140625" style="2"/>
    <col min="7158" max="7158" width="3.5703125" style="2" customWidth="1"/>
    <col min="7159" max="7159" width="96.85546875" style="2" customWidth="1"/>
    <col min="7160" max="7160" width="30.85546875" style="2" customWidth="1"/>
    <col min="7161" max="7161" width="12.5703125" style="2" customWidth="1"/>
    <col min="7162" max="7162" width="5.140625" style="2" customWidth="1"/>
    <col min="7163" max="7163" width="9.140625" style="2"/>
    <col min="7164" max="7164" width="4.85546875" style="2" customWidth="1"/>
    <col min="7165" max="7165" width="30.5703125" style="2" customWidth="1"/>
    <col min="7166" max="7166" width="33.85546875" style="2" customWidth="1"/>
    <col min="7167" max="7167" width="5.140625" style="2" customWidth="1"/>
    <col min="7168" max="7169" width="17.5703125" style="2" customWidth="1"/>
    <col min="7170" max="7413" width="9.140625" style="2"/>
    <col min="7414" max="7414" width="3.5703125" style="2" customWidth="1"/>
    <col min="7415" max="7415" width="96.85546875" style="2" customWidth="1"/>
    <col min="7416" max="7416" width="30.85546875" style="2" customWidth="1"/>
    <col min="7417" max="7417" width="12.5703125" style="2" customWidth="1"/>
    <col min="7418" max="7418" width="5.140625" style="2" customWidth="1"/>
    <col min="7419" max="7419" width="9.140625" style="2"/>
    <col min="7420" max="7420" width="4.85546875" style="2" customWidth="1"/>
    <col min="7421" max="7421" width="30.5703125" style="2" customWidth="1"/>
    <col min="7422" max="7422" width="33.85546875" style="2" customWidth="1"/>
    <col min="7423" max="7423" width="5.140625" style="2" customWidth="1"/>
    <col min="7424" max="7425" width="17.5703125" style="2" customWidth="1"/>
    <col min="7426" max="7669" width="9.140625" style="2"/>
    <col min="7670" max="7670" width="3.5703125" style="2" customWidth="1"/>
    <col min="7671" max="7671" width="96.85546875" style="2" customWidth="1"/>
    <col min="7672" max="7672" width="30.85546875" style="2" customWidth="1"/>
    <col min="7673" max="7673" width="12.5703125" style="2" customWidth="1"/>
    <col min="7674" max="7674" width="5.140625" style="2" customWidth="1"/>
    <col min="7675" max="7675" width="9.140625" style="2"/>
    <col min="7676" max="7676" width="4.85546875" style="2" customWidth="1"/>
    <col min="7677" max="7677" width="30.5703125" style="2" customWidth="1"/>
    <col min="7678" max="7678" width="33.85546875" style="2" customWidth="1"/>
    <col min="7679" max="7679" width="5.140625" style="2" customWidth="1"/>
    <col min="7680" max="7681" width="17.5703125" style="2" customWidth="1"/>
    <col min="7682" max="7925" width="9.140625" style="2"/>
    <col min="7926" max="7926" width="3.5703125" style="2" customWidth="1"/>
    <col min="7927" max="7927" width="96.85546875" style="2" customWidth="1"/>
    <col min="7928" max="7928" width="30.85546875" style="2" customWidth="1"/>
    <col min="7929" max="7929" width="12.5703125" style="2" customWidth="1"/>
    <col min="7930" max="7930" width="5.140625" style="2" customWidth="1"/>
    <col min="7931" max="7931" width="9.140625" style="2"/>
    <col min="7932" max="7932" width="4.85546875" style="2" customWidth="1"/>
    <col min="7933" max="7933" width="30.5703125" style="2" customWidth="1"/>
    <col min="7934" max="7934" width="33.85546875" style="2" customWidth="1"/>
    <col min="7935" max="7935" width="5.140625" style="2" customWidth="1"/>
    <col min="7936" max="7937" width="17.5703125" style="2" customWidth="1"/>
    <col min="7938" max="8181" width="9.140625" style="2"/>
    <col min="8182" max="8182" width="3.5703125" style="2" customWidth="1"/>
    <col min="8183" max="8183" width="96.85546875" style="2" customWidth="1"/>
    <col min="8184" max="8184" width="30.85546875" style="2" customWidth="1"/>
    <col min="8185" max="8185" width="12.5703125" style="2" customWidth="1"/>
    <col min="8186" max="8186" width="5.140625" style="2" customWidth="1"/>
    <col min="8187" max="8187" width="9.140625" style="2"/>
    <col min="8188" max="8188" width="4.85546875" style="2" customWidth="1"/>
    <col min="8189" max="8189" width="30.5703125" style="2" customWidth="1"/>
    <col min="8190" max="8190" width="33.85546875" style="2" customWidth="1"/>
    <col min="8191" max="8191" width="5.140625" style="2" customWidth="1"/>
    <col min="8192" max="8193" width="17.5703125" style="2" customWidth="1"/>
    <col min="8194" max="8437" width="9.140625" style="2"/>
    <col min="8438" max="8438" width="3.5703125" style="2" customWidth="1"/>
    <col min="8439" max="8439" width="96.85546875" style="2" customWidth="1"/>
    <col min="8440" max="8440" width="30.85546875" style="2" customWidth="1"/>
    <col min="8441" max="8441" width="12.5703125" style="2" customWidth="1"/>
    <col min="8442" max="8442" width="5.140625" style="2" customWidth="1"/>
    <col min="8443" max="8443" width="9.140625" style="2"/>
    <col min="8444" max="8444" width="4.85546875" style="2" customWidth="1"/>
    <col min="8445" max="8445" width="30.5703125" style="2" customWidth="1"/>
    <col min="8446" max="8446" width="33.85546875" style="2" customWidth="1"/>
    <col min="8447" max="8447" width="5.140625" style="2" customWidth="1"/>
    <col min="8448" max="8449" width="17.5703125" style="2" customWidth="1"/>
    <col min="8450" max="8693" width="9.140625" style="2"/>
    <col min="8694" max="8694" width="3.5703125" style="2" customWidth="1"/>
    <col min="8695" max="8695" width="96.85546875" style="2" customWidth="1"/>
    <col min="8696" max="8696" width="30.85546875" style="2" customWidth="1"/>
    <col min="8697" max="8697" width="12.5703125" style="2" customWidth="1"/>
    <col min="8698" max="8698" width="5.140625" style="2" customWidth="1"/>
    <col min="8699" max="8699" width="9.140625" style="2"/>
    <col min="8700" max="8700" width="4.85546875" style="2" customWidth="1"/>
    <col min="8701" max="8701" width="30.5703125" style="2" customWidth="1"/>
    <col min="8702" max="8702" width="33.85546875" style="2" customWidth="1"/>
    <col min="8703" max="8703" width="5.140625" style="2" customWidth="1"/>
    <col min="8704" max="8705" width="17.5703125" style="2" customWidth="1"/>
    <col min="8706" max="8949" width="9.140625" style="2"/>
    <col min="8950" max="8950" width="3.5703125" style="2" customWidth="1"/>
    <col min="8951" max="8951" width="96.85546875" style="2" customWidth="1"/>
    <col min="8952" max="8952" width="30.85546875" style="2" customWidth="1"/>
    <col min="8953" max="8953" width="12.5703125" style="2" customWidth="1"/>
    <col min="8954" max="8954" width="5.140625" style="2" customWidth="1"/>
    <col min="8955" max="8955" width="9.140625" style="2"/>
    <col min="8956" max="8956" width="4.85546875" style="2" customWidth="1"/>
    <col min="8957" max="8957" width="30.5703125" style="2" customWidth="1"/>
    <col min="8958" max="8958" width="33.85546875" style="2" customWidth="1"/>
    <col min="8959" max="8959" width="5.140625" style="2" customWidth="1"/>
    <col min="8960" max="8961" width="17.5703125" style="2" customWidth="1"/>
    <col min="8962" max="9205" width="9.140625" style="2"/>
    <col min="9206" max="9206" width="3.5703125" style="2" customWidth="1"/>
    <col min="9207" max="9207" width="96.85546875" style="2" customWidth="1"/>
    <col min="9208" max="9208" width="30.85546875" style="2" customWidth="1"/>
    <col min="9209" max="9209" width="12.5703125" style="2" customWidth="1"/>
    <col min="9210" max="9210" width="5.140625" style="2" customWidth="1"/>
    <col min="9211" max="9211" width="9.140625" style="2"/>
    <col min="9212" max="9212" width="4.85546875" style="2" customWidth="1"/>
    <col min="9213" max="9213" width="30.5703125" style="2" customWidth="1"/>
    <col min="9214" max="9214" width="33.85546875" style="2" customWidth="1"/>
    <col min="9215" max="9215" width="5.140625" style="2" customWidth="1"/>
    <col min="9216" max="9217" width="17.5703125" style="2" customWidth="1"/>
    <col min="9218" max="9461" width="9.140625" style="2"/>
    <col min="9462" max="9462" width="3.5703125" style="2" customWidth="1"/>
    <col min="9463" max="9463" width="96.85546875" style="2" customWidth="1"/>
    <col min="9464" max="9464" width="30.85546875" style="2" customWidth="1"/>
    <col min="9465" max="9465" width="12.5703125" style="2" customWidth="1"/>
    <col min="9466" max="9466" width="5.140625" style="2" customWidth="1"/>
    <col min="9467" max="9467" width="9.140625" style="2"/>
    <col min="9468" max="9468" width="4.85546875" style="2" customWidth="1"/>
    <col min="9469" max="9469" width="30.5703125" style="2" customWidth="1"/>
    <col min="9470" max="9470" width="33.85546875" style="2" customWidth="1"/>
    <col min="9471" max="9471" width="5.140625" style="2" customWidth="1"/>
    <col min="9472" max="9473" width="17.5703125" style="2" customWidth="1"/>
    <col min="9474" max="9717" width="9.140625" style="2"/>
    <col min="9718" max="9718" width="3.5703125" style="2" customWidth="1"/>
    <col min="9719" max="9719" width="96.85546875" style="2" customWidth="1"/>
    <col min="9720" max="9720" width="30.85546875" style="2" customWidth="1"/>
    <col min="9721" max="9721" width="12.5703125" style="2" customWidth="1"/>
    <col min="9722" max="9722" width="5.140625" style="2" customWidth="1"/>
    <col min="9723" max="9723" width="9.140625" style="2"/>
    <col min="9724" max="9724" width="4.85546875" style="2" customWidth="1"/>
    <col min="9725" max="9725" width="30.5703125" style="2" customWidth="1"/>
    <col min="9726" max="9726" width="33.85546875" style="2" customWidth="1"/>
    <col min="9727" max="9727" width="5.140625" style="2" customWidth="1"/>
    <col min="9728" max="9729" width="17.5703125" style="2" customWidth="1"/>
    <col min="9730" max="9973" width="9.140625" style="2"/>
    <col min="9974" max="9974" width="3.5703125" style="2" customWidth="1"/>
    <col min="9975" max="9975" width="96.85546875" style="2" customWidth="1"/>
    <col min="9976" max="9976" width="30.85546875" style="2" customWidth="1"/>
    <col min="9977" max="9977" width="12.5703125" style="2" customWidth="1"/>
    <col min="9978" max="9978" width="5.140625" style="2" customWidth="1"/>
    <col min="9979" max="9979" width="9.140625" style="2"/>
    <col min="9980" max="9980" width="4.85546875" style="2" customWidth="1"/>
    <col min="9981" max="9981" width="30.5703125" style="2" customWidth="1"/>
    <col min="9982" max="9982" width="33.85546875" style="2" customWidth="1"/>
    <col min="9983" max="9983" width="5.140625" style="2" customWidth="1"/>
    <col min="9984" max="9985" width="17.5703125" style="2" customWidth="1"/>
    <col min="9986" max="10229" width="9.140625" style="2"/>
    <col min="10230" max="10230" width="3.5703125" style="2" customWidth="1"/>
    <col min="10231" max="10231" width="96.85546875" style="2" customWidth="1"/>
    <col min="10232" max="10232" width="30.85546875" style="2" customWidth="1"/>
    <col min="10233" max="10233" width="12.5703125" style="2" customWidth="1"/>
    <col min="10234" max="10234" width="5.140625" style="2" customWidth="1"/>
    <col min="10235" max="10235" width="9.140625" style="2"/>
    <col min="10236" max="10236" width="4.85546875" style="2" customWidth="1"/>
    <col min="10237" max="10237" width="30.5703125" style="2" customWidth="1"/>
    <col min="10238" max="10238" width="33.85546875" style="2" customWidth="1"/>
    <col min="10239" max="10239" width="5.140625" style="2" customWidth="1"/>
    <col min="10240" max="10241" width="17.5703125" style="2" customWidth="1"/>
    <col min="10242" max="10485" width="9.140625" style="2"/>
    <col min="10486" max="10486" width="3.5703125" style="2" customWidth="1"/>
    <col min="10487" max="10487" width="96.85546875" style="2" customWidth="1"/>
    <col min="10488" max="10488" width="30.85546875" style="2" customWidth="1"/>
    <col min="10489" max="10489" width="12.5703125" style="2" customWidth="1"/>
    <col min="10490" max="10490" width="5.140625" style="2" customWidth="1"/>
    <col min="10491" max="10491" width="9.140625" style="2"/>
    <col min="10492" max="10492" width="4.85546875" style="2" customWidth="1"/>
    <col min="10493" max="10493" width="30.5703125" style="2" customWidth="1"/>
    <col min="10494" max="10494" width="33.85546875" style="2" customWidth="1"/>
    <col min="10495" max="10495" width="5.140625" style="2" customWidth="1"/>
    <col min="10496" max="10497" width="17.5703125" style="2" customWidth="1"/>
    <col min="10498" max="10741" width="9.140625" style="2"/>
    <col min="10742" max="10742" width="3.5703125" style="2" customWidth="1"/>
    <col min="10743" max="10743" width="96.85546875" style="2" customWidth="1"/>
    <col min="10744" max="10744" width="30.85546875" style="2" customWidth="1"/>
    <col min="10745" max="10745" width="12.5703125" style="2" customWidth="1"/>
    <col min="10746" max="10746" width="5.140625" style="2" customWidth="1"/>
    <col min="10747" max="10747" width="9.140625" style="2"/>
    <col min="10748" max="10748" width="4.85546875" style="2" customWidth="1"/>
    <col min="10749" max="10749" width="30.5703125" style="2" customWidth="1"/>
    <col min="10750" max="10750" width="33.85546875" style="2" customWidth="1"/>
    <col min="10751" max="10751" width="5.140625" style="2" customWidth="1"/>
    <col min="10752" max="10753" width="17.5703125" style="2" customWidth="1"/>
    <col min="10754" max="10997" width="9.140625" style="2"/>
    <col min="10998" max="10998" width="3.5703125" style="2" customWidth="1"/>
    <col min="10999" max="10999" width="96.85546875" style="2" customWidth="1"/>
    <col min="11000" max="11000" width="30.85546875" style="2" customWidth="1"/>
    <col min="11001" max="11001" width="12.5703125" style="2" customWidth="1"/>
    <col min="11002" max="11002" width="5.140625" style="2" customWidth="1"/>
    <col min="11003" max="11003" width="9.140625" style="2"/>
    <col min="11004" max="11004" width="4.85546875" style="2" customWidth="1"/>
    <col min="11005" max="11005" width="30.5703125" style="2" customWidth="1"/>
    <col min="11006" max="11006" width="33.85546875" style="2" customWidth="1"/>
    <col min="11007" max="11007" width="5.140625" style="2" customWidth="1"/>
    <col min="11008" max="11009" width="17.5703125" style="2" customWidth="1"/>
    <col min="11010" max="11253" width="9.140625" style="2"/>
    <col min="11254" max="11254" width="3.5703125" style="2" customWidth="1"/>
    <col min="11255" max="11255" width="96.85546875" style="2" customWidth="1"/>
    <col min="11256" max="11256" width="30.85546875" style="2" customWidth="1"/>
    <col min="11257" max="11257" width="12.5703125" style="2" customWidth="1"/>
    <col min="11258" max="11258" width="5.140625" style="2" customWidth="1"/>
    <col min="11259" max="11259" width="9.140625" style="2"/>
    <col min="11260" max="11260" width="4.85546875" style="2" customWidth="1"/>
    <col min="11261" max="11261" width="30.5703125" style="2" customWidth="1"/>
    <col min="11262" max="11262" width="33.85546875" style="2" customWidth="1"/>
    <col min="11263" max="11263" width="5.140625" style="2" customWidth="1"/>
    <col min="11264" max="11265" width="17.5703125" style="2" customWidth="1"/>
    <col min="11266" max="11509" width="9.140625" style="2"/>
    <col min="11510" max="11510" width="3.5703125" style="2" customWidth="1"/>
    <col min="11511" max="11511" width="96.85546875" style="2" customWidth="1"/>
    <col min="11512" max="11512" width="30.85546875" style="2" customWidth="1"/>
    <col min="11513" max="11513" width="12.5703125" style="2" customWidth="1"/>
    <col min="11514" max="11514" width="5.140625" style="2" customWidth="1"/>
    <col min="11515" max="11515" width="9.140625" style="2"/>
    <col min="11516" max="11516" width="4.85546875" style="2" customWidth="1"/>
    <col min="11517" max="11517" width="30.5703125" style="2" customWidth="1"/>
    <col min="11518" max="11518" width="33.85546875" style="2" customWidth="1"/>
    <col min="11519" max="11519" width="5.140625" style="2" customWidth="1"/>
    <col min="11520" max="11521" width="17.5703125" style="2" customWidth="1"/>
    <col min="11522" max="11765" width="9.140625" style="2"/>
    <col min="11766" max="11766" width="3.5703125" style="2" customWidth="1"/>
    <col min="11767" max="11767" width="96.85546875" style="2" customWidth="1"/>
    <col min="11768" max="11768" width="30.85546875" style="2" customWidth="1"/>
    <col min="11769" max="11769" width="12.5703125" style="2" customWidth="1"/>
    <col min="11770" max="11770" width="5.140625" style="2" customWidth="1"/>
    <col min="11771" max="11771" width="9.140625" style="2"/>
    <col min="11772" max="11772" width="4.85546875" style="2" customWidth="1"/>
    <col min="11773" max="11773" width="30.5703125" style="2" customWidth="1"/>
    <col min="11774" max="11774" width="33.85546875" style="2" customWidth="1"/>
    <col min="11775" max="11775" width="5.140625" style="2" customWidth="1"/>
    <col min="11776" max="11777" width="17.5703125" style="2" customWidth="1"/>
    <col min="11778" max="12021" width="9.140625" style="2"/>
    <col min="12022" max="12022" width="3.5703125" style="2" customWidth="1"/>
    <col min="12023" max="12023" width="96.85546875" style="2" customWidth="1"/>
    <col min="12024" max="12024" width="30.85546875" style="2" customWidth="1"/>
    <col min="12025" max="12025" width="12.5703125" style="2" customWidth="1"/>
    <col min="12026" max="12026" width="5.140625" style="2" customWidth="1"/>
    <col min="12027" max="12027" width="9.140625" style="2"/>
    <col min="12028" max="12028" width="4.85546875" style="2" customWidth="1"/>
    <col min="12029" max="12029" width="30.5703125" style="2" customWidth="1"/>
    <col min="12030" max="12030" width="33.85546875" style="2" customWidth="1"/>
    <col min="12031" max="12031" width="5.140625" style="2" customWidth="1"/>
    <col min="12032" max="12033" width="17.5703125" style="2" customWidth="1"/>
    <col min="12034" max="12277" width="9.140625" style="2"/>
    <col min="12278" max="12278" width="3.5703125" style="2" customWidth="1"/>
    <col min="12279" max="12279" width="96.85546875" style="2" customWidth="1"/>
    <col min="12280" max="12280" width="30.85546875" style="2" customWidth="1"/>
    <col min="12281" max="12281" width="12.5703125" style="2" customWidth="1"/>
    <col min="12282" max="12282" width="5.140625" style="2" customWidth="1"/>
    <col min="12283" max="12283" width="9.140625" style="2"/>
    <col min="12284" max="12284" width="4.85546875" style="2" customWidth="1"/>
    <col min="12285" max="12285" width="30.5703125" style="2" customWidth="1"/>
    <col min="12286" max="12286" width="33.85546875" style="2" customWidth="1"/>
    <col min="12287" max="12287" width="5.140625" style="2" customWidth="1"/>
    <col min="12288" max="12289" width="17.5703125" style="2" customWidth="1"/>
    <col min="12290" max="12533" width="9.140625" style="2"/>
    <col min="12534" max="12534" width="3.5703125" style="2" customWidth="1"/>
    <col min="12535" max="12535" width="96.85546875" style="2" customWidth="1"/>
    <col min="12536" max="12536" width="30.85546875" style="2" customWidth="1"/>
    <col min="12537" max="12537" width="12.5703125" style="2" customWidth="1"/>
    <col min="12538" max="12538" width="5.140625" style="2" customWidth="1"/>
    <col min="12539" max="12539" width="9.140625" style="2"/>
    <col min="12540" max="12540" width="4.85546875" style="2" customWidth="1"/>
    <col min="12541" max="12541" width="30.5703125" style="2" customWidth="1"/>
    <col min="12542" max="12542" width="33.85546875" style="2" customWidth="1"/>
    <col min="12543" max="12543" width="5.140625" style="2" customWidth="1"/>
    <col min="12544" max="12545" width="17.5703125" style="2" customWidth="1"/>
    <col min="12546" max="12789" width="9.140625" style="2"/>
    <col min="12790" max="12790" width="3.5703125" style="2" customWidth="1"/>
    <col min="12791" max="12791" width="96.85546875" style="2" customWidth="1"/>
    <col min="12792" max="12792" width="30.85546875" style="2" customWidth="1"/>
    <col min="12793" max="12793" width="12.5703125" style="2" customWidth="1"/>
    <col min="12794" max="12794" width="5.140625" style="2" customWidth="1"/>
    <col min="12795" max="12795" width="9.140625" style="2"/>
    <col min="12796" max="12796" width="4.85546875" style="2" customWidth="1"/>
    <col min="12797" max="12797" width="30.5703125" style="2" customWidth="1"/>
    <col min="12798" max="12798" width="33.85546875" style="2" customWidth="1"/>
    <col min="12799" max="12799" width="5.140625" style="2" customWidth="1"/>
    <col min="12800" max="12801" width="17.5703125" style="2" customWidth="1"/>
    <col min="12802" max="13045" width="9.140625" style="2"/>
    <col min="13046" max="13046" width="3.5703125" style="2" customWidth="1"/>
    <col min="13047" max="13047" width="96.85546875" style="2" customWidth="1"/>
    <col min="13048" max="13048" width="30.85546875" style="2" customWidth="1"/>
    <col min="13049" max="13049" width="12.5703125" style="2" customWidth="1"/>
    <col min="13050" max="13050" width="5.140625" style="2" customWidth="1"/>
    <col min="13051" max="13051" width="9.140625" style="2"/>
    <col min="13052" max="13052" width="4.85546875" style="2" customWidth="1"/>
    <col min="13053" max="13053" width="30.5703125" style="2" customWidth="1"/>
    <col min="13054" max="13054" width="33.85546875" style="2" customWidth="1"/>
    <col min="13055" max="13055" width="5.140625" style="2" customWidth="1"/>
    <col min="13056" max="13057" width="17.5703125" style="2" customWidth="1"/>
    <col min="13058" max="13301" width="9.140625" style="2"/>
    <col min="13302" max="13302" width="3.5703125" style="2" customWidth="1"/>
    <col min="13303" max="13303" width="96.85546875" style="2" customWidth="1"/>
    <col min="13304" max="13304" width="30.85546875" style="2" customWidth="1"/>
    <col min="13305" max="13305" width="12.5703125" style="2" customWidth="1"/>
    <col min="13306" max="13306" width="5.140625" style="2" customWidth="1"/>
    <col min="13307" max="13307" width="9.140625" style="2"/>
    <col min="13308" max="13308" width="4.85546875" style="2" customWidth="1"/>
    <col min="13309" max="13309" width="30.5703125" style="2" customWidth="1"/>
    <col min="13310" max="13310" width="33.85546875" style="2" customWidth="1"/>
    <col min="13311" max="13311" width="5.140625" style="2" customWidth="1"/>
    <col min="13312" max="13313" width="17.5703125" style="2" customWidth="1"/>
    <col min="13314" max="13557" width="9.140625" style="2"/>
    <col min="13558" max="13558" width="3.5703125" style="2" customWidth="1"/>
    <col min="13559" max="13559" width="96.85546875" style="2" customWidth="1"/>
    <col min="13560" max="13560" width="30.85546875" style="2" customWidth="1"/>
    <col min="13561" max="13561" width="12.5703125" style="2" customWidth="1"/>
    <col min="13562" max="13562" width="5.140625" style="2" customWidth="1"/>
    <col min="13563" max="13563" width="9.140625" style="2"/>
    <col min="13564" max="13564" width="4.85546875" style="2" customWidth="1"/>
    <col min="13565" max="13565" width="30.5703125" style="2" customWidth="1"/>
    <col min="13566" max="13566" width="33.85546875" style="2" customWidth="1"/>
    <col min="13567" max="13567" width="5.140625" style="2" customWidth="1"/>
    <col min="13568" max="13569" width="17.5703125" style="2" customWidth="1"/>
    <col min="13570" max="13813" width="9.140625" style="2"/>
    <col min="13814" max="13814" width="3.5703125" style="2" customWidth="1"/>
    <col min="13815" max="13815" width="96.85546875" style="2" customWidth="1"/>
    <col min="13816" max="13816" width="30.85546875" style="2" customWidth="1"/>
    <col min="13817" max="13817" width="12.5703125" style="2" customWidth="1"/>
    <col min="13818" max="13818" width="5.140625" style="2" customWidth="1"/>
    <col min="13819" max="13819" width="9.140625" style="2"/>
    <col min="13820" max="13820" width="4.85546875" style="2" customWidth="1"/>
    <col min="13821" max="13821" width="30.5703125" style="2" customWidth="1"/>
    <col min="13822" max="13822" width="33.85546875" style="2" customWidth="1"/>
    <col min="13823" max="13823" width="5.140625" style="2" customWidth="1"/>
    <col min="13824" max="13825" width="17.5703125" style="2" customWidth="1"/>
    <col min="13826" max="14069" width="9.140625" style="2"/>
    <col min="14070" max="14070" width="3.5703125" style="2" customWidth="1"/>
    <col min="14071" max="14071" width="96.85546875" style="2" customWidth="1"/>
    <col min="14072" max="14072" width="30.85546875" style="2" customWidth="1"/>
    <col min="14073" max="14073" width="12.5703125" style="2" customWidth="1"/>
    <col min="14074" max="14074" width="5.140625" style="2" customWidth="1"/>
    <col min="14075" max="14075" width="9.140625" style="2"/>
    <col min="14076" max="14076" width="4.85546875" style="2" customWidth="1"/>
    <col min="14077" max="14077" width="30.5703125" style="2" customWidth="1"/>
    <col min="14078" max="14078" width="33.85546875" style="2" customWidth="1"/>
    <col min="14079" max="14079" width="5.140625" style="2" customWidth="1"/>
    <col min="14080" max="14081" width="17.5703125" style="2" customWidth="1"/>
    <col min="14082" max="14325" width="9.140625" style="2"/>
    <col min="14326" max="14326" width="3.5703125" style="2" customWidth="1"/>
    <col min="14327" max="14327" width="96.85546875" style="2" customWidth="1"/>
    <col min="14328" max="14328" width="30.85546875" style="2" customWidth="1"/>
    <col min="14329" max="14329" width="12.5703125" style="2" customWidth="1"/>
    <col min="14330" max="14330" width="5.140625" style="2" customWidth="1"/>
    <col min="14331" max="14331" width="9.140625" style="2"/>
    <col min="14332" max="14332" width="4.85546875" style="2" customWidth="1"/>
    <col min="14333" max="14333" width="30.5703125" style="2" customWidth="1"/>
    <col min="14334" max="14334" width="33.85546875" style="2" customWidth="1"/>
    <col min="14335" max="14335" width="5.140625" style="2" customWidth="1"/>
    <col min="14336" max="14337" width="17.5703125" style="2" customWidth="1"/>
    <col min="14338" max="14581" width="9.140625" style="2"/>
    <col min="14582" max="14582" width="3.5703125" style="2" customWidth="1"/>
    <col min="14583" max="14583" width="96.85546875" style="2" customWidth="1"/>
    <col min="14584" max="14584" width="30.85546875" style="2" customWidth="1"/>
    <col min="14585" max="14585" width="12.5703125" style="2" customWidth="1"/>
    <col min="14586" max="14586" width="5.140625" style="2" customWidth="1"/>
    <col min="14587" max="14587" width="9.140625" style="2"/>
    <col min="14588" max="14588" width="4.85546875" style="2" customWidth="1"/>
    <col min="14589" max="14589" width="30.5703125" style="2" customWidth="1"/>
    <col min="14590" max="14590" width="33.85546875" style="2" customWidth="1"/>
    <col min="14591" max="14591" width="5.140625" style="2" customWidth="1"/>
    <col min="14592" max="14593" width="17.5703125" style="2" customWidth="1"/>
    <col min="14594" max="14837" width="9.140625" style="2"/>
    <col min="14838" max="14838" width="3.5703125" style="2" customWidth="1"/>
    <col min="14839" max="14839" width="96.85546875" style="2" customWidth="1"/>
    <col min="14840" max="14840" width="30.85546875" style="2" customWidth="1"/>
    <col min="14841" max="14841" width="12.5703125" style="2" customWidth="1"/>
    <col min="14842" max="14842" width="5.140625" style="2" customWidth="1"/>
    <col min="14843" max="14843" width="9.140625" style="2"/>
    <col min="14844" max="14844" width="4.85546875" style="2" customWidth="1"/>
    <col min="14845" max="14845" width="30.5703125" style="2" customWidth="1"/>
    <col min="14846" max="14846" width="33.85546875" style="2" customWidth="1"/>
    <col min="14847" max="14847" width="5.140625" style="2" customWidth="1"/>
    <col min="14848" max="14849" width="17.5703125" style="2" customWidth="1"/>
    <col min="14850" max="15093" width="9.140625" style="2"/>
    <col min="15094" max="15094" width="3.5703125" style="2" customWidth="1"/>
    <col min="15095" max="15095" width="96.85546875" style="2" customWidth="1"/>
    <col min="15096" max="15096" width="30.85546875" style="2" customWidth="1"/>
    <col min="15097" max="15097" width="12.5703125" style="2" customWidth="1"/>
    <col min="15098" max="15098" width="5.140625" style="2" customWidth="1"/>
    <col min="15099" max="15099" width="9.140625" style="2"/>
    <col min="15100" max="15100" width="4.85546875" style="2" customWidth="1"/>
    <col min="15101" max="15101" width="30.5703125" style="2" customWidth="1"/>
    <col min="15102" max="15102" width="33.85546875" style="2" customWidth="1"/>
    <col min="15103" max="15103" width="5.140625" style="2" customWidth="1"/>
    <col min="15104" max="15105" width="17.5703125" style="2" customWidth="1"/>
    <col min="15106" max="15349" width="9.140625" style="2"/>
    <col min="15350" max="15350" width="3.5703125" style="2" customWidth="1"/>
    <col min="15351" max="15351" width="96.85546875" style="2" customWidth="1"/>
    <col min="15352" max="15352" width="30.85546875" style="2" customWidth="1"/>
    <col min="15353" max="15353" width="12.5703125" style="2" customWidth="1"/>
    <col min="15354" max="15354" width="5.140625" style="2" customWidth="1"/>
    <col min="15355" max="15355" width="9.140625" style="2"/>
    <col min="15356" max="15356" width="4.85546875" style="2" customWidth="1"/>
    <col min="15357" max="15357" width="30.5703125" style="2" customWidth="1"/>
    <col min="15358" max="15358" width="33.85546875" style="2" customWidth="1"/>
    <col min="15359" max="15359" width="5.140625" style="2" customWidth="1"/>
    <col min="15360" max="15361" width="17.5703125" style="2" customWidth="1"/>
    <col min="15362" max="15605" width="9.140625" style="2"/>
    <col min="15606" max="15606" width="3.5703125" style="2" customWidth="1"/>
    <col min="15607" max="15607" width="96.85546875" style="2" customWidth="1"/>
    <col min="15608" max="15608" width="30.85546875" style="2" customWidth="1"/>
    <col min="15609" max="15609" width="12.5703125" style="2" customWidth="1"/>
    <col min="15610" max="15610" width="5.140625" style="2" customWidth="1"/>
    <col min="15611" max="15611" width="9.140625" style="2"/>
    <col min="15612" max="15612" width="4.85546875" style="2" customWidth="1"/>
    <col min="15613" max="15613" width="30.5703125" style="2" customWidth="1"/>
    <col min="15614" max="15614" width="33.85546875" style="2" customWidth="1"/>
    <col min="15615" max="15615" width="5.140625" style="2" customWidth="1"/>
    <col min="15616" max="15617" width="17.5703125" style="2" customWidth="1"/>
    <col min="15618" max="15861" width="9.140625" style="2"/>
    <col min="15862" max="15862" width="3.5703125" style="2" customWidth="1"/>
    <col min="15863" max="15863" width="96.85546875" style="2" customWidth="1"/>
    <col min="15864" max="15864" width="30.85546875" style="2" customWidth="1"/>
    <col min="15865" max="15865" width="12.5703125" style="2" customWidth="1"/>
    <col min="15866" max="15866" width="5.140625" style="2" customWidth="1"/>
    <col min="15867" max="15867" width="9.140625" style="2"/>
    <col min="15868" max="15868" width="4.85546875" style="2" customWidth="1"/>
    <col min="15869" max="15869" width="30.5703125" style="2" customWidth="1"/>
    <col min="15870" max="15870" width="33.85546875" style="2" customWidth="1"/>
    <col min="15871" max="15871" width="5.140625" style="2" customWidth="1"/>
    <col min="15872" max="15873" width="17.5703125" style="2" customWidth="1"/>
    <col min="15874" max="16117" width="9.140625" style="2"/>
    <col min="16118" max="16118" width="3.5703125" style="2" customWidth="1"/>
    <col min="16119" max="16119" width="96.85546875" style="2" customWidth="1"/>
    <col min="16120" max="16120" width="30.85546875" style="2" customWidth="1"/>
    <col min="16121" max="16121" width="12.5703125" style="2" customWidth="1"/>
    <col min="16122" max="16122" width="5.140625" style="2" customWidth="1"/>
    <col min="16123" max="16123" width="9.140625" style="2"/>
    <col min="16124" max="16124" width="4.85546875" style="2" customWidth="1"/>
    <col min="16125" max="16125" width="30.5703125" style="2" customWidth="1"/>
    <col min="16126" max="16126" width="33.85546875" style="2" customWidth="1"/>
    <col min="16127" max="16127" width="5.140625" style="2" customWidth="1"/>
    <col min="16128" max="16129" width="17.5703125" style="2" customWidth="1"/>
    <col min="16130" max="16384" width="9.140625" style="2"/>
  </cols>
  <sheetData>
    <row r="1" spans="1:3" ht="48" customHeight="1" x14ac:dyDescent="0.2">
      <c r="A1" s="1"/>
      <c r="B1" s="143" t="s">
        <v>0</v>
      </c>
      <c r="C1" s="143"/>
    </row>
    <row r="2" spans="1:3" x14ac:dyDescent="0.2">
      <c r="A2" s="3"/>
      <c r="B2" s="4" t="s">
        <v>1</v>
      </c>
      <c r="C2" s="5">
        <v>46052</v>
      </c>
    </row>
    <row r="3" spans="1:3" x14ac:dyDescent="0.2">
      <c r="A3" s="3"/>
      <c r="B3" s="6" t="s">
        <v>2</v>
      </c>
    </row>
    <row r="4" spans="1:3" ht="25.5" x14ac:dyDescent="0.2">
      <c r="A4" s="8"/>
      <c r="B4" s="9" t="str">
        <f>[42]И1!D13</f>
        <v>Субъект Российской Федерации</v>
      </c>
      <c r="C4" s="10" t="str">
        <f>[42]И1!E13</f>
        <v>Новосибирская область</v>
      </c>
    </row>
    <row r="5" spans="1:3" ht="51.75" customHeight="1" x14ac:dyDescent="0.2">
      <c r="A5" s="8"/>
      <c r="B5" s="9" t="str">
        <f>[42]И1!D14</f>
        <v>Тип муниципального образования (выберите из списка)</v>
      </c>
      <c r="C5" s="10" t="str">
        <f>[12]И1!E14</f>
        <v>поселок Агролес, Искитимский муниципальный район</v>
      </c>
    </row>
    <row r="6" spans="1:3" x14ac:dyDescent="0.2">
      <c r="A6" s="8"/>
      <c r="B6" s="9" t="str">
        <f>IF([42]И1!E15="","",[42]И1!D15)</f>
        <v/>
      </c>
      <c r="C6" s="10">
        <f>IF([42]И1!E15="","",[42]И1!E15)</f>
        <v>0</v>
      </c>
    </row>
    <row r="7" spans="1:3" x14ac:dyDescent="0.2">
      <c r="A7" s="8"/>
      <c r="B7" s="9" t="str">
        <f>[42]И1!D16</f>
        <v>Код ОКТМО</v>
      </c>
      <c r="C7" s="11" t="str">
        <f>[12]И1!E16</f>
        <v xml:space="preserve"> (50615417101)</v>
      </c>
    </row>
    <row r="8" spans="1:3" x14ac:dyDescent="0.2">
      <c r="A8" s="8"/>
      <c r="B8" s="12" t="str">
        <f>[42]И1!D17</f>
        <v>Система теплоснабжения</v>
      </c>
      <c r="C8" s="13">
        <f>[42]И1!E17</f>
        <v>0</v>
      </c>
    </row>
    <row r="9" spans="1:3" x14ac:dyDescent="0.2">
      <c r="A9" s="8"/>
      <c r="B9" s="9" t="str">
        <f>[42]И1!D8</f>
        <v>Период регулирования (i)-й</v>
      </c>
      <c r="C9" s="14">
        <f>[42]И1!E8</f>
        <v>2026</v>
      </c>
    </row>
    <row r="10" spans="1:3" x14ac:dyDescent="0.2">
      <c r="A10" s="8"/>
      <c r="B10" s="9" t="str">
        <f>[42]И1!D9</f>
        <v>Период регулирования (i-1)-й</v>
      </c>
      <c r="C10" s="14">
        <f>[42]И1!E9</f>
        <v>2025</v>
      </c>
    </row>
    <row r="11" spans="1:3" x14ac:dyDescent="0.2">
      <c r="A11" s="8"/>
      <c r="B11" s="9" t="str">
        <f>[42]И1!D10</f>
        <v>Период регулирования (i-2)-й</v>
      </c>
      <c r="C11" s="14">
        <f>[42]И1!E10</f>
        <v>2024</v>
      </c>
    </row>
    <row r="12" spans="1:3" x14ac:dyDescent="0.2">
      <c r="A12" s="8"/>
      <c r="B12" s="9" t="str">
        <f>[42]И1!D11</f>
        <v>Базовый год (б)</v>
      </c>
      <c r="C12" s="14">
        <f>[42]И1!E11</f>
        <v>2019</v>
      </c>
    </row>
    <row r="13" spans="1:3" x14ac:dyDescent="0.2">
      <c r="A13" s="8"/>
      <c r="B13" s="9" t="str">
        <f>[42]И1!D18</f>
        <v>Вид топлива, использование которого преобладает в системе теплоснабжения</v>
      </c>
      <c r="C13" s="15" t="str">
        <f>[42]С1.1!E13</f>
        <v>каменный уголь</v>
      </c>
    </row>
    <row r="14" spans="1:3" ht="31.7" customHeight="1" thickBot="1" x14ac:dyDescent="0.25">
      <c r="A14" s="142" t="s">
        <v>3</v>
      </c>
      <c r="B14" s="142"/>
      <c r="C14" s="142"/>
    </row>
    <row r="15" spans="1:3" x14ac:dyDescent="0.2">
      <c r="A15" s="16" t="s">
        <v>4</v>
      </c>
      <c r="B15" s="17" t="s">
        <v>5</v>
      </c>
      <c r="C15" s="18" t="s">
        <v>6</v>
      </c>
    </row>
    <row r="16" spans="1:3" x14ac:dyDescent="0.2">
      <c r="A16" s="19">
        <v>1</v>
      </c>
      <c r="B16" s="20">
        <v>2</v>
      </c>
      <c r="C16" s="21">
        <v>3</v>
      </c>
    </row>
    <row r="17" spans="1:3" x14ac:dyDescent="0.2">
      <c r="A17" s="22">
        <v>1</v>
      </c>
      <c r="B17" s="23" t="s">
        <v>7</v>
      </c>
      <c r="C17" s="24">
        <f>SUM(C18:C22)</f>
        <v>5383.8451138596974</v>
      </c>
    </row>
    <row r="18" spans="1:3" ht="42.75" x14ac:dyDescent="0.2">
      <c r="A18" s="22" t="s">
        <v>8</v>
      </c>
      <c r="B18" s="25" t="s">
        <v>9</v>
      </c>
      <c r="C18" s="26">
        <f>[42]С1!F12</f>
        <v>720.34893333841308</v>
      </c>
    </row>
    <row r="19" spans="1:3" ht="42.75" x14ac:dyDescent="0.2">
      <c r="A19" s="22" t="s">
        <v>10</v>
      </c>
      <c r="B19" s="25" t="s">
        <v>11</v>
      </c>
      <c r="C19" s="26">
        <f>[42]С2!F12</f>
        <v>3097.7824122172187</v>
      </c>
    </row>
    <row r="20" spans="1:3" ht="30" x14ac:dyDescent="0.2">
      <c r="A20" s="22" t="s">
        <v>12</v>
      </c>
      <c r="B20" s="25" t="s">
        <v>13</v>
      </c>
      <c r="C20" s="26">
        <f>[42]С3!F12</f>
        <v>940.47266370947932</v>
      </c>
    </row>
    <row r="21" spans="1:3" ht="42.75" x14ac:dyDescent="0.2">
      <c r="A21" s="22" t="s">
        <v>14</v>
      </c>
      <c r="B21" s="25" t="s">
        <v>15</v>
      </c>
      <c r="C21" s="26">
        <f>[42]С4!F12</f>
        <v>519.67551412674948</v>
      </c>
    </row>
    <row r="22" spans="1:3" ht="30" x14ac:dyDescent="0.2">
      <c r="A22" s="22" t="s">
        <v>16</v>
      </c>
      <c r="B22" s="25" t="s">
        <v>17</v>
      </c>
      <c r="C22" s="26">
        <f>[42]С5!F12</f>
        <v>105.56559046783721</v>
      </c>
    </row>
    <row r="23" spans="1:3" ht="43.5" thickBot="1" x14ac:dyDescent="0.25">
      <c r="A23" s="27" t="s">
        <v>18</v>
      </c>
      <c r="B23" s="140" t="s">
        <v>19</v>
      </c>
      <c r="C23" s="28" t="str">
        <f>[42]С6!F12</f>
        <v>-</v>
      </c>
    </row>
    <row r="24" spans="1:3" ht="13.5" thickBot="1" x14ac:dyDescent="0.25">
      <c r="A24" s="3"/>
    </row>
    <row r="25" spans="1:3" x14ac:dyDescent="0.2">
      <c r="A25" s="16" t="s">
        <v>4</v>
      </c>
      <c r="B25" s="29" t="s">
        <v>5</v>
      </c>
      <c r="C25" s="30" t="s">
        <v>6</v>
      </c>
    </row>
    <row r="26" spans="1:3" x14ac:dyDescent="0.2">
      <c r="A26" s="19">
        <v>1</v>
      </c>
      <c r="B26" s="31">
        <v>2</v>
      </c>
      <c r="C26" s="32">
        <v>3</v>
      </c>
    </row>
    <row r="27" spans="1:3" ht="39.75" customHeight="1" x14ac:dyDescent="0.2">
      <c r="A27" s="22">
        <v>1</v>
      </c>
      <c r="B27" s="144" t="s">
        <v>20</v>
      </c>
      <c r="C27" s="144"/>
    </row>
    <row r="28" spans="1:3" ht="128.25" customHeight="1" x14ac:dyDescent="0.2">
      <c r="A28" s="22" t="s">
        <v>8</v>
      </c>
      <c r="B28" s="33" t="s">
        <v>21</v>
      </c>
      <c r="C28" s="34">
        <f>[42]С1.1!E16</f>
        <v>5100</v>
      </c>
    </row>
    <row r="29" spans="1:3" ht="57.75" customHeight="1" x14ac:dyDescent="0.2">
      <c r="A29" s="22" t="s">
        <v>10</v>
      </c>
      <c r="B29" s="33" t="s">
        <v>22</v>
      </c>
      <c r="C29" s="34">
        <f>[42]С1.1!E27</f>
        <v>3098</v>
      </c>
    </row>
    <row r="30" spans="1:3" ht="261.75" customHeight="1" x14ac:dyDescent="0.2">
      <c r="A30" s="22" t="s">
        <v>12</v>
      </c>
      <c r="B30" s="33" t="s">
        <v>23</v>
      </c>
      <c r="C30" s="35">
        <f>[42]С1.1!E19</f>
        <v>-0.11899999999999999</v>
      </c>
    </row>
    <row r="31" spans="1:3" ht="17.25" x14ac:dyDescent="0.2">
      <c r="A31" s="22" t="s">
        <v>14</v>
      </c>
      <c r="B31" s="33" t="s">
        <v>24</v>
      </c>
      <c r="C31" s="35">
        <f>[42]С1.1!E20</f>
        <v>4.0000000000000001E-3</v>
      </c>
    </row>
    <row r="32" spans="1:3" ht="30" x14ac:dyDescent="0.2">
      <c r="A32" s="22" t="s">
        <v>16</v>
      </c>
      <c r="B32" s="36" t="s">
        <v>25</v>
      </c>
      <c r="C32" s="37">
        <f>[42]С1!F13</f>
        <v>176.4</v>
      </c>
    </row>
    <row r="33" spans="1:3" x14ac:dyDescent="0.2">
      <c r="A33" s="22" t="s">
        <v>18</v>
      </c>
      <c r="B33" s="36" t="s">
        <v>26</v>
      </c>
      <c r="C33" s="38">
        <f>[42]С1!F16</f>
        <v>7000</v>
      </c>
    </row>
    <row r="34" spans="1:3" ht="14.25" x14ac:dyDescent="0.2">
      <c r="A34" s="22" t="s">
        <v>27</v>
      </c>
      <c r="B34" s="39" t="s">
        <v>28</v>
      </c>
      <c r="C34" s="40">
        <f>[42]С1!F17</f>
        <v>0.72857142857142854</v>
      </c>
    </row>
    <row r="35" spans="1:3" ht="15.75" x14ac:dyDescent="0.2">
      <c r="A35" s="41" t="s">
        <v>29</v>
      </c>
      <c r="B35" s="42" t="s">
        <v>30</v>
      </c>
      <c r="C35" s="40">
        <f>[42]С1!F20</f>
        <v>21.588411179999994</v>
      </c>
    </row>
    <row r="36" spans="1:3" ht="15.75" x14ac:dyDescent="0.2">
      <c r="A36" s="41" t="s">
        <v>31</v>
      </c>
      <c r="B36" s="43" t="s">
        <v>32</v>
      </c>
      <c r="C36" s="40">
        <f>[42]С1!F21</f>
        <v>20.818139999999996</v>
      </c>
    </row>
    <row r="37" spans="1:3" ht="14.25" x14ac:dyDescent="0.2">
      <c r="A37" s="41" t="s">
        <v>33</v>
      </c>
      <c r="B37" s="44" t="s">
        <v>34</v>
      </c>
      <c r="C37" s="40">
        <f>[42]С1!F22</f>
        <v>1.0369999999999999</v>
      </c>
    </row>
    <row r="38" spans="1:3" ht="53.25" thickBot="1" x14ac:dyDescent="0.25">
      <c r="A38" s="27" t="s">
        <v>35</v>
      </c>
      <c r="B38" s="45" t="s">
        <v>36</v>
      </c>
      <c r="C38" s="46">
        <f>[42]С1!F23</f>
        <v>1.0469999999999999</v>
      </c>
    </row>
    <row r="39" spans="1:3" ht="13.5" thickBot="1" x14ac:dyDescent="0.25">
      <c r="A39" s="47"/>
      <c r="B39" s="48"/>
      <c r="C39" s="49"/>
    </row>
    <row r="40" spans="1:3" ht="30" customHeight="1" x14ac:dyDescent="0.2">
      <c r="A40" s="50" t="s">
        <v>37</v>
      </c>
      <c r="B40" s="145" t="s">
        <v>38</v>
      </c>
      <c r="C40" s="145"/>
    </row>
    <row r="41" spans="1:3" ht="25.5" x14ac:dyDescent="0.2">
      <c r="A41" s="22" t="s">
        <v>39</v>
      </c>
      <c r="B41" s="36" t="s">
        <v>40</v>
      </c>
      <c r="C41" s="51" t="str">
        <f>[42]С2.1!E12</f>
        <v>V</v>
      </c>
    </row>
    <row r="42" spans="1:3" ht="233.25" customHeight="1" x14ac:dyDescent="0.2">
      <c r="A42" s="22" t="s">
        <v>41</v>
      </c>
      <c r="B42" s="33" t="s">
        <v>42</v>
      </c>
      <c r="C42" s="51" t="str">
        <f>[42]С2.1!E13</f>
        <v>6 и менее баллов</v>
      </c>
    </row>
    <row r="43" spans="1:3" ht="144.75" customHeight="1" x14ac:dyDescent="0.2">
      <c r="A43" s="22" t="s">
        <v>43</v>
      </c>
      <c r="B43" s="33" t="s">
        <v>44</v>
      </c>
      <c r="C43" s="51" t="str">
        <f>[42]С2.1!E14</f>
        <v>от 200 до 500</v>
      </c>
    </row>
    <row r="44" spans="1:3" ht="25.5" x14ac:dyDescent="0.2">
      <c r="A44" s="22" t="s">
        <v>45</v>
      </c>
      <c r="B44" s="33" t="s">
        <v>46</v>
      </c>
      <c r="C44" s="52" t="str">
        <f>[42]С2.1!E15</f>
        <v>нет</v>
      </c>
    </row>
    <row r="45" spans="1:3" ht="30" x14ac:dyDescent="0.2">
      <c r="A45" s="22" t="s">
        <v>47</v>
      </c>
      <c r="B45" s="33" t="s">
        <v>48</v>
      </c>
      <c r="C45" s="34">
        <f>[42]С2!F18</f>
        <v>40220.845230503684</v>
      </c>
    </row>
    <row r="46" spans="1:3" ht="30" x14ac:dyDescent="0.2">
      <c r="A46" s="22" t="s">
        <v>49</v>
      </c>
      <c r="B46" s="53" t="s">
        <v>50</v>
      </c>
      <c r="C46" s="34">
        <f>IF([42]С2!F19&gt;0,[42]С2!F19,[42]С2!F20)</f>
        <v>23441.524932855718</v>
      </c>
    </row>
    <row r="47" spans="1:3" ht="46.5" customHeight="1" x14ac:dyDescent="0.2">
      <c r="A47" s="22" t="s">
        <v>51</v>
      </c>
      <c r="B47" s="54" t="s">
        <v>52</v>
      </c>
      <c r="C47" s="34">
        <f>[42]С2.1!E19</f>
        <v>-38</v>
      </c>
    </row>
    <row r="48" spans="1:3" ht="25.5" x14ac:dyDescent="0.2">
      <c r="A48" s="22" t="s">
        <v>53</v>
      </c>
      <c r="B48" s="54" t="s">
        <v>54</v>
      </c>
      <c r="C48" s="34" t="str">
        <f>[42]С2.1!E22</f>
        <v>нет</v>
      </c>
    </row>
    <row r="49" spans="1:3" ht="38.25" x14ac:dyDescent="0.2">
      <c r="A49" s="22" t="s">
        <v>55</v>
      </c>
      <c r="B49" s="55" t="s">
        <v>56</v>
      </c>
      <c r="C49" s="34">
        <f>[42]С2.2!E10</f>
        <v>1287</v>
      </c>
    </row>
    <row r="50" spans="1:3" ht="25.5" x14ac:dyDescent="0.2">
      <c r="A50" s="22" t="s">
        <v>57</v>
      </c>
      <c r="B50" s="56" t="s">
        <v>58</v>
      </c>
      <c r="C50" s="34">
        <f>[42]С2.2!E12</f>
        <v>5.97</v>
      </c>
    </row>
    <row r="51" spans="1:3" ht="52.5" x14ac:dyDescent="0.2">
      <c r="A51" s="22" t="s">
        <v>59</v>
      </c>
      <c r="B51" s="57" t="s">
        <v>60</v>
      </c>
      <c r="C51" s="34">
        <f>[42]С2.2!E13</f>
        <v>1</v>
      </c>
    </row>
    <row r="52" spans="1:3" ht="27.75" x14ac:dyDescent="0.2">
      <c r="A52" s="22" t="s">
        <v>61</v>
      </c>
      <c r="B52" s="56" t="s">
        <v>62</v>
      </c>
      <c r="C52" s="34">
        <f>[42]С2.2!E14</f>
        <v>12104</v>
      </c>
    </row>
    <row r="53" spans="1:3" ht="79.5" customHeight="1" x14ac:dyDescent="0.2">
      <c r="A53" s="22" t="s">
        <v>63</v>
      </c>
      <c r="B53" s="57" t="s">
        <v>64</v>
      </c>
      <c r="C53" s="35">
        <f>[42]С2.2!E15</f>
        <v>4.8000000000000001E-2</v>
      </c>
    </row>
    <row r="54" spans="1:3" x14ac:dyDescent="0.2">
      <c r="A54" s="22" t="s">
        <v>65</v>
      </c>
      <c r="B54" s="57" t="s">
        <v>66</v>
      </c>
      <c r="C54" s="34">
        <f>[42]С2.2!E16</f>
        <v>1</v>
      </c>
    </row>
    <row r="55" spans="1:3" ht="15.75" x14ac:dyDescent="0.2">
      <c r="A55" s="22" t="s">
        <v>67</v>
      </c>
      <c r="B55" s="58" t="s">
        <v>68</v>
      </c>
      <c r="C55" s="34">
        <f>[42]С2!F21</f>
        <v>1</v>
      </c>
    </row>
    <row r="56" spans="1:3" ht="30" x14ac:dyDescent="0.2">
      <c r="A56" s="59" t="s">
        <v>69</v>
      </c>
      <c r="B56" s="33" t="s">
        <v>70</v>
      </c>
      <c r="C56" s="34">
        <f>[42]С2!F13</f>
        <v>210571.60987470482</v>
      </c>
    </row>
    <row r="57" spans="1:3" ht="30" x14ac:dyDescent="0.2">
      <c r="A57" s="59" t="s">
        <v>71</v>
      </c>
      <c r="B57" s="58" t="s">
        <v>72</v>
      </c>
      <c r="C57" s="34">
        <f>[42]С2!F14</f>
        <v>113455</v>
      </c>
    </row>
    <row r="58" spans="1:3" ht="15.75" x14ac:dyDescent="0.2">
      <c r="A58" s="59" t="s">
        <v>73</v>
      </c>
      <c r="B58" s="60" t="s">
        <v>74</v>
      </c>
      <c r="C58" s="40">
        <f>[42]С2!F15</f>
        <v>1.071</v>
      </c>
    </row>
    <row r="59" spans="1:3" ht="15.75" x14ac:dyDescent="0.2">
      <c r="A59" s="59" t="s">
        <v>75</v>
      </c>
      <c r="B59" s="60" t="s">
        <v>76</v>
      </c>
      <c r="C59" s="40">
        <f>[42]С2!F16</f>
        <v>1</v>
      </c>
    </row>
    <row r="60" spans="1:3" ht="17.25" x14ac:dyDescent="0.2">
      <c r="A60" s="59" t="s">
        <v>77</v>
      </c>
      <c r="B60" s="58" t="s">
        <v>78</v>
      </c>
      <c r="C60" s="34">
        <f>[42]С2!F17</f>
        <v>1.01</v>
      </c>
    </row>
    <row r="61" spans="1:3" s="63" customFormat="1" ht="14.25" x14ac:dyDescent="0.2">
      <c r="A61" s="59" t="s">
        <v>79</v>
      </c>
      <c r="B61" s="61" t="s">
        <v>80</v>
      </c>
      <c r="C61" s="62">
        <f>[42]С2!F33</f>
        <v>10</v>
      </c>
    </row>
    <row r="62" spans="1:3" ht="30" x14ac:dyDescent="0.2">
      <c r="A62" s="59" t="s">
        <v>81</v>
      </c>
      <c r="B62" s="64" t="s">
        <v>82</v>
      </c>
      <c r="C62" s="34">
        <f>[42]С2!F26</f>
        <v>3185.880383940208</v>
      </c>
    </row>
    <row r="63" spans="1:3" ht="168" customHeight="1" x14ac:dyDescent="0.2">
      <c r="A63" s="59" t="s">
        <v>83</v>
      </c>
      <c r="B63" s="53" t="s">
        <v>84</v>
      </c>
      <c r="C63" s="34">
        <f>[42]С2!F27</f>
        <v>0.44209422600000003</v>
      </c>
    </row>
    <row r="64" spans="1:3" ht="17.25" x14ac:dyDescent="0.2">
      <c r="A64" s="59" t="s">
        <v>85</v>
      </c>
      <c r="B64" s="58" t="s">
        <v>86</v>
      </c>
      <c r="C64" s="62">
        <f>[42]С2!F28</f>
        <v>4200</v>
      </c>
    </row>
    <row r="65" spans="1:3" ht="42.75" x14ac:dyDescent="0.2">
      <c r="A65" s="59" t="s">
        <v>87</v>
      </c>
      <c r="B65" s="33" t="s">
        <v>88</v>
      </c>
      <c r="C65" s="34">
        <f>[42]С2!F22</f>
        <v>4298.6978080550834</v>
      </c>
    </row>
    <row r="66" spans="1:3" ht="30" x14ac:dyDescent="0.2">
      <c r="A66" s="59" t="s">
        <v>89</v>
      </c>
      <c r="B66" s="60" t="s">
        <v>90</v>
      </c>
      <c r="C66" s="34">
        <f>[42]С2!F23</f>
        <v>1990</v>
      </c>
    </row>
    <row r="67" spans="1:3" ht="30" x14ac:dyDescent="0.2">
      <c r="A67" s="59" t="s">
        <v>91</v>
      </c>
      <c r="B67" s="53" t="s">
        <v>92</v>
      </c>
      <c r="C67" s="34">
        <f>[42]С2.1!E27</f>
        <v>246.24401</v>
      </c>
    </row>
    <row r="68" spans="1:3" ht="73.5" customHeight="1" x14ac:dyDescent="0.2">
      <c r="A68" s="59" t="s">
        <v>93</v>
      </c>
      <c r="B68" s="65" t="s">
        <v>94</v>
      </c>
      <c r="C68" s="52" t="str">
        <f>[42]С2.3!E21</f>
        <v>Муниципальное унитарное предприятие города Куйбышева Куйбышевского района Новосибирской области "Горводоканал"</v>
      </c>
    </row>
    <row r="69" spans="1:3" ht="25.5" x14ac:dyDescent="0.2">
      <c r="A69" s="59" t="s">
        <v>95</v>
      </c>
      <c r="B69" s="66" t="s">
        <v>96</v>
      </c>
      <c r="C69" s="67">
        <f>[42]С2.3!E11</f>
        <v>9.89</v>
      </c>
    </row>
    <row r="70" spans="1:3" ht="25.5" x14ac:dyDescent="0.2">
      <c r="A70" s="59" t="s">
        <v>97</v>
      </c>
      <c r="B70" s="66" t="s">
        <v>98</v>
      </c>
      <c r="C70" s="62">
        <f>[42]С2.3!E13</f>
        <v>300</v>
      </c>
    </row>
    <row r="71" spans="1:3" ht="192.75" customHeight="1" x14ac:dyDescent="0.2">
      <c r="A71" s="59" t="s">
        <v>99</v>
      </c>
      <c r="B71" s="65" t="s">
        <v>100</v>
      </c>
      <c r="C71" s="68">
        <f>IF([42]С2.3!E22&gt;0,[42]С2.3!E22,[42]С2.3!E14)</f>
        <v>8809</v>
      </c>
    </row>
    <row r="72" spans="1:3" ht="192.75" customHeight="1" x14ac:dyDescent="0.2">
      <c r="A72" s="59" t="s">
        <v>101</v>
      </c>
      <c r="B72" s="65" t="s">
        <v>102</v>
      </c>
      <c r="C72" s="68">
        <f>IF([42]С2.3!E23&gt;0,[42]С2.3!E23,[42]С2.3!E15)</f>
        <v>530.41</v>
      </c>
    </row>
    <row r="73" spans="1:3" ht="30" x14ac:dyDescent="0.2">
      <c r="A73" s="59" t="s">
        <v>103</v>
      </c>
      <c r="B73" s="53" t="s">
        <v>104</v>
      </c>
      <c r="C73" s="34">
        <f>[42]С2.1!E28</f>
        <v>269.12432000000001</v>
      </c>
    </row>
    <row r="74" spans="1:3" ht="87" customHeight="1" x14ac:dyDescent="0.2">
      <c r="A74" s="59" t="s">
        <v>105</v>
      </c>
      <c r="B74" s="65" t="s">
        <v>106</v>
      </c>
      <c r="C74" s="52" t="str">
        <f>[42]С2.3!E25</f>
        <v>Муниципальное унитарное предприятие города Куйбышева Куйбышевского района Новосибирской области "Геострой"</v>
      </c>
    </row>
    <row r="75" spans="1:3" ht="25.5" x14ac:dyDescent="0.2">
      <c r="A75" s="59" t="s">
        <v>107</v>
      </c>
      <c r="B75" s="66" t="s">
        <v>108</v>
      </c>
      <c r="C75" s="67">
        <f>[42]С2.3!E12</f>
        <v>0.56000000000000005</v>
      </c>
    </row>
    <row r="76" spans="1:3" ht="25.5" x14ac:dyDescent="0.2">
      <c r="A76" s="59" t="s">
        <v>109</v>
      </c>
      <c r="B76" s="66" t="s">
        <v>98</v>
      </c>
      <c r="C76" s="62">
        <f>[42]С2.3!E13</f>
        <v>300</v>
      </c>
    </row>
    <row r="77" spans="1:3" ht="183" customHeight="1" x14ac:dyDescent="0.2">
      <c r="A77" s="59" t="s">
        <v>110</v>
      </c>
      <c r="B77" s="69" t="s">
        <v>111</v>
      </c>
      <c r="C77" s="68">
        <f>IF([42]С2.3!E26&gt;0,[42]С2.3!E26,[42]С2.3!E16)</f>
        <v>21397</v>
      </c>
    </row>
    <row r="78" spans="1:3" ht="186.75" customHeight="1" x14ac:dyDescent="0.2">
      <c r="A78" s="59" t="s">
        <v>112</v>
      </c>
      <c r="B78" s="69" t="s">
        <v>113</v>
      </c>
      <c r="C78" s="68">
        <f>IF([42]С2.3!E27&gt;0,[42]С2.3!E27,[42]С2.3!E17)</f>
        <v>857.14</v>
      </c>
    </row>
    <row r="79" spans="1:3" ht="17.25" x14ac:dyDescent="0.2">
      <c r="A79" s="59" t="s">
        <v>114</v>
      </c>
      <c r="B79" s="33" t="s">
        <v>115</v>
      </c>
      <c r="C79" s="35">
        <f>[42]С2!F29</f>
        <v>0.21369165990259753</v>
      </c>
    </row>
    <row r="80" spans="1:3" ht="30" x14ac:dyDescent="0.2">
      <c r="A80" s="59" t="s">
        <v>116</v>
      </c>
      <c r="B80" s="53" t="s">
        <v>117</v>
      </c>
      <c r="C80" s="70">
        <f>[42]С2!F30</f>
        <v>0.20047619047619047</v>
      </c>
    </row>
    <row r="81" spans="1:3" ht="17.25" x14ac:dyDescent="0.2">
      <c r="A81" s="59" t="s">
        <v>118</v>
      </c>
      <c r="B81" s="71" t="s">
        <v>119</v>
      </c>
      <c r="C81" s="35">
        <f>[42]С2!F31</f>
        <v>0.13880000000000001</v>
      </c>
    </row>
    <row r="82" spans="1:3" s="63" customFormat="1" ht="18" thickBot="1" x14ac:dyDescent="0.25">
      <c r="A82" s="72" t="s">
        <v>120</v>
      </c>
      <c r="B82" s="73" t="s">
        <v>121</v>
      </c>
      <c r="C82" s="74">
        <f>[42]С2!F32</f>
        <v>0.12640000000000001</v>
      </c>
    </row>
    <row r="83" spans="1:3" ht="13.5" thickBot="1" x14ac:dyDescent="0.25">
      <c r="A83" s="47"/>
      <c r="B83" s="75"/>
      <c r="C83" s="15"/>
    </row>
    <row r="84" spans="1:3" s="63" customFormat="1" ht="30" customHeight="1" x14ac:dyDescent="0.2">
      <c r="A84" s="76" t="s">
        <v>122</v>
      </c>
      <c r="B84" s="145" t="s">
        <v>123</v>
      </c>
      <c r="C84" s="145"/>
    </row>
    <row r="85" spans="1:3" s="63" customFormat="1" ht="30" x14ac:dyDescent="0.2">
      <c r="A85" s="77" t="s">
        <v>124</v>
      </c>
      <c r="B85" s="33" t="s">
        <v>125</v>
      </c>
      <c r="C85" s="34">
        <f>[42]С3!F14</f>
        <v>15827.997028730506</v>
      </c>
    </row>
    <row r="86" spans="1:3" s="63" customFormat="1" ht="42.75" x14ac:dyDescent="0.2">
      <c r="A86" s="77" t="s">
        <v>126</v>
      </c>
      <c r="B86" s="53" t="s">
        <v>127</v>
      </c>
      <c r="C86" s="78">
        <f>[42]С3!F15</f>
        <v>0.25</v>
      </c>
    </row>
    <row r="87" spans="1:3" s="63" customFormat="1" ht="14.25" x14ac:dyDescent="0.2">
      <c r="A87" s="77" t="s">
        <v>128</v>
      </c>
      <c r="B87" s="79" t="s">
        <v>129</v>
      </c>
      <c r="C87" s="62">
        <f>[42]С3!F18</f>
        <v>15</v>
      </c>
    </row>
    <row r="88" spans="1:3" s="63" customFormat="1" ht="17.25" x14ac:dyDescent="0.2">
      <c r="A88" s="77" t="s">
        <v>130</v>
      </c>
      <c r="B88" s="33" t="s">
        <v>131</v>
      </c>
      <c r="C88" s="34">
        <f>[42]С3!F19</f>
        <v>3741.3369093945325</v>
      </c>
    </row>
    <row r="89" spans="1:3" s="63" customFormat="1" ht="55.5" x14ac:dyDescent="0.2">
      <c r="A89" s="77" t="s">
        <v>132</v>
      </c>
      <c r="B89" s="53" t="s">
        <v>133</v>
      </c>
      <c r="C89" s="80">
        <f>[42]С3!F20</f>
        <v>2.1999999999999999E-2</v>
      </c>
    </row>
    <row r="90" spans="1:3" s="63" customFormat="1" ht="14.25" x14ac:dyDescent="0.2">
      <c r="A90" s="77" t="s">
        <v>134</v>
      </c>
      <c r="B90" s="58" t="s">
        <v>80</v>
      </c>
      <c r="C90" s="62">
        <f>[42]С3!F21</f>
        <v>10</v>
      </c>
    </row>
    <row r="91" spans="1:3" s="63" customFormat="1" ht="17.25" x14ac:dyDescent="0.2">
      <c r="A91" s="77" t="s">
        <v>135</v>
      </c>
      <c r="B91" s="33" t="s">
        <v>136</v>
      </c>
      <c r="C91" s="34">
        <f>[42]С3!F22</f>
        <v>9.5576411518206239</v>
      </c>
    </row>
    <row r="92" spans="1:3" s="63" customFormat="1" ht="57" customHeight="1" x14ac:dyDescent="0.2">
      <c r="A92" s="77" t="s">
        <v>137</v>
      </c>
      <c r="B92" s="53" t="s">
        <v>138</v>
      </c>
      <c r="C92" s="80">
        <f>[42]С3!F23</f>
        <v>3.0000000000000001E-3</v>
      </c>
    </row>
    <row r="93" spans="1:3" s="63" customFormat="1" ht="27.75" thickBot="1" x14ac:dyDescent="0.25">
      <c r="A93" s="81" t="s">
        <v>139</v>
      </c>
      <c r="B93" s="82" t="s">
        <v>140</v>
      </c>
      <c r="C93" s="83">
        <f>[42]С3!F24</f>
        <v>3185.880383940208</v>
      </c>
    </row>
    <row r="94" spans="1:3" ht="13.5" thickBot="1" x14ac:dyDescent="0.25">
      <c r="A94" s="47"/>
      <c r="B94" s="75"/>
      <c r="C94" s="15"/>
    </row>
    <row r="95" spans="1:3" ht="30" customHeight="1" x14ac:dyDescent="0.2">
      <c r="A95" s="84" t="s">
        <v>141</v>
      </c>
      <c r="B95" s="145" t="s">
        <v>142</v>
      </c>
      <c r="C95" s="145"/>
    </row>
    <row r="96" spans="1:3" ht="30" x14ac:dyDescent="0.2">
      <c r="A96" s="59" t="s">
        <v>143</v>
      </c>
      <c r="B96" s="33" t="s">
        <v>144</v>
      </c>
      <c r="C96" s="34">
        <f>[42]С4!F16</f>
        <v>1652.5</v>
      </c>
    </row>
    <row r="97" spans="1:3" ht="30" x14ac:dyDescent="0.2">
      <c r="A97" s="59" t="s">
        <v>145</v>
      </c>
      <c r="B97" s="58" t="s">
        <v>146</v>
      </c>
      <c r="C97" s="34">
        <f>[42]С4!F17</f>
        <v>73547</v>
      </c>
    </row>
    <row r="98" spans="1:3" ht="17.25" x14ac:dyDescent="0.2">
      <c r="A98" s="59" t="s">
        <v>147</v>
      </c>
      <c r="B98" s="58" t="s">
        <v>148</v>
      </c>
      <c r="C98" s="40">
        <f>[42]С4!F18</f>
        <v>0.02</v>
      </c>
    </row>
    <row r="99" spans="1:3" ht="30" x14ac:dyDescent="0.2">
      <c r="A99" s="59" t="s">
        <v>149</v>
      </c>
      <c r="B99" s="58" t="s">
        <v>150</v>
      </c>
      <c r="C99" s="34">
        <f>[42]С4!F19</f>
        <v>12104</v>
      </c>
    </row>
    <row r="100" spans="1:3" ht="31.5" x14ac:dyDescent="0.2">
      <c r="A100" s="59" t="s">
        <v>151</v>
      </c>
      <c r="B100" s="58" t="s">
        <v>152</v>
      </c>
      <c r="C100" s="40">
        <f>[42]С4!F20</f>
        <v>1.4999999999999999E-2</v>
      </c>
    </row>
    <row r="101" spans="1:3" ht="30" x14ac:dyDescent="0.2">
      <c r="A101" s="59" t="s">
        <v>153</v>
      </c>
      <c r="B101" s="33" t="s">
        <v>154</v>
      </c>
      <c r="C101" s="34">
        <f>[42]С4!F21</f>
        <v>1933.1949342509995</v>
      </c>
    </row>
    <row r="102" spans="1:3" ht="35.25" customHeight="1" x14ac:dyDescent="0.2">
      <c r="A102" s="59" t="s">
        <v>155</v>
      </c>
      <c r="B102" s="53" t="s">
        <v>156</v>
      </c>
      <c r="C102" s="85" t="str">
        <f>IF([42]С4.2!F8="да",[42]С4.2!D21,[42]С4.2!D15)</f>
        <v>АО "Новосибирскэнергосбыт"</v>
      </c>
    </row>
    <row r="103" spans="1:3" ht="68.25" x14ac:dyDescent="0.2">
      <c r="A103" s="59" t="s">
        <v>157</v>
      </c>
      <c r="B103" s="53" t="s">
        <v>158</v>
      </c>
      <c r="C103" s="34">
        <f>[42]С4!F22</f>
        <v>3.6112641666666665</v>
      </c>
    </row>
    <row r="104" spans="1:3" ht="30" x14ac:dyDescent="0.2">
      <c r="A104" s="59" t="s">
        <v>159</v>
      </c>
      <c r="B104" s="58" t="s">
        <v>160</v>
      </c>
      <c r="C104" s="34">
        <f>[42]С4!F23</f>
        <v>180</v>
      </c>
    </row>
    <row r="105" spans="1:3" ht="14.25" x14ac:dyDescent="0.2">
      <c r="A105" s="59" t="s">
        <v>161</v>
      </c>
      <c r="B105" s="53" t="s">
        <v>162</v>
      </c>
      <c r="C105" s="34">
        <f>[42]С4!F24</f>
        <v>8497.1999999999989</v>
      </c>
    </row>
    <row r="106" spans="1:3" ht="14.25" x14ac:dyDescent="0.2">
      <c r="A106" s="59" t="s">
        <v>163</v>
      </c>
      <c r="B106" s="58" t="s">
        <v>164</v>
      </c>
      <c r="C106" s="40">
        <f>[42]С4!F25</f>
        <v>0.35</v>
      </c>
    </row>
    <row r="107" spans="1:3" ht="17.25" x14ac:dyDescent="0.2">
      <c r="A107" s="59" t="s">
        <v>165</v>
      </c>
      <c r="B107" s="33" t="s">
        <v>166</v>
      </c>
      <c r="C107" s="34">
        <f>[42]С4!F26</f>
        <v>83.616630000000001</v>
      </c>
    </row>
    <row r="108" spans="1:3" ht="75.75" customHeight="1" x14ac:dyDescent="0.2">
      <c r="A108" s="59" t="s">
        <v>167</v>
      </c>
      <c r="B108" s="53" t="s">
        <v>94</v>
      </c>
      <c r="C108" s="85">
        <f>[42]С4.3!E16</f>
        <v>0</v>
      </c>
    </row>
    <row r="109" spans="1:3" ht="25.5" x14ac:dyDescent="0.2">
      <c r="A109" s="59" t="s">
        <v>168</v>
      </c>
      <c r="B109" s="53" t="s">
        <v>169</v>
      </c>
      <c r="C109" s="34">
        <f>[42]С4.3!E17</f>
        <v>22.05</v>
      </c>
    </row>
    <row r="110" spans="1:3" ht="79.5" customHeight="1" x14ac:dyDescent="0.2">
      <c r="A110" s="59" t="s">
        <v>170</v>
      </c>
      <c r="B110" s="53" t="s">
        <v>106</v>
      </c>
      <c r="C110" s="85">
        <f>[42]С4.3!E18</f>
        <v>0</v>
      </c>
    </row>
    <row r="111" spans="1:3" x14ac:dyDescent="0.2">
      <c r="A111" s="59" t="s">
        <v>171</v>
      </c>
      <c r="B111" s="53" t="s">
        <v>172</v>
      </c>
      <c r="C111" s="34">
        <f>[42]С4.3!E19</f>
        <v>30.82</v>
      </c>
    </row>
    <row r="112" spans="1:3" x14ac:dyDescent="0.2">
      <c r="A112" s="59" t="s">
        <v>173</v>
      </c>
      <c r="B112" s="58" t="s">
        <v>174</v>
      </c>
      <c r="C112" s="34">
        <f>[42]С4.3!E11</f>
        <v>1871</v>
      </c>
    </row>
    <row r="113" spans="1:3" x14ac:dyDescent="0.2">
      <c r="A113" s="59" t="s">
        <v>175</v>
      </c>
      <c r="B113" s="58" t="s">
        <v>176</v>
      </c>
      <c r="C113" s="52">
        <f>[42]С4.3!E12</f>
        <v>1636</v>
      </c>
    </row>
    <row r="114" spans="1:3" x14ac:dyDescent="0.2">
      <c r="A114" s="59" t="s">
        <v>177</v>
      </c>
      <c r="B114" s="58" t="s">
        <v>178</v>
      </c>
      <c r="C114" s="52">
        <f>[42]С4.3!E13</f>
        <v>204</v>
      </c>
    </row>
    <row r="115" spans="1:3" ht="30" x14ac:dyDescent="0.2">
      <c r="A115" s="59" t="s">
        <v>179</v>
      </c>
      <c r="B115" s="33" t="s">
        <v>180</v>
      </c>
      <c r="C115" s="34">
        <f>[42]С4!F27</f>
        <v>1291.2863994686898</v>
      </c>
    </row>
    <row r="116" spans="1:3" ht="25.5" x14ac:dyDescent="0.2">
      <c r="A116" s="59" t="s">
        <v>181</v>
      </c>
      <c r="B116" s="53" t="s">
        <v>182</v>
      </c>
      <c r="C116" s="34">
        <f>[42]С4!F28</f>
        <v>991.77142816335618</v>
      </c>
    </row>
    <row r="117" spans="1:3" ht="42.75" x14ac:dyDescent="0.2">
      <c r="A117" s="59" t="s">
        <v>183</v>
      </c>
      <c r="B117" s="53" t="s">
        <v>184</v>
      </c>
      <c r="C117" s="34">
        <f>[42]С4!F29</f>
        <v>299.51497130533357</v>
      </c>
    </row>
    <row r="118" spans="1:3" ht="30" x14ac:dyDescent="0.2">
      <c r="A118" s="59" t="s">
        <v>185</v>
      </c>
      <c r="B118" s="39" t="s">
        <v>186</v>
      </c>
      <c r="C118" s="34">
        <f>[42]С4!F30</f>
        <v>2307.3097030143331</v>
      </c>
    </row>
    <row r="119" spans="1:3" ht="42.75" x14ac:dyDescent="0.2">
      <c r="A119" s="59" t="s">
        <v>187</v>
      </c>
      <c r="B119" s="86" t="s">
        <v>188</v>
      </c>
      <c r="C119" s="34">
        <f>[42]С4!F33</f>
        <v>1068.6450140162826</v>
      </c>
    </row>
    <row r="120" spans="1:3" ht="30" x14ac:dyDescent="0.2">
      <c r="A120" s="59" t="s">
        <v>189</v>
      </c>
      <c r="B120" s="87" t="s">
        <v>190</v>
      </c>
      <c r="C120" s="34">
        <f>[42]С4!F35</f>
        <v>18.902267999999999</v>
      </c>
    </row>
    <row r="121" spans="1:3" ht="14.25" x14ac:dyDescent="0.2">
      <c r="A121" s="59" t="s">
        <v>191</v>
      </c>
      <c r="B121" s="56" t="s">
        <v>192</v>
      </c>
      <c r="C121" s="34">
        <f>[42]С4!F36</f>
        <v>14319.9</v>
      </c>
    </row>
    <row r="122" spans="1:3" ht="43.5" customHeight="1" thickBot="1" x14ac:dyDescent="0.25">
      <c r="A122" s="72" t="s">
        <v>193</v>
      </c>
      <c r="B122" s="88" t="s">
        <v>194</v>
      </c>
      <c r="C122" s="83">
        <f>[42]С4!F37</f>
        <v>1.32</v>
      </c>
    </row>
    <row r="123" spans="1:3" s="89" customFormat="1" ht="13.5" thickBot="1" x14ac:dyDescent="0.25">
      <c r="A123" s="47"/>
      <c r="B123" s="75"/>
      <c r="C123" s="15"/>
    </row>
    <row r="124" spans="1:3" s="63" customFormat="1" ht="30" customHeight="1" x14ac:dyDescent="0.2">
      <c r="A124" s="76" t="s">
        <v>195</v>
      </c>
      <c r="B124" s="145" t="s">
        <v>196</v>
      </c>
      <c r="C124" s="145"/>
    </row>
    <row r="125" spans="1:3" ht="16.5" thickBot="1" x14ac:dyDescent="0.25">
      <c r="A125" s="27" t="s">
        <v>197</v>
      </c>
      <c r="B125" s="90" t="s">
        <v>198</v>
      </c>
      <c r="C125" s="83">
        <f>[42]С5!F17</f>
        <v>0.02</v>
      </c>
    </row>
    <row r="126" spans="1:3" s="89" customFormat="1" ht="13.5" thickBot="1" x14ac:dyDescent="0.25">
      <c r="A126" s="47"/>
      <c r="B126" s="75"/>
      <c r="C126" s="15"/>
    </row>
    <row r="127" spans="1:3" ht="42.75" customHeight="1" x14ac:dyDescent="0.2">
      <c r="A127" s="84" t="s">
        <v>199</v>
      </c>
      <c r="B127" s="146" t="s">
        <v>200</v>
      </c>
      <c r="C127" s="146"/>
    </row>
    <row r="128" spans="1:3" ht="68.25" x14ac:dyDescent="0.2">
      <c r="A128" s="59" t="s">
        <v>201</v>
      </c>
      <c r="B128" s="91" t="s">
        <v>202</v>
      </c>
      <c r="C128" s="34" t="s">
        <v>203</v>
      </c>
    </row>
    <row r="129" spans="1:3" ht="42.75" hidden="1" x14ac:dyDescent="0.2">
      <c r="A129" s="59" t="s">
        <v>204</v>
      </c>
      <c r="B129" s="86" t="s">
        <v>205</v>
      </c>
      <c r="C129" s="92"/>
    </row>
    <row r="130" spans="1:3" ht="69" thickBot="1" x14ac:dyDescent="0.25">
      <c r="A130" s="72" t="s">
        <v>206</v>
      </c>
      <c r="B130" s="93" t="s">
        <v>207</v>
      </c>
      <c r="C130" s="94" t="s">
        <v>203</v>
      </c>
    </row>
    <row r="131" spans="1:3" ht="62.25" hidden="1" customHeight="1" x14ac:dyDescent="0.2">
      <c r="A131" s="95" t="s">
        <v>208</v>
      </c>
      <c r="B131" s="96" t="s">
        <v>209</v>
      </c>
      <c r="C131" s="97"/>
    </row>
    <row r="132" spans="1:3" ht="68.25" hidden="1" x14ac:dyDescent="0.2">
      <c r="A132" s="59" t="s">
        <v>210</v>
      </c>
      <c r="B132" s="86" t="s">
        <v>211</v>
      </c>
      <c r="C132" s="35"/>
    </row>
    <row r="133" spans="1:3" ht="69" hidden="1" thickBot="1" x14ac:dyDescent="0.25">
      <c r="A133" s="72" t="s">
        <v>212</v>
      </c>
      <c r="B133" s="98" t="s">
        <v>213</v>
      </c>
      <c r="C133" s="74"/>
    </row>
    <row r="134" spans="1:3" s="89" customFormat="1" ht="13.5" thickBot="1" x14ac:dyDescent="0.25">
      <c r="A134" s="47"/>
      <c r="B134" s="75"/>
      <c r="C134" s="15"/>
    </row>
    <row r="135" spans="1:3" ht="26.25" customHeight="1" x14ac:dyDescent="0.2">
      <c r="A135" s="84" t="s">
        <v>214</v>
      </c>
      <c r="B135" s="99" t="s">
        <v>215</v>
      </c>
      <c r="C135" s="100">
        <f>[42]С2!F37</f>
        <v>20.818139999999996</v>
      </c>
    </row>
    <row r="136" spans="1:3" ht="14.25" x14ac:dyDescent="0.2">
      <c r="A136" s="59" t="s">
        <v>216</v>
      </c>
      <c r="B136" s="101" t="s">
        <v>217</v>
      </c>
      <c r="C136" s="34">
        <f>[42]С2!F38</f>
        <v>7</v>
      </c>
    </row>
    <row r="137" spans="1:3" ht="17.25" x14ac:dyDescent="0.2">
      <c r="A137" s="59" t="s">
        <v>218</v>
      </c>
      <c r="B137" s="101" t="s">
        <v>219</v>
      </c>
      <c r="C137" s="34">
        <f>[42]С2!F40</f>
        <v>0.97</v>
      </c>
    </row>
    <row r="138" spans="1:3" ht="15" thickBot="1" x14ac:dyDescent="0.25">
      <c r="A138" s="72" t="s">
        <v>220</v>
      </c>
      <c r="B138" s="102" t="s">
        <v>221</v>
      </c>
      <c r="C138" s="46">
        <f>[42]С2!F42</f>
        <v>0.35</v>
      </c>
    </row>
    <row r="139" spans="1:3" s="89" customFormat="1" ht="13.5" thickBot="1" x14ac:dyDescent="0.25">
      <c r="A139" s="47"/>
      <c r="B139" s="75"/>
      <c r="C139" s="15"/>
    </row>
    <row r="140" spans="1:3" ht="30" x14ac:dyDescent="0.2">
      <c r="A140" s="84" t="s">
        <v>222</v>
      </c>
      <c r="B140" s="103" t="s">
        <v>223</v>
      </c>
      <c r="C140" s="104">
        <f>[42]С2!F35</f>
        <v>1.7157947422665329</v>
      </c>
    </row>
    <row r="141" spans="1:3" ht="22.7" customHeight="1" thickBot="1" x14ac:dyDescent="0.25">
      <c r="A141" s="72" t="s">
        <v>224</v>
      </c>
      <c r="B141" s="141" t="s">
        <v>225</v>
      </c>
      <c r="C141" s="141"/>
    </row>
    <row r="142" spans="1:3" ht="13.5" thickBot="1" x14ac:dyDescent="0.25">
      <c r="A142" s="105"/>
      <c r="B142" s="106" t="s">
        <v>226</v>
      </c>
      <c r="C142" s="107"/>
    </row>
    <row r="143" spans="1:3" x14ac:dyDescent="0.2">
      <c r="A143" s="105"/>
      <c r="B143" s="108">
        <v>2020</v>
      </c>
      <c r="C143" s="109">
        <f>[42]С2.5!$E$11</f>
        <v>-2.9000000000000026E-2</v>
      </c>
    </row>
    <row r="144" spans="1:3" x14ac:dyDescent="0.2">
      <c r="A144" s="105"/>
      <c r="B144" s="110">
        <f>B143+1</f>
        <v>2021</v>
      </c>
      <c r="C144" s="111">
        <f>[42]С2.5!$F$11</f>
        <v>0.245</v>
      </c>
    </row>
    <row r="145" spans="1:3" x14ac:dyDescent="0.2">
      <c r="A145" s="105"/>
      <c r="B145" s="110">
        <f t="shared" ref="B145:B208" si="0">B144+1</f>
        <v>2022</v>
      </c>
      <c r="C145" s="111">
        <f>[42]С2.5!$G$11</f>
        <v>0.114</v>
      </c>
    </row>
    <row r="146" spans="1:3" ht="13.5" thickBot="1" x14ac:dyDescent="0.25">
      <c r="A146" s="105"/>
      <c r="B146" s="112">
        <f t="shared" si="0"/>
        <v>2023</v>
      </c>
      <c r="C146" s="113">
        <f>[42]С2.5!$H$11</f>
        <v>0.04</v>
      </c>
    </row>
    <row r="147" spans="1:3" x14ac:dyDescent="0.2">
      <c r="A147" s="105"/>
      <c r="B147" s="114">
        <f t="shared" si="0"/>
        <v>2024</v>
      </c>
      <c r="C147" s="115">
        <f>[42]С2.5!$I$11</f>
        <v>0.121</v>
      </c>
    </row>
    <row r="148" spans="1:3" x14ac:dyDescent="0.2">
      <c r="A148" s="105"/>
      <c r="B148" s="110">
        <f t="shared" si="0"/>
        <v>2025</v>
      </c>
      <c r="C148" s="111">
        <f>[42]С2.5!$J$11</f>
        <v>0.03</v>
      </c>
    </row>
    <row r="149" spans="1:3" x14ac:dyDescent="0.2">
      <c r="A149" s="105"/>
      <c r="B149" s="110">
        <f t="shared" si="0"/>
        <v>2026</v>
      </c>
      <c r="C149" s="111">
        <f>[42]С2.5!$K$11</f>
        <v>6.0999999999999999E-2</v>
      </c>
    </row>
    <row r="150" spans="1:3" hidden="1" x14ac:dyDescent="0.2">
      <c r="A150" s="105"/>
      <c r="B150" s="110">
        <f t="shared" si="0"/>
        <v>2027</v>
      </c>
      <c r="C150" s="111">
        <f>[42]С2.5!$L$11</f>
        <v>3.2682303599220003E-2</v>
      </c>
    </row>
    <row r="151" spans="1:3" hidden="1" x14ac:dyDescent="0.2">
      <c r="A151" s="105"/>
      <c r="B151" s="110">
        <f t="shared" si="0"/>
        <v>2028</v>
      </c>
      <c r="C151" s="111">
        <f>[42]С2.5!$M$11</f>
        <v>0</v>
      </c>
    </row>
    <row r="152" spans="1:3" hidden="1" x14ac:dyDescent="0.2">
      <c r="A152" s="105"/>
      <c r="B152" s="110">
        <f t="shared" si="0"/>
        <v>2029</v>
      </c>
      <c r="C152" s="111">
        <f>[42]С2.5!$N$11</f>
        <v>0</v>
      </c>
    </row>
    <row r="153" spans="1:3" hidden="1" x14ac:dyDescent="0.2">
      <c r="A153" s="105"/>
      <c r="B153" s="110">
        <f t="shared" si="0"/>
        <v>2030</v>
      </c>
      <c r="C153" s="111">
        <f>[42]С2.5!$O$11</f>
        <v>0</v>
      </c>
    </row>
    <row r="154" spans="1:3" hidden="1" x14ac:dyDescent="0.2">
      <c r="A154" s="105"/>
      <c r="B154" s="110">
        <f t="shared" si="0"/>
        <v>2031</v>
      </c>
      <c r="C154" s="111">
        <f>[42]С2.5!$P$11</f>
        <v>0</v>
      </c>
    </row>
    <row r="155" spans="1:3" hidden="1" x14ac:dyDescent="0.2">
      <c r="A155" s="89"/>
      <c r="B155" s="110">
        <f t="shared" si="0"/>
        <v>2032</v>
      </c>
      <c r="C155" s="111">
        <f>[42]С2.5!$Q$11</f>
        <v>0</v>
      </c>
    </row>
    <row r="156" spans="1:3" hidden="1" x14ac:dyDescent="0.2">
      <c r="A156" s="89"/>
      <c r="B156" s="110">
        <f t="shared" si="0"/>
        <v>2033</v>
      </c>
      <c r="C156" s="111">
        <f>[42]С2.5!$R$11</f>
        <v>0</v>
      </c>
    </row>
    <row r="157" spans="1:3" hidden="1" x14ac:dyDescent="0.2">
      <c r="B157" s="110">
        <f t="shared" si="0"/>
        <v>2034</v>
      </c>
      <c r="C157" s="111">
        <f>[42]С2.5!$S$11</f>
        <v>0</v>
      </c>
    </row>
    <row r="158" spans="1:3" hidden="1" x14ac:dyDescent="0.2">
      <c r="B158" s="110">
        <f t="shared" si="0"/>
        <v>2035</v>
      </c>
      <c r="C158" s="111">
        <f>[42]С2.5!$T$11</f>
        <v>0</v>
      </c>
    </row>
    <row r="159" spans="1:3" hidden="1" x14ac:dyDescent="0.2">
      <c r="B159" s="110">
        <f t="shared" si="0"/>
        <v>2036</v>
      </c>
      <c r="C159" s="111">
        <f>[42]С2.5!$U$11</f>
        <v>0</v>
      </c>
    </row>
    <row r="160" spans="1:3" hidden="1" x14ac:dyDescent="0.2">
      <c r="B160" s="110">
        <f t="shared" si="0"/>
        <v>2037</v>
      </c>
      <c r="C160" s="111">
        <f>[42]С2.5!$V$11</f>
        <v>0</v>
      </c>
    </row>
    <row r="161" spans="2:3" hidden="1" x14ac:dyDescent="0.2">
      <c r="B161" s="110">
        <f t="shared" si="0"/>
        <v>2038</v>
      </c>
      <c r="C161" s="111">
        <f>[42]С2.5!$W$11</f>
        <v>0</v>
      </c>
    </row>
    <row r="162" spans="2:3" hidden="1" x14ac:dyDescent="0.2">
      <c r="B162" s="110">
        <f t="shared" si="0"/>
        <v>2039</v>
      </c>
      <c r="C162" s="111">
        <f>[42]С2.5!$X$11</f>
        <v>0</v>
      </c>
    </row>
    <row r="163" spans="2:3" hidden="1" x14ac:dyDescent="0.2">
      <c r="B163" s="110">
        <f t="shared" si="0"/>
        <v>2040</v>
      </c>
      <c r="C163" s="111">
        <f>[42]С2.5!$Y$11</f>
        <v>0</v>
      </c>
    </row>
    <row r="164" spans="2:3" hidden="1" x14ac:dyDescent="0.2">
      <c r="B164" s="110">
        <f t="shared" si="0"/>
        <v>2041</v>
      </c>
      <c r="C164" s="111">
        <f>[42]С2.5!$Z$11</f>
        <v>0</v>
      </c>
    </row>
    <row r="165" spans="2:3" hidden="1" x14ac:dyDescent="0.2">
      <c r="B165" s="110">
        <f t="shared" si="0"/>
        <v>2042</v>
      </c>
      <c r="C165" s="111">
        <f>[42]С2.5!$AA$11</f>
        <v>0</v>
      </c>
    </row>
    <row r="166" spans="2:3" hidden="1" x14ac:dyDescent="0.2">
      <c r="B166" s="110">
        <f t="shared" si="0"/>
        <v>2043</v>
      </c>
      <c r="C166" s="111">
        <f>[42]С2.5!$AB$11</f>
        <v>0</v>
      </c>
    </row>
    <row r="167" spans="2:3" hidden="1" x14ac:dyDescent="0.2">
      <c r="B167" s="110">
        <f t="shared" si="0"/>
        <v>2044</v>
      </c>
      <c r="C167" s="111">
        <f>[42]С2.5!$AC$11</f>
        <v>0</v>
      </c>
    </row>
    <row r="168" spans="2:3" hidden="1" x14ac:dyDescent="0.2">
      <c r="B168" s="110">
        <f t="shared" si="0"/>
        <v>2045</v>
      </c>
      <c r="C168" s="111">
        <f>[42]С2.5!$AD$11</f>
        <v>0</v>
      </c>
    </row>
    <row r="169" spans="2:3" hidden="1" x14ac:dyDescent="0.2">
      <c r="B169" s="110">
        <f t="shared" si="0"/>
        <v>2046</v>
      </c>
      <c r="C169" s="111">
        <f>[42]С2.5!$AE$11</f>
        <v>0</v>
      </c>
    </row>
    <row r="170" spans="2:3" hidden="1" x14ac:dyDescent="0.2">
      <c r="B170" s="110">
        <f t="shared" si="0"/>
        <v>2047</v>
      </c>
      <c r="C170" s="111">
        <f>[42]С2.5!$AF$11</f>
        <v>0</v>
      </c>
    </row>
    <row r="171" spans="2:3" hidden="1" x14ac:dyDescent="0.2">
      <c r="B171" s="110">
        <f t="shared" si="0"/>
        <v>2048</v>
      </c>
      <c r="C171" s="111">
        <f>[42]С2.5!$AG$11</f>
        <v>0</v>
      </c>
    </row>
    <row r="172" spans="2:3" hidden="1" x14ac:dyDescent="0.2">
      <c r="B172" s="110">
        <f t="shared" si="0"/>
        <v>2049</v>
      </c>
      <c r="C172" s="111">
        <f>[42]С2.5!$AH$11</f>
        <v>0</v>
      </c>
    </row>
    <row r="173" spans="2:3" hidden="1" x14ac:dyDescent="0.2">
      <c r="B173" s="110">
        <f t="shared" si="0"/>
        <v>2050</v>
      </c>
      <c r="C173" s="111">
        <f>[42]С2.5!$AI$11</f>
        <v>0</v>
      </c>
    </row>
    <row r="174" spans="2:3" hidden="1" x14ac:dyDescent="0.2">
      <c r="B174" s="110">
        <f t="shared" si="0"/>
        <v>2051</v>
      </c>
      <c r="C174" s="111">
        <f>[42]С2.5!$AJ$11</f>
        <v>0</v>
      </c>
    </row>
    <row r="175" spans="2:3" hidden="1" x14ac:dyDescent="0.2">
      <c r="B175" s="110">
        <f t="shared" si="0"/>
        <v>2052</v>
      </c>
      <c r="C175" s="111">
        <f>[42]С2.5!$AK$11</f>
        <v>0</v>
      </c>
    </row>
    <row r="176" spans="2:3" hidden="1" x14ac:dyDescent="0.2">
      <c r="B176" s="110">
        <f t="shared" si="0"/>
        <v>2053</v>
      </c>
      <c r="C176" s="111">
        <f>[42]С2.5!$AL$11</f>
        <v>0</v>
      </c>
    </row>
    <row r="177" spans="2:3" hidden="1" x14ac:dyDescent="0.2">
      <c r="B177" s="110">
        <f t="shared" si="0"/>
        <v>2054</v>
      </c>
      <c r="C177" s="111">
        <f>[42]С2.5!$AM$11</f>
        <v>0</v>
      </c>
    </row>
    <row r="178" spans="2:3" hidden="1" x14ac:dyDescent="0.2">
      <c r="B178" s="110">
        <f t="shared" si="0"/>
        <v>2055</v>
      </c>
      <c r="C178" s="111">
        <f>[42]С2.5!$AN$11</f>
        <v>0</v>
      </c>
    </row>
    <row r="179" spans="2:3" hidden="1" x14ac:dyDescent="0.2">
      <c r="B179" s="110">
        <f t="shared" si="0"/>
        <v>2056</v>
      </c>
      <c r="C179" s="111">
        <f>[42]С2.5!$AO$11</f>
        <v>0</v>
      </c>
    </row>
    <row r="180" spans="2:3" hidden="1" x14ac:dyDescent="0.2">
      <c r="B180" s="110">
        <f t="shared" si="0"/>
        <v>2057</v>
      </c>
      <c r="C180" s="111">
        <f>[42]С2.5!$AP$11</f>
        <v>0</v>
      </c>
    </row>
    <row r="181" spans="2:3" hidden="1" x14ac:dyDescent="0.2">
      <c r="B181" s="110">
        <f t="shared" si="0"/>
        <v>2058</v>
      </c>
      <c r="C181" s="111">
        <f>[42]С2.5!$AQ$11</f>
        <v>0</v>
      </c>
    </row>
    <row r="182" spans="2:3" hidden="1" x14ac:dyDescent="0.2">
      <c r="B182" s="110">
        <f t="shared" si="0"/>
        <v>2059</v>
      </c>
      <c r="C182" s="111">
        <f>[42]С2.5!$AR$11</f>
        <v>0</v>
      </c>
    </row>
    <row r="183" spans="2:3" hidden="1" x14ac:dyDescent="0.2">
      <c r="B183" s="110">
        <f t="shared" si="0"/>
        <v>2060</v>
      </c>
      <c r="C183" s="111">
        <f>[42]С2.5!$AS$11</f>
        <v>0</v>
      </c>
    </row>
    <row r="184" spans="2:3" hidden="1" x14ac:dyDescent="0.2">
      <c r="B184" s="110">
        <f t="shared" si="0"/>
        <v>2061</v>
      </c>
      <c r="C184" s="111">
        <f>[42]С2.5!$AT$11</f>
        <v>0</v>
      </c>
    </row>
    <row r="185" spans="2:3" hidden="1" x14ac:dyDescent="0.2">
      <c r="B185" s="110">
        <f t="shared" si="0"/>
        <v>2062</v>
      </c>
      <c r="C185" s="111">
        <f>[42]С2.5!$AU$11</f>
        <v>0</v>
      </c>
    </row>
    <row r="186" spans="2:3" hidden="1" x14ac:dyDescent="0.2">
      <c r="B186" s="110">
        <f t="shared" si="0"/>
        <v>2063</v>
      </c>
      <c r="C186" s="111">
        <f>[42]С2.5!$AV$11</f>
        <v>0</v>
      </c>
    </row>
    <row r="187" spans="2:3" hidden="1" x14ac:dyDescent="0.2">
      <c r="B187" s="110">
        <f t="shared" si="0"/>
        <v>2064</v>
      </c>
      <c r="C187" s="111">
        <f>[42]С2.5!$AW$11</f>
        <v>0</v>
      </c>
    </row>
    <row r="188" spans="2:3" hidden="1" x14ac:dyDescent="0.2">
      <c r="B188" s="110">
        <f t="shared" si="0"/>
        <v>2065</v>
      </c>
      <c r="C188" s="111">
        <f>[42]С2.5!$AX$11</f>
        <v>0</v>
      </c>
    </row>
    <row r="189" spans="2:3" hidden="1" x14ac:dyDescent="0.2">
      <c r="B189" s="110">
        <f t="shared" si="0"/>
        <v>2066</v>
      </c>
      <c r="C189" s="111">
        <f>[42]С2.5!$AY$11</f>
        <v>0</v>
      </c>
    </row>
    <row r="190" spans="2:3" hidden="1" x14ac:dyDescent="0.2">
      <c r="B190" s="110">
        <f t="shared" si="0"/>
        <v>2067</v>
      </c>
      <c r="C190" s="111">
        <f>[42]С2.5!$AZ$11</f>
        <v>0</v>
      </c>
    </row>
    <row r="191" spans="2:3" hidden="1" x14ac:dyDescent="0.2">
      <c r="B191" s="110">
        <f t="shared" si="0"/>
        <v>2068</v>
      </c>
      <c r="C191" s="111">
        <f>[42]С2.5!$BA$11</f>
        <v>0</v>
      </c>
    </row>
    <row r="192" spans="2:3" hidden="1" x14ac:dyDescent="0.2">
      <c r="B192" s="110">
        <f t="shared" si="0"/>
        <v>2069</v>
      </c>
      <c r="C192" s="111">
        <f>[42]С2.5!$BB$11</f>
        <v>0</v>
      </c>
    </row>
    <row r="193" spans="2:3" hidden="1" x14ac:dyDescent="0.2">
      <c r="B193" s="110">
        <f t="shared" si="0"/>
        <v>2070</v>
      </c>
      <c r="C193" s="111">
        <f>[42]С2.5!$BC$11</f>
        <v>0</v>
      </c>
    </row>
    <row r="194" spans="2:3" hidden="1" x14ac:dyDescent="0.2">
      <c r="B194" s="110">
        <f t="shared" si="0"/>
        <v>2071</v>
      </c>
      <c r="C194" s="111">
        <f>[42]С2.5!$BD$11</f>
        <v>0</v>
      </c>
    </row>
    <row r="195" spans="2:3" hidden="1" x14ac:dyDescent="0.2">
      <c r="B195" s="110">
        <f t="shared" si="0"/>
        <v>2072</v>
      </c>
      <c r="C195" s="111">
        <f>[42]С2.5!$BE$11</f>
        <v>0</v>
      </c>
    </row>
    <row r="196" spans="2:3" hidden="1" x14ac:dyDescent="0.2">
      <c r="B196" s="110">
        <f t="shared" si="0"/>
        <v>2073</v>
      </c>
      <c r="C196" s="111">
        <f>[42]С2.5!$BF$11</f>
        <v>0</v>
      </c>
    </row>
    <row r="197" spans="2:3" hidden="1" x14ac:dyDescent="0.2">
      <c r="B197" s="110">
        <f t="shared" si="0"/>
        <v>2074</v>
      </c>
      <c r="C197" s="111">
        <f>[42]С2.5!$BG$11</f>
        <v>0</v>
      </c>
    </row>
    <row r="198" spans="2:3" hidden="1" x14ac:dyDescent="0.2">
      <c r="B198" s="110">
        <f t="shared" si="0"/>
        <v>2075</v>
      </c>
      <c r="C198" s="111">
        <f>[42]С2.5!$BH$11</f>
        <v>0</v>
      </c>
    </row>
    <row r="199" spans="2:3" hidden="1" x14ac:dyDescent="0.2">
      <c r="B199" s="110">
        <f t="shared" si="0"/>
        <v>2076</v>
      </c>
      <c r="C199" s="111">
        <f>[42]С2.5!$BI$11</f>
        <v>0</v>
      </c>
    </row>
    <row r="200" spans="2:3" hidden="1" x14ac:dyDescent="0.2">
      <c r="B200" s="110">
        <f t="shared" si="0"/>
        <v>2077</v>
      </c>
      <c r="C200" s="111">
        <f>[42]С2.5!$BJ$11</f>
        <v>0</v>
      </c>
    </row>
    <row r="201" spans="2:3" hidden="1" x14ac:dyDescent="0.2">
      <c r="B201" s="110">
        <f t="shared" si="0"/>
        <v>2078</v>
      </c>
      <c r="C201" s="111">
        <f>[42]С2.5!$BK$11</f>
        <v>0</v>
      </c>
    </row>
    <row r="202" spans="2:3" hidden="1" x14ac:dyDescent="0.2">
      <c r="B202" s="110">
        <f t="shared" si="0"/>
        <v>2079</v>
      </c>
      <c r="C202" s="111">
        <f>[42]С2.5!$BL$11</f>
        <v>0</v>
      </c>
    </row>
    <row r="203" spans="2:3" hidden="1" x14ac:dyDescent="0.2">
      <c r="B203" s="110">
        <f t="shared" si="0"/>
        <v>2080</v>
      </c>
      <c r="C203" s="111">
        <f>[42]С2.5!$BM$11</f>
        <v>0</v>
      </c>
    </row>
    <row r="204" spans="2:3" hidden="1" x14ac:dyDescent="0.2">
      <c r="B204" s="110">
        <f t="shared" si="0"/>
        <v>2081</v>
      </c>
      <c r="C204" s="111">
        <f>[42]С2.5!$BN$11</f>
        <v>0</v>
      </c>
    </row>
    <row r="205" spans="2:3" hidden="1" x14ac:dyDescent="0.2">
      <c r="B205" s="110">
        <f t="shared" si="0"/>
        <v>2082</v>
      </c>
      <c r="C205" s="111">
        <f>[42]С2.5!$BO$11</f>
        <v>0</v>
      </c>
    </row>
    <row r="206" spans="2:3" hidden="1" x14ac:dyDescent="0.2">
      <c r="B206" s="110">
        <f t="shared" si="0"/>
        <v>2083</v>
      </c>
      <c r="C206" s="111">
        <f>[42]С2.5!$BP$11</f>
        <v>0</v>
      </c>
    </row>
    <row r="207" spans="2:3" hidden="1" x14ac:dyDescent="0.2">
      <c r="B207" s="110">
        <f t="shared" si="0"/>
        <v>2084</v>
      </c>
      <c r="C207" s="111">
        <f>[42]С2.5!$BQ$11</f>
        <v>0</v>
      </c>
    </row>
    <row r="208" spans="2:3" hidden="1" x14ac:dyDescent="0.2">
      <c r="B208" s="110">
        <f t="shared" si="0"/>
        <v>2085</v>
      </c>
      <c r="C208" s="111">
        <f>[42]С2.5!$BR$11</f>
        <v>0</v>
      </c>
    </row>
    <row r="209" spans="2:3" hidden="1" x14ac:dyDescent="0.2">
      <c r="B209" s="110">
        <f t="shared" ref="B209:B223" si="1">B208+1</f>
        <v>2086</v>
      </c>
      <c r="C209" s="111">
        <f>[42]С2.5!$BS$11</f>
        <v>0</v>
      </c>
    </row>
    <row r="210" spans="2:3" hidden="1" x14ac:dyDescent="0.2">
      <c r="B210" s="110">
        <f t="shared" si="1"/>
        <v>2087</v>
      </c>
      <c r="C210" s="111">
        <f>[42]С2.5!$BT$11</f>
        <v>0</v>
      </c>
    </row>
    <row r="211" spans="2:3" hidden="1" x14ac:dyDescent="0.2">
      <c r="B211" s="110">
        <f t="shared" si="1"/>
        <v>2088</v>
      </c>
      <c r="C211" s="111">
        <f>[42]С2.5!$BU$11</f>
        <v>0</v>
      </c>
    </row>
    <row r="212" spans="2:3" hidden="1" x14ac:dyDescent="0.2">
      <c r="B212" s="110">
        <f t="shared" si="1"/>
        <v>2089</v>
      </c>
      <c r="C212" s="111">
        <f>[42]С2.5!$BV$11</f>
        <v>0</v>
      </c>
    </row>
    <row r="213" spans="2:3" hidden="1" x14ac:dyDescent="0.2">
      <c r="B213" s="110">
        <f t="shared" si="1"/>
        <v>2090</v>
      </c>
      <c r="C213" s="111">
        <f>[42]С2.5!$BW$11</f>
        <v>0</v>
      </c>
    </row>
    <row r="214" spans="2:3" hidden="1" x14ac:dyDescent="0.2">
      <c r="B214" s="110">
        <f t="shared" si="1"/>
        <v>2091</v>
      </c>
      <c r="C214" s="111">
        <f>[42]С2.5!$BX$11</f>
        <v>0</v>
      </c>
    </row>
    <row r="215" spans="2:3" hidden="1" x14ac:dyDescent="0.2">
      <c r="B215" s="110">
        <f t="shared" si="1"/>
        <v>2092</v>
      </c>
      <c r="C215" s="111">
        <f>[42]С2.5!$BY$11</f>
        <v>0</v>
      </c>
    </row>
    <row r="216" spans="2:3" hidden="1" x14ac:dyDescent="0.2">
      <c r="B216" s="110">
        <f t="shared" si="1"/>
        <v>2093</v>
      </c>
      <c r="C216" s="111">
        <f>[42]С2.5!$BZ$11</f>
        <v>0</v>
      </c>
    </row>
    <row r="217" spans="2:3" hidden="1" x14ac:dyDescent="0.2">
      <c r="B217" s="110">
        <f t="shared" si="1"/>
        <v>2094</v>
      </c>
      <c r="C217" s="111">
        <f>[42]С2.5!$CA$11</f>
        <v>0</v>
      </c>
    </row>
    <row r="218" spans="2:3" hidden="1" x14ac:dyDescent="0.2">
      <c r="B218" s="110">
        <f t="shared" si="1"/>
        <v>2095</v>
      </c>
      <c r="C218" s="111">
        <f>[42]С2.5!$CB$11</f>
        <v>0</v>
      </c>
    </row>
    <row r="219" spans="2:3" hidden="1" x14ac:dyDescent="0.2">
      <c r="B219" s="110">
        <f t="shared" si="1"/>
        <v>2096</v>
      </c>
      <c r="C219" s="111">
        <f>[42]С2.5!$CC$11</f>
        <v>0</v>
      </c>
    </row>
    <row r="220" spans="2:3" hidden="1" x14ac:dyDescent="0.2">
      <c r="B220" s="110">
        <f t="shared" si="1"/>
        <v>2097</v>
      </c>
      <c r="C220" s="111">
        <f>[42]С2.5!$CD$11</f>
        <v>0</v>
      </c>
    </row>
    <row r="221" spans="2:3" hidden="1" x14ac:dyDescent="0.2">
      <c r="B221" s="110">
        <f t="shared" si="1"/>
        <v>2098</v>
      </c>
      <c r="C221" s="111">
        <f>[42]С2.5!$CE$11</f>
        <v>0</v>
      </c>
    </row>
    <row r="222" spans="2:3" hidden="1" x14ac:dyDescent="0.2">
      <c r="B222" s="110">
        <f t="shared" si="1"/>
        <v>2099</v>
      </c>
      <c r="C222" s="111">
        <f>[42]С2.5!$CF$11</f>
        <v>0</v>
      </c>
    </row>
    <row r="223" spans="2:3" ht="13.5" hidden="1" thickBot="1" x14ac:dyDescent="0.25">
      <c r="B223" s="112">
        <f t="shared" si="1"/>
        <v>2100</v>
      </c>
      <c r="C223" s="113">
        <f>[42]С2.5!$CG$11</f>
        <v>0</v>
      </c>
    </row>
    <row r="224" spans="2:3" hidden="1" x14ac:dyDescent="0.2">
      <c r="C224" s="116"/>
    </row>
    <row r="225" spans="3:3" hidden="1" x14ac:dyDescent="0.2">
      <c r="C225" s="116"/>
    </row>
    <row r="226" spans="3:3" x14ac:dyDescent="0.2">
      <c r="C226" s="116"/>
    </row>
  </sheetData>
  <mergeCells count="9">
    <mergeCell ref="B141:C141"/>
    <mergeCell ref="B1:C1"/>
    <mergeCell ref="B27:C27"/>
    <mergeCell ref="B40:C40"/>
    <mergeCell ref="B84:C84"/>
    <mergeCell ref="B95:C95"/>
    <mergeCell ref="B124:C124"/>
    <mergeCell ref="B127:C127"/>
    <mergeCell ref="A14:C1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26"/>
  <sheetViews>
    <sheetView workbookViewId="0">
      <selection activeCell="C7" sqref="C7"/>
    </sheetView>
  </sheetViews>
  <sheetFormatPr defaultRowHeight="12.75" x14ac:dyDescent="0.2"/>
  <cols>
    <col min="1" max="1" width="7.28515625" style="2" customWidth="1"/>
    <col min="2" max="2" width="100.7109375" style="2" customWidth="1"/>
    <col min="3" max="3" width="20.85546875" style="139" customWidth="1"/>
    <col min="4" max="152" width="9.140625" style="2"/>
    <col min="153" max="234" width="0" style="2" hidden="1" customWidth="1"/>
    <col min="235" max="243" width="9.140625" style="2"/>
    <col min="244" max="244" width="3.7109375" style="2" customWidth="1"/>
    <col min="245" max="245" width="96.85546875" style="2" customWidth="1"/>
    <col min="246" max="246" width="30.85546875" style="2" customWidth="1"/>
    <col min="247" max="247" width="12.5703125" style="2" customWidth="1"/>
    <col min="248" max="248" width="5.140625" style="2" customWidth="1"/>
    <col min="249" max="249" width="9.140625" style="2"/>
    <col min="250" max="250" width="4.85546875" style="2" customWidth="1"/>
    <col min="251" max="251" width="30.5703125" style="2" customWidth="1"/>
    <col min="252" max="252" width="33.85546875" style="2" customWidth="1"/>
    <col min="253" max="253" width="5.140625" style="2" customWidth="1"/>
    <col min="254" max="255" width="17.5703125" style="2" customWidth="1"/>
    <col min="256" max="499" width="9.140625" style="2"/>
    <col min="500" max="500" width="3.7109375" style="2" customWidth="1"/>
    <col min="501" max="501" width="96.85546875" style="2" customWidth="1"/>
    <col min="502" max="502" width="30.85546875" style="2" customWidth="1"/>
    <col min="503" max="503" width="12.5703125" style="2" customWidth="1"/>
    <col min="504" max="504" width="5.140625" style="2" customWidth="1"/>
    <col min="505" max="505" width="9.140625" style="2"/>
    <col min="506" max="506" width="4.85546875" style="2" customWidth="1"/>
    <col min="507" max="507" width="30.5703125" style="2" customWidth="1"/>
    <col min="508" max="508" width="33.85546875" style="2" customWidth="1"/>
    <col min="509" max="509" width="5.140625" style="2" customWidth="1"/>
    <col min="510" max="511" width="17.5703125" style="2" customWidth="1"/>
    <col min="512" max="755" width="9.140625" style="2"/>
    <col min="756" max="756" width="3.7109375" style="2" customWidth="1"/>
    <col min="757" max="757" width="96.85546875" style="2" customWidth="1"/>
    <col min="758" max="758" width="30.85546875" style="2" customWidth="1"/>
    <col min="759" max="759" width="12.5703125" style="2" customWidth="1"/>
    <col min="760" max="760" width="5.140625" style="2" customWidth="1"/>
    <col min="761" max="761" width="9.140625" style="2"/>
    <col min="762" max="762" width="4.85546875" style="2" customWidth="1"/>
    <col min="763" max="763" width="30.5703125" style="2" customWidth="1"/>
    <col min="764" max="764" width="33.85546875" style="2" customWidth="1"/>
    <col min="765" max="765" width="5.140625" style="2" customWidth="1"/>
    <col min="766" max="767" width="17.5703125" style="2" customWidth="1"/>
    <col min="768" max="1011" width="9.140625" style="2"/>
    <col min="1012" max="1012" width="3.7109375" style="2" customWidth="1"/>
    <col min="1013" max="1013" width="96.85546875" style="2" customWidth="1"/>
    <col min="1014" max="1014" width="30.85546875" style="2" customWidth="1"/>
    <col min="1015" max="1015" width="12.5703125" style="2" customWidth="1"/>
    <col min="1016" max="1016" width="5.140625" style="2" customWidth="1"/>
    <col min="1017" max="1017" width="9.140625" style="2"/>
    <col min="1018" max="1018" width="4.85546875" style="2" customWidth="1"/>
    <col min="1019" max="1019" width="30.5703125" style="2" customWidth="1"/>
    <col min="1020" max="1020" width="33.85546875" style="2" customWidth="1"/>
    <col min="1021" max="1021" width="5.140625" style="2" customWidth="1"/>
    <col min="1022" max="1023" width="17.5703125" style="2" customWidth="1"/>
    <col min="1024" max="1267" width="9.140625" style="2"/>
    <col min="1268" max="1268" width="3.7109375" style="2" customWidth="1"/>
    <col min="1269" max="1269" width="96.85546875" style="2" customWidth="1"/>
    <col min="1270" max="1270" width="30.85546875" style="2" customWidth="1"/>
    <col min="1271" max="1271" width="12.5703125" style="2" customWidth="1"/>
    <col min="1272" max="1272" width="5.140625" style="2" customWidth="1"/>
    <col min="1273" max="1273" width="9.140625" style="2"/>
    <col min="1274" max="1274" width="4.85546875" style="2" customWidth="1"/>
    <col min="1275" max="1275" width="30.5703125" style="2" customWidth="1"/>
    <col min="1276" max="1276" width="33.85546875" style="2" customWidth="1"/>
    <col min="1277" max="1277" width="5.140625" style="2" customWidth="1"/>
    <col min="1278" max="1279" width="17.5703125" style="2" customWidth="1"/>
    <col min="1280" max="1523" width="9.140625" style="2"/>
    <col min="1524" max="1524" width="3.7109375" style="2" customWidth="1"/>
    <col min="1525" max="1525" width="96.85546875" style="2" customWidth="1"/>
    <col min="1526" max="1526" width="30.85546875" style="2" customWidth="1"/>
    <col min="1527" max="1527" width="12.5703125" style="2" customWidth="1"/>
    <col min="1528" max="1528" width="5.140625" style="2" customWidth="1"/>
    <col min="1529" max="1529" width="9.140625" style="2"/>
    <col min="1530" max="1530" width="4.85546875" style="2" customWidth="1"/>
    <col min="1531" max="1531" width="30.5703125" style="2" customWidth="1"/>
    <col min="1532" max="1532" width="33.85546875" style="2" customWidth="1"/>
    <col min="1533" max="1533" width="5.140625" style="2" customWidth="1"/>
    <col min="1534" max="1535" width="17.5703125" style="2" customWidth="1"/>
    <col min="1536" max="1779" width="9.140625" style="2"/>
    <col min="1780" max="1780" width="3.7109375" style="2" customWidth="1"/>
    <col min="1781" max="1781" width="96.85546875" style="2" customWidth="1"/>
    <col min="1782" max="1782" width="30.85546875" style="2" customWidth="1"/>
    <col min="1783" max="1783" width="12.5703125" style="2" customWidth="1"/>
    <col min="1784" max="1784" width="5.140625" style="2" customWidth="1"/>
    <col min="1785" max="1785" width="9.140625" style="2"/>
    <col min="1786" max="1786" width="4.85546875" style="2" customWidth="1"/>
    <col min="1787" max="1787" width="30.5703125" style="2" customWidth="1"/>
    <col min="1788" max="1788" width="33.85546875" style="2" customWidth="1"/>
    <col min="1789" max="1789" width="5.140625" style="2" customWidth="1"/>
    <col min="1790" max="1791" width="17.5703125" style="2" customWidth="1"/>
    <col min="1792" max="2035" width="9.140625" style="2"/>
    <col min="2036" max="2036" width="3.7109375" style="2" customWidth="1"/>
    <col min="2037" max="2037" width="96.85546875" style="2" customWidth="1"/>
    <col min="2038" max="2038" width="30.85546875" style="2" customWidth="1"/>
    <col min="2039" max="2039" width="12.5703125" style="2" customWidth="1"/>
    <col min="2040" max="2040" width="5.140625" style="2" customWidth="1"/>
    <col min="2041" max="2041" width="9.140625" style="2"/>
    <col min="2042" max="2042" width="4.85546875" style="2" customWidth="1"/>
    <col min="2043" max="2043" width="30.5703125" style="2" customWidth="1"/>
    <col min="2044" max="2044" width="33.85546875" style="2" customWidth="1"/>
    <col min="2045" max="2045" width="5.140625" style="2" customWidth="1"/>
    <col min="2046" max="2047" width="17.5703125" style="2" customWidth="1"/>
    <col min="2048" max="2291" width="9.140625" style="2"/>
    <col min="2292" max="2292" width="3.7109375" style="2" customWidth="1"/>
    <col min="2293" max="2293" width="96.85546875" style="2" customWidth="1"/>
    <col min="2294" max="2294" width="30.85546875" style="2" customWidth="1"/>
    <col min="2295" max="2295" width="12.5703125" style="2" customWidth="1"/>
    <col min="2296" max="2296" width="5.140625" style="2" customWidth="1"/>
    <col min="2297" max="2297" width="9.140625" style="2"/>
    <col min="2298" max="2298" width="4.85546875" style="2" customWidth="1"/>
    <col min="2299" max="2299" width="30.5703125" style="2" customWidth="1"/>
    <col min="2300" max="2300" width="33.85546875" style="2" customWidth="1"/>
    <col min="2301" max="2301" width="5.140625" style="2" customWidth="1"/>
    <col min="2302" max="2303" width="17.5703125" style="2" customWidth="1"/>
    <col min="2304" max="2547" width="9.140625" style="2"/>
    <col min="2548" max="2548" width="3.7109375" style="2" customWidth="1"/>
    <col min="2549" max="2549" width="96.85546875" style="2" customWidth="1"/>
    <col min="2550" max="2550" width="30.85546875" style="2" customWidth="1"/>
    <col min="2551" max="2551" width="12.5703125" style="2" customWidth="1"/>
    <col min="2552" max="2552" width="5.140625" style="2" customWidth="1"/>
    <col min="2553" max="2553" width="9.140625" style="2"/>
    <col min="2554" max="2554" width="4.85546875" style="2" customWidth="1"/>
    <col min="2555" max="2555" width="30.5703125" style="2" customWidth="1"/>
    <col min="2556" max="2556" width="33.85546875" style="2" customWidth="1"/>
    <col min="2557" max="2557" width="5.140625" style="2" customWidth="1"/>
    <col min="2558" max="2559" width="17.5703125" style="2" customWidth="1"/>
    <col min="2560" max="2803" width="9.140625" style="2"/>
    <col min="2804" max="2804" width="3.7109375" style="2" customWidth="1"/>
    <col min="2805" max="2805" width="96.85546875" style="2" customWidth="1"/>
    <col min="2806" max="2806" width="30.85546875" style="2" customWidth="1"/>
    <col min="2807" max="2807" width="12.5703125" style="2" customWidth="1"/>
    <col min="2808" max="2808" width="5.140625" style="2" customWidth="1"/>
    <col min="2809" max="2809" width="9.140625" style="2"/>
    <col min="2810" max="2810" width="4.85546875" style="2" customWidth="1"/>
    <col min="2811" max="2811" width="30.5703125" style="2" customWidth="1"/>
    <col min="2812" max="2812" width="33.85546875" style="2" customWidth="1"/>
    <col min="2813" max="2813" width="5.140625" style="2" customWidth="1"/>
    <col min="2814" max="2815" width="17.5703125" style="2" customWidth="1"/>
    <col min="2816" max="3059" width="9.140625" style="2"/>
    <col min="3060" max="3060" width="3.7109375" style="2" customWidth="1"/>
    <col min="3061" max="3061" width="96.85546875" style="2" customWidth="1"/>
    <col min="3062" max="3062" width="30.85546875" style="2" customWidth="1"/>
    <col min="3063" max="3063" width="12.5703125" style="2" customWidth="1"/>
    <col min="3064" max="3064" width="5.140625" style="2" customWidth="1"/>
    <col min="3065" max="3065" width="9.140625" style="2"/>
    <col min="3066" max="3066" width="4.85546875" style="2" customWidth="1"/>
    <col min="3067" max="3067" width="30.5703125" style="2" customWidth="1"/>
    <col min="3068" max="3068" width="33.85546875" style="2" customWidth="1"/>
    <col min="3069" max="3069" width="5.140625" style="2" customWidth="1"/>
    <col min="3070" max="3071" width="17.5703125" style="2" customWidth="1"/>
    <col min="3072" max="3315" width="9.140625" style="2"/>
    <col min="3316" max="3316" width="3.7109375" style="2" customWidth="1"/>
    <col min="3317" max="3317" width="96.85546875" style="2" customWidth="1"/>
    <col min="3318" max="3318" width="30.85546875" style="2" customWidth="1"/>
    <col min="3319" max="3319" width="12.5703125" style="2" customWidth="1"/>
    <col min="3320" max="3320" width="5.140625" style="2" customWidth="1"/>
    <col min="3321" max="3321" width="9.140625" style="2"/>
    <col min="3322" max="3322" width="4.85546875" style="2" customWidth="1"/>
    <col min="3323" max="3323" width="30.5703125" style="2" customWidth="1"/>
    <col min="3324" max="3324" width="33.85546875" style="2" customWidth="1"/>
    <col min="3325" max="3325" width="5.140625" style="2" customWidth="1"/>
    <col min="3326" max="3327" width="17.5703125" style="2" customWidth="1"/>
    <col min="3328" max="3571" width="9.140625" style="2"/>
    <col min="3572" max="3572" width="3.7109375" style="2" customWidth="1"/>
    <col min="3573" max="3573" width="96.85546875" style="2" customWidth="1"/>
    <col min="3574" max="3574" width="30.85546875" style="2" customWidth="1"/>
    <col min="3575" max="3575" width="12.5703125" style="2" customWidth="1"/>
    <col min="3576" max="3576" width="5.140625" style="2" customWidth="1"/>
    <col min="3577" max="3577" width="9.140625" style="2"/>
    <col min="3578" max="3578" width="4.85546875" style="2" customWidth="1"/>
    <col min="3579" max="3579" width="30.5703125" style="2" customWidth="1"/>
    <col min="3580" max="3580" width="33.85546875" style="2" customWidth="1"/>
    <col min="3581" max="3581" width="5.140625" style="2" customWidth="1"/>
    <col min="3582" max="3583" width="17.5703125" style="2" customWidth="1"/>
    <col min="3584" max="3827" width="9.140625" style="2"/>
    <col min="3828" max="3828" width="3.7109375" style="2" customWidth="1"/>
    <col min="3829" max="3829" width="96.85546875" style="2" customWidth="1"/>
    <col min="3830" max="3830" width="30.85546875" style="2" customWidth="1"/>
    <col min="3831" max="3831" width="12.5703125" style="2" customWidth="1"/>
    <col min="3832" max="3832" width="5.140625" style="2" customWidth="1"/>
    <col min="3833" max="3833" width="9.140625" style="2"/>
    <col min="3834" max="3834" width="4.85546875" style="2" customWidth="1"/>
    <col min="3835" max="3835" width="30.5703125" style="2" customWidth="1"/>
    <col min="3836" max="3836" width="33.85546875" style="2" customWidth="1"/>
    <col min="3837" max="3837" width="5.140625" style="2" customWidth="1"/>
    <col min="3838" max="3839" width="17.5703125" style="2" customWidth="1"/>
    <col min="3840" max="4083" width="9.140625" style="2"/>
    <col min="4084" max="4084" width="3.7109375" style="2" customWidth="1"/>
    <col min="4085" max="4085" width="96.85546875" style="2" customWidth="1"/>
    <col min="4086" max="4086" width="30.85546875" style="2" customWidth="1"/>
    <col min="4087" max="4087" width="12.5703125" style="2" customWidth="1"/>
    <col min="4088" max="4088" width="5.140625" style="2" customWidth="1"/>
    <col min="4089" max="4089" width="9.140625" style="2"/>
    <col min="4090" max="4090" width="4.85546875" style="2" customWidth="1"/>
    <col min="4091" max="4091" width="30.5703125" style="2" customWidth="1"/>
    <col min="4092" max="4092" width="33.85546875" style="2" customWidth="1"/>
    <col min="4093" max="4093" width="5.140625" style="2" customWidth="1"/>
    <col min="4094" max="4095" width="17.5703125" style="2" customWidth="1"/>
    <col min="4096" max="4339" width="9.140625" style="2"/>
    <col min="4340" max="4340" width="3.7109375" style="2" customWidth="1"/>
    <col min="4341" max="4341" width="96.85546875" style="2" customWidth="1"/>
    <col min="4342" max="4342" width="30.85546875" style="2" customWidth="1"/>
    <col min="4343" max="4343" width="12.5703125" style="2" customWidth="1"/>
    <col min="4344" max="4344" width="5.140625" style="2" customWidth="1"/>
    <col min="4345" max="4345" width="9.140625" style="2"/>
    <col min="4346" max="4346" width="4.85546875" style="2" customWidth="1"/>
    <col min="4347" max="4347" width="30.5703125" style="2" customWidth="1"/>
    <col min="4348" max="4348" width="33.85546875" style="2" customWidth="1"/>
    <col min="4349" max="4349" width="5.140625" style="2" customWidth="1"/>
    <col min="4350" max="4351" width="17.5703125" style="2" customWidth="1"/>
    <col min="4352" max="4595" width="9.140625" style="2"/>
    <col min="4596" max="4596" width="3.7109375" style="2" customWidth="1"/>
    <col min="4597" max="4597" width="96.85546875" style="2" customWidth="1"/>
    <col min="4598" max="4598" width="30.85546875" style="2" customWidth="1"/>
    <col min="4599" max="4599" width="12.5703125" style="2" customWidth="1"/>
    <col min="4600" max="4600" width="5.140625" style="2" customWidth="1"/>
    <col min="4601" max="4601" width="9.140625" style="2"/>
    <col min="4602" max="4602" width="4.85546875" style="2" customWidth="1"/>
    <col min="4603" max="4603" width="30.5703125" style="2" customWidth="1"/>
    <col min="4604" max="4604" width="33.85546875" style="2" customWidth="1"/>
    <col min="4605" max="4605" width="5.140625" style="2" customWidth="1"/>
    <col min="4606" max="4607" width="17.5703125" style="2" customWidth="1"/>
    <col min="4608" max="4851" width="9.140625" style="2"/>
    <col min="4852" max="4852" width="3.7109375" style="2" customWidth="1"/>
    <col min="4853" max="4853" width="96.85546875" style="2" customWidth="1"/>
    <col min="4854" max="4854" width="30.85546875" style="2" customWidth="1"/>
    <col min="4855" max="4855" width="12.5703125" style="2" customWidth="1"/>
    <col min="4856" max="4856" width="5.140625" style="2" customWidth="1"/>
    <col min="4857" max="4857" width="9.140625" style="2"/>
    <col min="4858" max="4858" width="4.85546875" style="2" customWidth="1"/>
    <col min="4859" max="4859" width="30.5703125" style="2" customWidth="1"/>
    <col min="4860" max="4860" width="33.85546875" style="2" customWidth="1"/>
    <col min="4861" max="4861" width="5.140625" style="2" customWidth="1"/>
    <col min="4862" max="4863" width="17.5703125" style="2" customWidth="1"/>
    <col min="4864" max="5107" width="9.140625" style="2"/>
    <col min="5108" max="5108" width="3.7109375" style="2" customWidth="1"/>
    <col min="5109" max="5109" width="96.85546875" style="2" customWidth="1"/>
    <col min="5110" max="5110" width="30.85546875" style="2" customWidth="1"/>
    <col min="5111" max="5111" width="12.5703125" style="2" customWidth="1"/>
    <col min="5112" max="5112" width="5.140625" style="2" customWidth="1"/>
    <col min="5113" max="5113" width="9.140625" style="2"/>
    <col min="5114" max="5114" width="4.85546875" style="2" customWidth="1"/>
    <col min="5115" max="5115" width="30.5703125" style="2" customWidth="1"/>
    <col min="5116" max="5116" width="33.85546875" style="2" customWidth="1"/>
    <col min="5117" max="5117" width="5.140625" style="2" customWidth="1"/>
    <col min="5118" max="5119" width="17.5703125" style="2" customWidth="1"/>
    <col min="5120" max="5363" width="9.140625" style="2"/>
    <col min="5364" max="5364" width="3.7109375" style="2" customWidth="1"/>
    <col min="5365" max="5365" width="96.85546875" style="2" customWidth="1"/>
    <col min="5366" max="5366" width="30.85546875" style="2" customWidth="1"/>
    <col min="5367" max="5367" width="12.5703125" style="2" customWidth="1"/>
    <col min="5368" max="5368" width="5.140625" style="2" customWidth="1"/>
    <col min="5369" max="5369" width="9.140625" style="2"/>
    <col min="5370" max="5370" width="4.85546875" style="2" customWidth="1"/>
    <col min="5371" max="5371" width="30.5703125" style="2" customWidth="1"/>
    <col min="5372" max="5372" width="33.85546875" style="2" customWidth="1"/>
    <col min="5373" max="5373" width="5.140625" style="2" customWidth="1"/>
    <col min="5374" max="5375" width="17.5703125" style="2" customWidth="1"/>
    <col min="5376" max="5619" width="9.140625" style="2"/>
    <col min="5620" max="5620" width="3.7109375" style="2" customWidth="1"/>
    <col min="5621" max="5621" width="96.85546875" style="2" customWidth="1"/>
    <col min="5622" max="5622" width="30.85546875" style="2" customWidth="1"/>
    <col min="5623" max="5623" width="12.5703125" style="2" customWidth="1"/>
    <col min="5624" max="5624" width="5.140625" style="2" customWidth="1"/>
    <col min="5625" max="5625" width="9.140625" style="2"/>
    <col min="5626" max="5626" width="4.85546875" style="2" customWidth="1"/>
    <col min="5627" max="5627" width="30.5703125" style="2" customWidth="1"/>
    <col min="5628" max="5628" width="33.85546875" style="2" customWidth="1"/>
    <col min="5629" max="5629" width="5.140625" style="2" customWidth="1"/>
    <col min="5630" max="5631" width="17.5703125" style="2" customWidth="1"/>
    <col min="5632" max="5875" width="9.140625" style="2"/>
    <col min="5876" max="5876" width="3.7109375" style="2" customWidth="1"/>
    <col min="5877" max="5877" width="96.85546875" style="2" customWidth="1"/>
    <col min="5878" max="5878" width="30.85546875" style="2" customWidth="1"/>
    <col min="5879" max="5879" width="12.5703125" style="2" customWidth="1"/>
    <col min="5880" max="5880" width="5.140625" style="2" customWidth="1"/>
    <col min="5881" max="5881" width="9.140625" style="2"/>
    <col min="5882" max="5882" width="4.85546875" style="2" customWidth="1"/>
    <col min="5883" max="5883" width="30.5703125" style="2" customWidth="1"/>
    <col min="5884" max="5884" width="33.85546875" style="2" customWidth="1"/>
    <col min="5885" max="5885" width="5.140625" style="2" customWidth="1"/>
    <col min="5886" max="5887" width="17.5703125" style="2" customWidth="1"/>
    <col min="5888" max="6131" width="9.140625" style="2"/>
    <col min="6132" max="6132" width="3.7109375" style="2" customWidth="1"/>
    <col min="6133" max="6133" width="96.85546875" style="2" customWidth="1"/>
    <col min="6134" max="6134" width="30.85546875" style="2" customWidth="1"/>
    <col min="6135" max="6135" width="12.5703125" style="2" customWidth="1"/>
    <col min="6136" max="6136" width="5.140625" style="2" customWidth="1"/>
    <col min="6137" max="6137" width="9.140625" style="2"/>
    <col min="6138" max="6138" width="4.85546875" style="2" customWidth="1"/>
    <col min="6139" max="6139" width="30.5703125" style="2" customWidth="1"/>
    <col min="6140" max="6140" width="33.85546875" style="2" customWidth="1"/>
    <col min="6141" max="6141" width="5.140625" style="2" customWidth="1"/>
    <col min="6142" max="6143" width="17.5703125" style="2" customWidth="1"/>
    <col min="6144" max="6387" width="9.140625" style="2"/>
    <col min="6388" max="6388" width="3.7109375" style="2" customWidth="1"/>
    <col min="6389" max="6389" width="96.85546875" style="2" customWidth="1"/>
    <col min="6390" max="6390" width="30.85546875" style="2" customWidth="1"/>
    <col min="6391" max="6391" width="12.5703125" style="2" customWidth="1"/>
    <col min="6392" max="6392" width="5.140625" style="2" customWidth="1"/>
    <col min="6393" max="6393" width="9.140625" style="2"/>
    <col min="6394" max="6394" width="4.85546875" style="2" customWidth="1"/>
    <col min="6395" max="6395" width="30.5703125" style="2" customWidth="1"/>
    <col min="6396" max="6396" width="33.85546875" style="2" customWidth="1"/>
    <col min="6397" max="6397" width="5.140625" style="2" customWidth="1"/>
    <col min="6398" max="6399" width="17.5703125" style="2" customWidth="1"/>
    <col min="6400" max="6643" width="9.140625" style="2"/>
    <col min="6644" max="6644" width="3.7109375" style="2" customWidth="1"/>
    <col min="6645" max="6645" width="96.85546875" style="2" customWidth="1"/>
    <col min="6646" max="6646" width="30.85546875" style="2" customWidth="1"/>
    <col min="6647" max="6647" width="12.5703125" style="2" customWidth="1"/>
    <col min="6648" max="6648" width="5.140625" style="2" customWidth="1"/>
    <col min="6649" max="6649" width="9.140625" style="2"/>
    <col min="6650" max="6650" width="4.85546875" style="2" customWidth="1"/>
    <col min="6651" max="6651" width="30.5703125" style="2" customWidth="1"/>
    <col min="6652" max="6652" width="33.85546875" style="2" customWidth="1"/>
    <col min="6653" max="6653" width="5.140625" style="2" customWidth="1"/>
    <col min="6654" max="6655" width="17.5703125" style="2" customWidth="1"/>
    <col min="6656" max="6899" width="9.140625" style="2"/>
    <col min="6900" max="6900" width="3.7109375" style="2" customWidth="1"/>
    <col min="6901" max="6901" width="96.85546875" style="2" customWidth="1"/>
    <col min="6902" max="6902" width="30.85546875" style="2" customWidth="1"/>
    <col min="6903" max="6903" width="12.5703125" style="2" customWidth="1"/>
    <col min="6904" max="6904" width="5.140625" style="2" customWidth="1"/>
    <col min="6905" max="6905" width="9.140625" style="2"/>
    <col min="6906" max="6906" width="4.85546875" style="2" customWidth="1"/>
    <col min="6907" max="6907" width="30.5703125" style="2" customWidth="1"/>
    <col min="6908" max="6908" width="33.85546875" style="2" customWidth="1"/>
    <col min="6909" max="6909" width="5.140625" style="2" customWidth="1"/>
    <col min="6910" max="6911" width="17.5703125" style="2" customWidth="1"/>
    <col min="6912" max="7155" width="9.140625" style="2"/>
    <col min="7156" max="7156" width="3.7109375" style="2" customWidth="1"/>
    <col min="7157" max="7157" width="96.85546875" style="2" customWidth="1"/>
    <col min="7158" max="7158" width="30.85546875" style="2" customWidth="1"/>
    <col min="7159" max="7159" width="12.5703125" style="2" customWidth="1"/>
    <col min="7160" max="7160" width="5.140625" style="2" customWidth="1"/>
    <col min="7161" max="7161" width="9.140625" style="2"/>
    <col min="7162" max="7162" width="4.85546875" style="2" customWidth="1"/>
    <col min="7163" max="7163" width="30.5703125" style="2" customWidth="1"/>
    <col min="7164" max="7164" width="33.85546875" style="2" customWidth="1"/>
    <col min="7165" max="7165" width="5.140625" style="2" customWidth="1"/>
    <col min="7166" max="7167" width="17.5703125" style="2" customWidth="1"/>
    <col min="7168" max="7411" width="9.140625" style="2"/>
    <col min="7412" max="7412" width="3.7109375" style="2" customWidth="1"/>
    <col min="7413" max="7413" width="96.85546875" style="2" customWidth="1"/>
    <col min="7414" max="7414" width="30.85546875" style="2" customWidth="1"/>
    <col min="7415" max="7415" width="12.5703125" style="2" customWidth="1"/>
    <col min="7416" max="7416" width="5.140625" style="2" customWidth="1"/>
    <col min="7417" max="7417" width="9.140625" style="2"/>
    <col min="7418" max="7418" width="4.85546875" style="2" customWidth="1"/>
    <col min="7419" max="7419" width="30.5703125" style="2" customWidth="1"/>
    <col min="7420" max="7420" width="33.85546875" style="2" customWidth="1"/>
    <col min="7421" max="7421" width="5.140625" style="2" customWidth="1"/>
    <col min="7422" max="7423" width="17.5703125" style="2" customWidth="1"/>
    <col min="7424" max="7667" width="9.140625" style="2"/>
    <col min="7668" max="7668" width="3.7109375" style="2" customWidth="1"/>
    <col min="7669" max="7669" width="96.85546875" style="2" customWidth="1"/>
    <col min="7670" max="7670" width="30.85546875" style="2" customWidth="1"/>
    <col min="7671" max="7671" width="12.5703125" style="2" customWidth="1"/>
    <col min="7672" max="7672" width="5.140625" style="2" customWidth="1"/>
    <col min="7673" max="7673" width="9.140625" style="2"/>
    <col min="7674" max="7674" width="4.85546875" style="2" customWidth="1"/>
    <col min="7675" max="7675" width="30.5703125" style="2" customWidth="1"/>
    <col min="7676" max="7676" width="33.85546875" style="2" customWidth="1"/>
    <col min="7677" max="7677" width="5.140625" style="2" customWidth="1"/>
    <col min="7678" max="7679" width="17.5703125" style="2" customWidth="1"/>
    <col min="7680" max="7923" width="9.140625" style="2"/>
    <col min="7924" max="7924" width="3.7109375" style="2" customWidth="1"/>
    <col min="7925" max="7925" width="96.85546875" style="2" customWidth="1"/>
    <col min="7926" max="7926" width="30.85546875" style="2" customWidth="1"/>
    <col min="7927" max="7927" width="12.5703125" style="2" customWidth="1"/>
    <col min="7928" max="7928" width="5.140625" style="2" customWidth="1"/>
    <col min="7929" max="7929" width="9.140625" style="2"/>
    <col min="7930" max="7930" width="4.85546875" style="2" customWidth="1"/>
    <col min="7931" max="7931" width="30.5703125" style="2" customWidth="1"/>
    <col min="7932" max="7932" width="33.85546875" style="2" customWidth="1"/>
    <col min="7933" max="7933" width="5.140625" style="2" customWidth="1"/>
    <col min="7934" max="7935" width="17.5703125" style="2" customWidth="1"/>
    <col min="7936" max="8179" width="9.140625" style="2"/>
    <col min="8180" max="8180" width="3.7109375" style="2" customWidth="1"/>
    <col min="8181" max="8181" width="96.85546875" style="2" customWidth="1"/>
    <col min="8182" max="8182" width="30.85546875" style="2" customWidth="1"/>
    <col min="8183" max="8183" width="12.5703125" style="2" customWidth="1"/>
    <col min="8184" max="8184" width="5.140625" style="2" customWidth="1"/>
    <col min="8185" max="8185" width="9.140625" style="2"/>
    <col min="8186" max="8186" width="4.85546875" style="2" customWidth="1"/>
    <col min="8187" max="8187" width="30.5703125" style="2" customWidth="1"/>
    <col min="8188" max="8188" width="33.85546875" style="2" customWidth="1"/>
    <col min="8189" max="8189" width="5.140625" style="2" customWidth="1"/>
    <col min="8190" max="8191" width="17.5703125" style="2" customWidth="1"/>
    <col min="8192" max="8435" width="9.140625" style="2"/>
    <col min="8436" max="8436" width="3.7109375" style="2" customWidth="1"/>
    <col min="8437" max="8437" width="96.85546875" style="2" customWidth="1"/>
    <col min="8438" max="8438" width="30.85546875" style="2" customWidth="1"/>
    <col min="8439" max="8439" width="12.5703125" style="2" customWidth="1"/>
    <col min="8440" max="8440" width="5.140625" style="2" customWidth="1"/>
    <col min="8441" max="8441" width="9.140625" style="2"/>
    <col min="8442" max="8442" width="4.85546875" style="2" customWidth="1"/>
    <col min="8443" max="8443" width="30.5703125" style="2" customWidth="1"/>
    <col min="8444" max="8444" width="33.85546875" style="2" customWidth="1"/>
    <col min="8445" max="8445" width="5.140625" style="2" customWidth="1"/>
    <col min="8446" max="8447" width="17.5703125" style="2" customWidth="1"/>
    <col min="8448" max="8691" width="9.140625" style="2"/>
    <col min="8692" max="8692" width="3.7109375" style="2" customWidth="1"/>
    <col min="8693" max="8693" width="96.85546875" style="2" customWidth="1"/>
    <col min="8694" max="8694" width="30.85546875" style="2" customWidth="1"/>
    <col min="8695" max="8695" width="12.5703125" style="2" customWidth="1"/>
    <col min="8696" max="8696" width="5.140625" style="2" customWidth="1"/>
    <col min="8697" max="8697" width="9.140625" style="2"/>
    <col min="8698" max="8698" width="4.85546875" style="2" customWidth="1"/>
    <col min="8699" max="8699" width="30.5703125" style="2" customWidth="1"/>
    <col min="8700" max="8700" width="33.85546875" style="2" customWidth="1"/>
    <col min="8701" max="8701" width="5.140625" style="2" customWidth="1"/>
    <col min="8702" max="8703" width="17.5703125" style="2" customWidth="1"/>
    <col min="8704" max="8947" width="9.140625" style="2"/>
    <col min="8948" max="8948" width="3.7109375" style="2" customWidth="1"/>
    <col min="8949" max="8949" width="96.85546875" style="2" customWidth="1"/>
    <col min="8950" max="8950" width="30.85546875" style="2" customWidth="1"/>
    <col min="8951" max="8951" width="12.5703125" style="2" customWidth="1"/>
    <col min="8952" max="8952" width="5.140625" style="2" customWidth="1"/>
    <col min="8953" max="8953" width="9.140625" style="2"/>
    <col min="8954" max="8954" width="4.85546875" style="2" customWidth="1"/>
    <col min="8955" max="8955" width="30.5703125" style="2" customWidth="1"/>
    <col min="8956" max="8956" width="33.85546875" style="2" customWidth="1"/>
    <col min="8957" max="8957" width="5.140625" style="2" customWidth="1"/>
    <col min="8958" max="8959" width="17.5703125" style="2" customWidth="1"/>
    <col min="8960" max="9203" width="9.140625" style="2"/>
    <col min="9204" max="9204" width="3.7109375" style="2" customWidth="1"/>
    <col min="9205" max="9205" width="96.85546875" style="2" customWidth="1"/>
    <col min="9206" max="9206" width="30.85546875" style="2" customWidth="1"/>
    <col min="9207" max="9207" width="12.5703125" style="2" customWidth="1"/>
    <col min="9208" max="9208" width="5.140625" style="2" customWidth="1"/>
    <col min="9209" max="9209" width="9.140625" style="2"/>
    <col min="9210" max="9210" width="4.85546875" style="2" customWidth="1"/>
    <col min="9211" max="9211" width="30.5703125" style="2" customWidth="1"/>
    <col min="9212" max="9212" width="33.85546875" style="2" customWidth="1"/>
    <col min="9213" max="9213" width="5.140625" style="2" customWidth="1"/>
    <col min="9214" max="9215" width="17.5703125" style="2" customWidth="1"/>
    <col min="9216" max="9459" width="9.140625" style="2"/>
    <col min="9460" max="9460" width="3.7109375" style="2" customWidth="1"/>
    <col min="9461" max="9461" width="96.85546875" style="2" customWidth="1"/>
    <col min="9462" max="9462" width="30.85546875" style="2" customWidth="1"/>
    <col min="9463" max="9463" width="12.5703125" style="2" customWidth="1"/>
    <col min="9464" max="9464" width="5.140625" style="2" customWidth="1"/>
    <col min="9465" max="9465" width="9.140625" style="2"/>
    <col min="9466" max="9466" width="4.85546875" style="2" customWidth="1"/>
    <col min="9467" max="9467" width="30.5703125" style="2" customWidth="1"/>
    <col min="9468" max="9468" width="33.85546875" style="2" customWidth="1"/>
    <col min="9469" max="9469" width="5.140625" style="2" customWidth="1"/>
    <col min="9470" max="9471" width="17.5703125" style="2" customWidth="1"/>
    <col min="9472" max="9715" width="9.140625" style="2"/>
    <col min="9716" max="9716" width="3.7109375" style="2" customWidth="1"/>
    <col min="9717" max="9717" width="96.85546875" style="2" customWidth="1"/>
    <col min="9718" max="9718" width="30.85546875" style="2" customWidth="1"/>
    <col min="9719" max="9719" width="12.5703125" style="2" customWidth="1"/>
    <col min="9720" max="9720" width="5.140625" style="2" customWidth="1"/>
    <col min="9721" max="9721" width="9.140625" style="2"/>
    <col min="9722" max="9722" width="4.85546875" style="2" customWidth="1"/>
    <col min="9723" max="9723" width="30.5703125" style="2" customWidth="1"/>
    <col min="9724" max="9724" width="33.85546875" style="2" customWidth="1"/>
    <col min="9725" max="9725" width="5.140625" style="2" customWidth="1"/>
    <col min="9726" max="9727" width="17.5703125" style="2" customWidth="1"/>
    <col min="9728" max="9971" width="9.140625" style="2"/>
    <col min="9972" max="9972" width="3.7109375" style="2" customWidth="1"/>
    <col min="9973" max="9973" width="96.85546875" style="2" customWidth="1"/>
    <col min="9974" max="9974" width="30.85546875" style="2" customWidth="1"/>
    <col min="9975" max="9975" width="12.5703125" style="2" customWidth="1"/>
    <col min="9976" max="9976" width="5.140625" style="2" customWidth="1"/>
    <col min="9977" max="9977" width="9.140625" style="2"/>
    <col min="9978" max="9978" width="4.85546875" style="2" customWidth="1"/>
    <col min="9979" max="9979" width="30.5703125" style="2" customWidth="1"/>
    <col min="9980" max="9980" width="33.85546875" style="2" customWidth="1"/>
    <col min="9981" max="9981" width="5.140625" style="2" customWidth="1"/>
    <col min="9982" max="9983" width="17.5703125" style="2" customWidth="1"/>
    <col min="9984" max="10227" width="9.140625" style="2"/>
    <col min="10228" max="10228" width="3.7109375" style="2" customWidth="1"/>
    <col min="10229" max="10229" width="96.85546875" style="2" customWidth="1"/>
    <col min="10230" max="10230" width="30.85546875" style="2" customWidth="1"/>
    <col min="10231" max="10231" width="12.5703125" style="2" customWidth="1"/>
    <col min="10232" max="10232" width="5.140625" style="2" customWidth="1"/>
    <col min="10233" max="10233" width="9.140625" style="2"/>
    <col min="10234" max="10234" width="4.85546875" style="2" customWidth="1"/>
    <col min="10235" max="10235" width="30.5703125" style="2" customWidth="1"/>
    <col min="10236" max="10236" width="33.85546875" style="2" customWidth="1"/>
    <col min="10237" max="10237" width="5.140625" style="2" customWidth="1"/>
    <col min="10238" max="10239" width="17.5703125" style="2" customWidth="1"/>
    <col min="10240" max="10483" width="9.140625" style="2"/>
    <col min="10484" max="10484" width="3.7109375" style="2" customWidth="1"/>
    <col min="10485" max="10485" width="96.85546875" style="2" customWidth="1"/>
    <col min="10486" max="10486" width="30.85546875" style="2" customWidth="1"/>
    <col min="10487" max="10487" width="12.5703125" style="2" customWidth="1"/>
    <col min="10488" max="10488" width="5.140625" style="2" customWidth="1"/>
    <col min="10489" max="10489" width="9.140625" style="2"/>
    <col min="10490" max="10490" width="4.85546875" style="2" customWidth="1"/>
    <col min="10491" max="10491" width="30.5703125" style="2" customWidth="1"/>
    <col min="10492" max="10492" width="33.85546875" style="2" customWidth="1"/>
    <col min="10493" max="10493" width="5.140625" style="2" customWidth="1"/>
    <col min="10494" max="10495" width="17.5703125" style="2" customWidth="1"/>
    <col min="10496" max="10739" width="9.140625" style="2"/>
    <col min="10740" max="10740" width="3.7109375" style="2" customWidth="1"/>
    <col min="10741" max="10741" width="96.85546875" style="2" customWidth="1"/>
    <col min="10742" max="10742" width="30.85546875" style="2" customWidth="1"/>
    <col min="10743" max="10743" width="12.5703125" style="2" customWidth="1"/>
    <col min="10744" max="10744" width="5.140625" style="2" customWidth="1"/>
    <col min="10745" max="10745" width="9.140625" style="2"/>
    <col min="10746" max="10746" width="4.85546875" style="2" customWidth="1"/>
    <col min="10747" max="10747" width="30.5703125" style="2" customWidth="1"/>
    <col min="10748" max="10748" width="33.85546875" style="2" customWidth="1"/>
    <col min="10749" max="10749" width="5.140625" style="2" customWidth="1"/>
    <col min="10750" max="10751" width="17.5703125" style="2" customWidth="1"/>
    <col min="10752" max="10995" width="9.140625" style="2"/>
    <col min="10996" max="10996" width="3.7109375" style="2" customWidth="1"/>
    <col min="10997" max="10997" width="96.85546875" style="2" customWidth="1"/>
    <col min="10998" max="10998" width="30.85546875" style="2" customWidth="1"/>
    <col min="10999" max="10999" width="12.5703125" style="2" customWidth="1"/>
    <col min="11000" max="11000" width="5.140625" style="2" customWidth="1"/>
    <col min="11001" max="11001" width="9.140625" style="2"/>
    <col min="11002" max="11002" width="4.85546875" style="2" customWidth="1"/>
    <col min="11003" max="11003" width="30.5703125" style="2" customWidth="1"/>
    <col min="11004" max="11004" width="33.85546875" style="2" customWidth="1"/>
    <col min="11005" max="11005" width="5.140625" style="2" customWidth="1"/>
    <col min="11006" max="11007" width="17.5703125" style="2" customWidth="1"/>
    <col min="11008" max="11251" width="9.140625" style="2"/>
    <col min="11252" max="11252" width="3.7109375" style="2" customWidth="1"/>
    <col min="11253" max="11253" width="96.85546875" style="2" customWidth="1"/>
    <col min="11254" max="11254" width="30.85546875" style="2" customWidth="1"/>
    <col min="11255" max="11255" width="12.5703125" style="2" customWidth="1"/>
    <col min="11256" max="11256" width="5.140625" style="2" customWidth="1"/>
    <col min="11257" max="11257" width="9.140625" style="2"/>
    <col min="11258" max="11258" width="4.85546875" style="2" customWidth="1"/>
    <col min="11259" max="11259" width="30.5703125" style="2" customWidth="1"/>
    <col min="11260" max="11260" width="33.85546875" style="2" customWidth="1"/>
    <col min="11261" max="11261" width="5.140625" style="2" customWidth="1"/>
    <col min="11262" max="11263" width="17.5703125" style="2" customWidth="1"/>
    <col min="11264" max="11507" width="9.140625" style="2"/>
    <col min="11508" max="11508" width="3.7109375" style="2" customWidth="1"/>
    <col min="11509" max="11509" width="96.85546875" style="2" customWidth="1"/>
    <col min="11510" max="11510" width="30.85546875" style="2" customWidth="1"/>
    <col min="11511" max="11511" width="12.5703125" style="2" customWidth="1"/>
    <col min="11512" max="11512" width="5.140625" style="2" customWidth="1"/>
    <col min="11513" max="11513" width="9.140625" style="2"/>
    <col min="11514" max="11514" width="4.85546875" style="2" customWidth="1"/>
    <col min="11515" max="11515" width="30.5703125" style="2" customWidth="1"/>
    <col min="11516" max="11516" width="33.85546875" style="2" customWidth="1"/>
    <col min="11517" max="11517" width="5.140625" style="2" customWidth="1"/>
    <col min="11518" max="11519" width="17.5703125" style="2" customWidth="1"/>
    <col min="11520" max="11763" width="9.140625" style="2"/>
    <col min="11764" max="11764" width="3.7109375" style="2" customWidth="1"/>
    <col min="11765" max="11765" width="96.85546875" style="2" customWidth="1"/>
    <col min="11766" max="11766" width="30.85546875" style="2" customWidth="1"/>
    <col min="11767" max="11767" width="12.5703125" style="2" customWidth="1"/>
    <col min="11768" max="11768" width="5.140625" style="2" customWidth="1"/>
    <col min="11769" max="11769" width="9.140625" style="2"/>
    <col min="11770" max="11770" width="4.85546875" style="2" customWidth="1"/>
    <col min="11771" max="11771" width="30.5703125" style="2" customWidth="1"/>
    <col min="11772" max="11772" width="33.85546875" style="2" customWidth="1"/>
    <col min="11773" max="11773" width="5.140625" style="2" customWidth="1"/>
    <col min="11774" max="11775" width="17.5703125" style="2" customWidth="1"/>
    <col min="11776" max="12019" width="9.140625" style="2"/>
    <col min="12020" max="12020" width="3.7109375" style="2" customWidth="1"/>
    <col min="12021" max="12021" width="96.85546875" style="2" customWidth="1"/>
    <col min="12022" max="12022" width="30.85546875" style="2" customWidth="1"/>
    <col min="12023" max="12023" width="12.5703125" style="2" customWidth="1"/>
    <col min="12024" max="12024" width="5.140625" style="2" customWidth="1"/>
    <col min="12025" max="12025" width="9.140625" style="2"/>
    <col min="12026" max="12026" width="4.85546875" style="2" customWidth="1"/>
    <col min="12027" max="12027" width="30.5703125" style="2" customWidth="1"/>
    <col min="12028" max="12028" width="33.85546875" style="2" customWidth="1"/>
    <col min="12029" max="12029" width="5.140625" style="2" customWidth="1"/>
    <col min="12030" max="12031" width="17.5703125" style="2" customWidth="1"/>
    <col min="12032" max="12275" width="9.140625" style="2"/>
    <col min="12276" max="12276" width="3.7109375" style="2" customWidth="1"/>
    <col min="12277" max="12277" width="96.85546875" style="2" customWidth="1"/>
    <col min="12278" max="12278" width="30.85546875" style="2" customWidth="1"/>
    <col min="12279" max="12279" width="12.5703125" style="2" customWidth="1"/>
    <col min="12280" max="12280" width="5.140625" style="2" customWidth="1"/>
    <col min="12281" max="12281" width="9.140625" style="2"/>
    <col min="12282" max="12282" width="4.85546875" style="2" customWidth="1"/>
    <col min="12283" max="12283" width="30.5703125" style="2" customWidth="1"/>
    <col min="12284" max="12284" width="33.85546875" style="2" customWidth="1"/>
    <col min="12285" max="12285" width="5.140625" style="2" customWidth="1"/>
    <col min="12286" max="12287" width="17.5703125" style="2" customWidth="1"/>
    <col min="12288" max="12531" width="9.140625" style="2"/>
    <col min="12532" max="12532" width="3.7109375" style="2" customWidth="1"/>
    <col min="12533" max="12533" width="96.85546875" style="2" customWidth="1"/>
    <col min="12534" max="12534" width="30.85546875" style="2" customWidth="1"/>
    <col min="12535" max="12535" width="12.5703125" style="2" customWidth="1"/>
    <col min="12536" max="12536" width="5.140625" style="2" customWidth="1"/>
    <col min="12537" max="12537" width="9.140625" style="2"/>
    <col min="12538" max="12538" width="4.85546875" style="2" customWidth="1"/>
    <col min="12539" max="12539" width="30.5703125" style="2" customWidth="1"/>
    <col min="12540" max="12540" width="33.85546875" style="2" customWidth="1"/>
    <col min="12541" max="12541" width="5.140625" style="2" customWidth="1"/>
    <col min="12542" max="12543" width="17.5703125" style="2" customWidth="1"/>
    <col min="12544" max="12787" width="9.140625" style="2"/>
    <col min="12788" max="12788" width="3.7109375" style="2" customWidth="1"/>
    <col min="12789" max="12789" width="96.85546875" style="2" customWidth="1"/>
    <col min="12790" max="12790" width="30.85546875" style="2" customWidth="1"/>
    <col min="12791" max="12791" width="12.5703125" style="2" customWidth="1"/>
    <col min="12792" max="12792" width="5.140625" style="2" customWidth="1"/>
    <col min="12793" max="12793" width="9.140625" style="2"/>
    <col min="12794" max="12794" width="4.85546875" style="2" customWidth="1"/>
    <col min="12795" max="12795" width="30.5703125" style="2" customWidth="1"/>
    <col min="12796" max="12796" width="33.85546875" style="2" customWidth="1"/>
    <col min="12797" max="12797" width="5.140625" style="2" customWidth="1"/>
    <col min="12798" max="12799" width="17.5703125" style="2" customWidth="1"/>
    <col min="12800" max="13043" width="9.140625" style="2"/>
    <col min="13044" max="13044" width="3.7109375" style="2" customWidth="1"/>
    <col min="13045" max="13045" width="96.85546875" style="2" customWidth="1"/>
    <col min="13046" max="13046" width="30.85546875" style="2" customWidth="1"/>
    <col min="13047" max="13047" width="12.5703125" style="2" customWidth="1"/>
    <col min="13048" max="13048" width="5.140625" style="2" customWidth="1"/>
    <col min="13049" max="13049" width="9.140625" style="2"/>
    <col min="13050" max="13050" width="4.85546875" style="2" customWidth="1"/>
    <col min="13051" max="13051" width="30.5703125" style="2" customWidth="1"/>
    <col min="13052" max="13052" width="33.85546875" style="2" customWidth="1"/>
    <col min="13053" max="13053" width="5.140625" style="2" customWidth="1"/>
    <col min="13054" max="13055" width="17.5703125" style="2" customWidth="1"/>
    <col min="13056" max="13299" width="9.140625" style="2"/>
    <col min="13300" max="13300" width="3.7109375" style="2" customWidth="1"/>
    <col min="13301" max="13301" width="96.85546875" style="2" customWidth="1"/>
    <col min="13302" max="13302" width="30.85546875" style="2" customWidth="1"/>
    <col min="13303" max="13303" width="12.5703125" style="2" customWidth="1"/>
    <col min="13304" max="13304" width="5.140625" style="2" customWidth="1"/>
    <col min="13305" max="13305" width="9.140625" style="2"/>
    <col min="13306" max="13306" width="4.85546875" style="2" customWidth="1"/>
    <col min="13307" max="13307" width="30.5703125" style="2" customWidth="1"/>
    <col min="13308" max="13308" width="33.85546875" style="2" customWidth="1"/>
    <col min="13309" max="13309" width="5.140625" style="2" customWidth="1"/>
    <col min="13310" max="13311" width="17.5703125" style="2" customWidth="1"/>
    <col min="13312" max="13555" width="9.140625" style="2"/>
    <col min="13556" max="13556" width="3.7109375" style="2" customWidth="1"/>
    <col min="13557" max="13557" width="96.85546875" style="2" customWidth="1"/>
    <col min="13558" max="13558" width="30.85546875" style="2" customWidth="1"/>
    <col min="13559" max="13559" width="12.5703125" style="2" customWidth="1"/>
    <col min="13560" max="13560" width="5.140625" style="2" customWidth="1"/>
    <col min="13561" max="13561" width="9.140625" style="2"/>
    <col min="13562" max="13562" width="4.85546875" style="2" customWidth="1"/>
    <col min="13563" max="13563" width="30.5703125" style="2" customWidth="1"/>
    <col min="13564" max="13564" width="33.85546875" style="2" customWidth="1"/>
    <col min="13565" max="13565" width="5.140625" style="2" customWidth="1"/>
    <col min="13566" max="13567" width="17.5703125" style="2" customWidth="1"/>
    <col min="13568" max="13811" width="9.140625" style="2"/>
    <col min="13812" max="13812" width="3.7109375" style="2" customWidth="1"/>
    <col min="13813" max="13813" width="96.85546875" style="2" customWidth="1"/>
    <col min="13814" max="13814" width="30.85546875" style="2" customWidth="1"/>
    <col min="13815" max="13815" width="12.5703125" style="2" customWidth="1"/>
    <col min="13816" max="13816" width="5.140625" style="2" customWidth="1"/>
    <col min="13817" max="13817" width="9.140625" style="2"/>
    <col min="13818" max="13818" width="4.85546875" style="2" customWidth="1"/>
    <col min="13819" max="13819" width="30.5703125" style="2" customWidth="1"/>
    <col min="13820" max="13820" width="33.85546875" style="2" customWidth="1"/>
    <col min="13821" max="13821" width="5.140625" style="2" customWidth="1"/>
    <col min="13822" max="13823" width="17.5703125" style="2" customWidth="1"/>
    <col min="13824" max="14067" width="9.140625" style="2"/>
    <col min="14068" max="14068" width="3.7109375" style="2" customWidth="1"/>
    <col min="14069" max="14069" width="96.85546875" style="2" customWidth="1"/>
    <col min="14070" max="14070" width="30.85546875" style="2" customWidth="1"/>
    <col min="14071" max="14071" width="12.5703125" style="2" customWidth="1"/>
    <col min="14072" max="14072" width="5.140625" style="2" customWidth="1"/>
    <col min="14073" max="14073" width="9.140625" style="2"/>
    <col min="14074" max="14074" width="4.85546875" style="2" customWidth="1"/>
    <col min="14075" max="14075" width="30.5703125" style="2" customWidth="1"/>
    <col min="14076" max="14076" width="33.85546875" style="2" customWidth="1"/>
    <col min="14077" max="14077" width="5.140625" style="2" customWidth="1"/>
    <col min="14078" max="14079" width="17.5703125" style="2" customWidth="1"/>
    <col min="14080" max="14323" width="9.140625" style="2"/>
    <col min="14324" max="14324" width="3.7109375" style="2" customWidth="1"/>
    <col min="14325" max="14325" width="96.85546875" style="2" customWidth="1"/>
    <col min="14326" max="14326" width="30.85546875" style="2" customWidth="1"/>
    <col min="14327" max="14327" width="12.5703125" style="2" customWidth="1"/>
    <col min="14328" max="14328" width="5.140625" style="2" customWidth="1"/>
    <col min="14329" max="14329" width="9.140625" style="2"/>
    <col min="14330" max="14330" width="4.85546875" style="2" customWidth="1"/>
    <col min="14331" max="14331" width="30.5703125" style="2" customWidth="1"/>
    <col min="14332" max="14332" width="33.85546875" style="2" customWidth="1"/>
    <col min="14333" max="14333" width="5.140625" style="2" customWidth="1"/>
    <col min="14334" max="14335" width="17.5703125" style="2" customWidth="1"/>
    <col min="14336" max="14579" width="9.140625" style="2"/>
    <col min="14580" max="14580" width="3.7109375" style="2" customWidth="1"/>
    <col min="14581" max="14581" width="96.85546875" style="2" customWidth="1"/>
    <col min="14582" max="14582" width="30.85546875" style="2" customWidth="1"/>
    <col min="14583" max="14583" width="12.5703125" style="2" customWidth="1"/>
    <col min="14584" max="14584" width="5.140625" style="2" customWidth="1"/>
    <col min="14585" max="14585" width="9.140625" style="2"/>
    <col min="14586" max="14586" width="4.85546875" style="2" customWidth="1"/>
    <col min="14587" max="14587" width="30.5703125" style="2" customWidth="1"/>
    <col min="14588" max="14588" width="33.85546875" style="2" customWidth="1"/>
    <col min="14589" max="14589" width="5.140625" style="2" customWidth="1"/>
    <col min="14590" max="14591" width="17.5703125" style="2" customWidth="1"/>
    <col min="14592" max="14835" width="9.140625" style="2"/>
    <col min="14836" max="14836" width="3.7109375" style="2" customWidth="1"/>
    <col min="14837" max="14837" width="96.85546875" style="2" customWidth="1"/>
    <col min="14838" max="14838" width="30.85546875" style="2" customWidth="1"/>
    <col min="14839" max="14839" width="12.5703125" style="2" customWidth="1"/>
    <col min="14840" max="14840" width="5.140625" style="2" customWidth="1"/>
    <col min="14841" max="14841" width="9.140625" style="2"/>
    <col min="14842" max="14842" width="4.85546875" style="2" customWidth="1"/>
    <col min="14843" max="14843" width="30.5703125" style="2" customWidth="1"/>
    <col min="14844" max="14844" width="33.85546875" style="2" customWidth="1"/>
    <col min="14845" max="14845" width="5.140625" style="2" customWidth="1"/>
    <col min="14846" max="14847" width="17.5703125" style="2" customWidth="1"/>
    <col min="14848" max="15091" width="9.140625" style="2"/>
    <col min="15092" max="15092" width="3.7109375" style="2" customWidth="1"/>
    <col min="15093" max="15093" width="96.85546875" style="2" customWidth="1"/>
    <col min="15094" max="15094" width="30.85546875" style="2" customWidth="1"/>
    <col min="15095" max="15095" width="12.5703125" style="2" customWidth="1"/>
    <col min="15096" max="15096" width="5.140625" style="2" customWidth="1"/>
    <col min="15097" max="15097" width="9.140625" style="2"/>
    <col min="15098" max="15098" width="4.85546875" style="2" customWidth="1"/>
    <col min="15099" max="15099" width="30.5703125" style="2" customWidth="1"/>
    <col min="15100" max="15100" width="33.85546875" style="2" customWidth="1"/>
    <col min="15101" max="15101" width="5.140625" style="2" customWidth="1"/>
    <col min="15102" max="15103" width="17.5703125" style="2" customWidth="1"/>
    <col min="15104" max="15347" width="9.140625" style="2"/>
    <col min="15348" max="15348" width="3.7109375" style="2" customWidth="1"/>
    <col min="15349" max="15349" width="96.85546875" style="2" customWidth="1"/>
    <col min="15350" max="15350" width="30.85546875" style="2" customWidth="1"/>
    <col min="15351" max="15351" width="12.5703125" style="2" customWidth="1"/>
    <col min="15352" max="15352" width="5.140625" style="2" customWidth="1"/>
    <col min="15353" max="15353" width="9.140625" style="2"/>
    <col min="15354" max="15354" width="4.85546875" style="2" customWidth="1"/>
    <col min="15355" max="15355" width="30.5703125" style="2" customWidth="1"/>
    <col min="15356" max="15356" width="33.85546875" style="2" customWidth="1"/>
    <col min="15357" max="15357" width="5.140625" style="2" customWidth="1"/>
    <col min="15358" max="15359" width="17.5703125" style="2" customWidth="1"/>
    <col min="15360" max="15603" width="9.140625" style="2"/>
    <col min="15604" max="15604" width="3.7109375" style="2" customWidth="1"/>
    <col min="15605" max="15605" width="96.85546875" style="2" customWidth="1"/>
    <col min="15606" max="15606" width="30.85546875" style="2" customWidth="1"/>
    <col min="15607" max="15607" width="12.5703125" style="2" customWidth="1"/>
    <col min="15608" max="15608" width="5.140625" style="2" customWidth="1"/>
    <col min="15609" max="15609" width="9.140625" style="2"/>
    <col min="15610" max="15610" width="4.85546875" style="2" customWidth="1"/>
    <col min="15611" max="15611" width="30.5703125" style="2" customWidth="1"/>
    <col min="15612" max="15612" width="33.85546875" style="2" customWidth="1"/>
    <col min="15613" max="15613" width="5.140625" style="2" customWidth="1"/>
    <col min="15614" max="15615" width="17.5703125" style="2" customWidth="1"/>
    <col min="15616" max="15859" width="9.140625" style="2"/>
    <col min="15860" max="15860" width="3.7109375" style="2" customWidth="1"/>
    <col min="15861" max="15861" width="96.85546875" style="2" customWidth="1"/>
    <col min="15862" max="15862" width="30.85546875" style="2" customWidth="1"/>
    <col min="15863" max="15863" width="12.5703125" style="2" customWidth="1"/>
    <col min="15864" max="15864" width="5.140625" style="2" customWidth="1"/>
    <col min="15865" max="15865" width="9.140625" style="2"/>
    <col min="15866" max="15866" width="4.85546875" style="2" customWidth="1"/>
    <col min="15867" max="15867" width="30.5703125" style="2" customWidth="1"/>
    <col min="15868" max="15868" width="33.85546875" style="2" customWidth="1"/>
    <col min="15869" max="15869" width="5.140625" style="2" customWidth="1"/>
    <col min="15870" max="15871" width="17.5703125" style="2" customWidth="1"/>
    <col min="15872" max="16115" width="9.140625" style="2"/>
    <col min="16116" max="16116" width="3.7109375" style="2" customWidth="1"/>
    <col min="16117" max="16117" width="96.85546875" style="2" customWidth="1"/>
    <col min="16118" max="16118" width="30.85546875" style="2" customWidth="1"/>
    <col min="16119" max="16119" width="12.5703125" style="2" customWidth="1"/>
    <col min="16120" max="16120" width="5.140625" style="2" customWidth="1"/>
    <col min="16121" max="16121" width="9.140625" style="2"/>
    <col min="16122" max="16122" width="4.85546875" style="2" customWidth="1"/>
    <col min="16123" max="16123" width="30.5703125" style="2" customWidth="1"/>
    <col min="16124" max="16124" width="33.85546875" style="2" customWidth="1"/>
    <col min="16125" max="16125" width="5.140625" style="2" customWidth="1"/>
    <col min="16126" max="16127" width="17.5703125" style="2" customWidth="1"/>
    <col min="16128" max="16384" width="9.140625" style="2"/>
  </cols>
  <sheetData>
    <row r="1" spans="1:3" ht="48" customHeight="1" x14ac:dyDescent="0.2">
      <c r="A1" s="3"/>
      <c r="B1" s="143" t="s">
        <v>227</v>
      </c>
      <c r="C1" s="143"/>
    </row>
    <row r="2" spans="1:3" x14ac:dyDescent="0.2">
      <c r="A2" s="3"/>
      <c r="B2" s="4" t="s">
        <v>1</v>
      </c>
      <c r="C2" s="5">
        <v>46052</v>
      </c>
    </row>
    <row r="3" spans="1:3" x14ac:dyDescent="0.2">
      <c r="A3" s="3"/>
      <c r="B3" s="117" t="s">
        <v>2</v>
      </c>
      <c r="C3" s="7"/>
    </row>
    <row r="4" spans="1:3" ht="21" customHeight="1" x14ac:dyDescent="0.2">
      <c r="A4" s="8"/>
      <c r="B4" s="9" t="str">
        <f>[5]И1!D13</f>
        <v>Субъект Российской Федерации</v>
      </c>
      <c r="C4" s="10" t="str">
        <f>[5]И1!E13</f>
        <v>Новосибирская область</v>
      </c>
    </row>
    <row r="5" spans="1:3" ht="37.5" customHeight="1" x14ac:dyDescent="0.2">
      <c r="A5" s="8"/>
      <c r="B5" s="9" t="str">
        <f>[5]И1!D14</f>
        <v>Тип муниципального образования (выберите из списка)</v>
      </c>
      <c r="C5" s="10" t="str">
        <f>[6]И1!E14</f>
        <v xml:space="preserve">село Верх-Коен, Искитимский муниципальный район </v>
      </c>
    </row>
    <row r="6" spans="1:3" x14ac:dyDescent="0.2">
      <c r="A6" s="8"/>
      <c r="B6" s="9" t="str">
        <f>IF([5]И1!E15="","",[5]И1!D15)</f>
        <v/>
      </c>
      <c r="C6" s="7" t="str">
        <f>IF([5]И1!E15="","",[5]И1!E15)</f>
        <v/>
      </c>
    </row>
    <row r="7" spans="1:3" x14ac:dyDescent="0.2">
      <c r="A7" s="8"/>
      <c r="B7" s="9" t="str">
        <f>[5]И1!D16</f>
        <v>Код ОКТМО</v>
      </c>
      <c r="C7" s="11" t="str">
        <f>[6]И1!E16</f>
        <v>(50615404101)</v>
      </c>
    </row>
    <row r="8" spans="1:3" x14ac:dyDescent="0.2">
      <c r="A8" s="8"/>
      <c r="B8" s="12" t="str">
        <f>[5]И1!D17</f>
        <v>Система теплоснабжения</v>
      </c>
      <c r="C8" s="13">
        <f>[5]И1!E17</f>
        <v>0</v>
      </c>
    </row>
    <row r="9" spans="1:3" x14ac:dyDescent="0.2">
      <c r="A9" s="8"/>
      <c r="B9" s="9" t="str">
        <f>[5]И1!D8</f>
        <v>Период регулирования (i)-й</v>
      </c>
      <c r="C9" s="14">
        <f>[5]И1!E8</f>
        <v>2026</v>
      </c>
    </row>
    <row r="10" spans="1:3" x14ac:dyDescent="0.2">
      <c r="A10" s="8"/>
      <c r="B10" s="9" t="str">
        <f>[5]И1!D9</f>
        <v>Период регулирования (i-1)-й</v>
      </c>
      <c r="C10" s="14">
        <f>[5]И1!E9</f>
        <v>2025</v>
      </c>
    </row>
    <row r="11" spans="1:3" x14ac:dyDescent="0.2">
      <c r="A11" s="8"/>
      <c r="B11" s="9" t="str">
        <f>[5]И1!D10</f>
        <v>Период регулирования (i-2)-й</v>
      </c>
      <c r="C11" s="14">
        <f>[5]И1!E10</f>
        <v>2024</v>
      </c>
    </row>
    <row r="12" spans="1:3" x14ac:dyDescent="0.2">
      <c r="A12" s="8"/>
      <c r="B12" s="9" t="str">
        <f>[5]И1!D11</f>
        <v>Базовый год (б)</v>
      </c>
      <c r="C12" s="14">
        <f>[5]И1!E11</f>
        <v>2019</v>
      </c>
    </row>
    <row r="13" spans="1:3" x14ac:dyDescent="0.2">
      <c r="A13" s="8"/>
      <c r="B13" s="9" t="str">
        <f>[5]И1!D18</f>
        <v>Вид топлива, использование которого преобладает в системе теплоснабжения</v>
      </c>
      <c r="C13" s="15" t="str">
        <f>[5]И1!E18</f>
        <v>Газ</v>
      </c>
    </row>
    <row r="14" spans="1:3" ht="26.25" customHeight="1" thickBot="1" x14ac:dyDescent="0.25">
      <c r="A14" s="147" t="s">
        <v>3</v>
      </c>
      <c r="B14" s="147"/>
      <c r="C14" s="147"/>
    </row>
    <row r="15" spans="1:3" x14ac:dyDescent="0.2">
      <c r="A15" s="16" t="s">
        <v>4</v>
      </c>
      <c r="B15" s="30" t="s">
        <v>5</v>
      </c>
      <c r="C15" s="118" t="s">
        <v>6</v>
      </c>
    </row>
    <row r="16" spans="1:3" x14ac:dyDescent="0.2">
      <c r="A16" s="19">
        <v>1</v>
      </c>
      <c r="B16" s="119">
        <v>2</v>
      </c>
      <c r="C16" s="120">
        <v>3</v>
      </c>
    </row>
    <row r="17" spans="1:3" x14ac:dyDescent="0.2">
      <c r="A17" s="22">
        <v>1</v>
      </c>
      <c r="B17" s="23" t="s">
        <v>7</v>
      </c>
      <c r="C17" s="24">
        <f>SUM(C18:C23)</f>
        <v>4431.4321544896538</v>
      </c>
    </row>
    <row r="18" spans="1:3" ht="42.75" x14ac:dyDescent="0.2">
      <c r="A18" s="22" t="s">
        <v>8</v>
      </c>
      <c r="B18" s="25" t="s">
        <v>9</v>
      </c>
      <c r="C18" s="26">
        <f>[5]С1!F12</f>
        <v>1278.3072413778675</v>
      </c>
    </row>
    <row r="19" spans="1:3" ht="42.75" x14ac:dyDescent="0.2">
      <c r="A19" s="22" t="s">
        <v>10</v>
      </c>
      <c r="B19" s="25" t="s">
        <v>11</v>
      </c>
      <c r="C19" s="26">
        <f>[5]С2!F12</f>
        <v>2138.4809328120286</v>
      </c>
    </row>
    <row r="20" spans="1:3" ht="30" x14ac:dyDescent="0.2">
      <c r="A20" s="22" t="s">
        <v>12</v>
      </c>
      <c r="B20" s="25" t="s">
        <v>13</v>
      </c>
      <c r="C20" s="26">
        <f>[5]С3!F12</f>
        <v>648.51527232589353</v>
      </c>
    </row>
    <row r="21" spans="1:3" ht="42.75" x14ac:dyDescent="0.2">
      <c r="A21" s="22" t="s">
        <v>14</v>
      </c>
      <c r="B21" s="25" t="s">
        <v>228</v>
      </c>
      <c r="C21" s="26">
        <f>[5]С4!F12</f>
        <v>279.23788141524307</v>
      </c>
    </row>
    <row r="22" spans="1:3" ht="33" customHeight="1" x14ac:dyDescent="0.2">
      <c r="A22" s="22" t="s">
        <v>16</v>
      </c>
      <c r="B22" s="25" t="s">
        <v>229</v>
      </c>
      <c r="C22" s="26">
        <f>[5]С5!F12</f>
        <v>86.890826558620674</v>
      </c>
    </row>
    <row r="23" spans="1:3" ht="45.75" customHeight="1" thickBot="1" x14ac:dyDescent="0.25">
      <c r="A23" s="27" t="s">
        <v>18</v>
      </c>
      <c r="B23" s="140" t="s">
        <v>230</v>
      </c>
      <c r="C23" s="28">
        <f>[5]С6!F12</f>
        <v>0</v>
      </c>
    </row>
    <row r="24" spans="1:3" ht="13.5" thickBot="1" x14ac:dyDescent="0.25">
      <c r="A24" s="3"/>
      <c r="C24" s="7"/>
    </row>
    <row r="25" spans="1:3" x14ac:dyDescent="0.2">
      <c r="A25" s="16" t="s">
        <v>4</v>
      </c>
      <c r="B25" s="29" t="s">
        <v>5</v>
      </c>
      <c r="C25" s="30" t="s">
        <v>6</v>
      </c>
    </row>
    <row r="26" spans="1:3" x14ac:dyDescent="0.2">
      <c r="A26" s="19">
        <v>1</v>
      </c>
      <c r="B26" s="31">
        <v>2</v>
      </c>
      <c r="C26" s="32">
        <v>3</v>
      </c>
    </row>
    <row r="27" spans="1:3" ht="30" customHeight="1" x14ac:dyDescent="0.2">
      <c r="A27" s="22">
        <v>1</v>
      </c>
      <c r="B27" s="144" t="s">
        <v>20</v>
      </c>
      <c r="C27" s="144"/>
    </row>
    <row r="28" spans="1:3" x14ac:dyDescent="0.2">
      <c r="A28" s="22" t="s">
        <v>8</v>
      </c>
      <c r="B28" s="33" t="s">
        <v>231</v>
      </c>
      <c r="C28" s="34">
        <f>[5]С1.1!E16</f>
        <v>7900</v>
      </c>
    </row>
    <row r="29" spans="1:3" ht="42.75" x14ac:dyDescent="0.2">
      <c r="A29" s="22" t="s">
        <v>10</v>
      </c>
      <c r="B29" s="33" t="s">
        <v>232</v>
      </c>
      <c r="C29" s="34">
        <f>[5]С1.1!E32</f>
        <v>6710.12</v>
      </c>
    </row>
    <row r="30" spans="1:3" ht="128.25" customHeight="1" x14ac:dyDescent="0.2">
      <c r="A30" s="22" t="s">
        <v>233</v>
      </c>
      <c r="B30" s="33" t="s">
        <v>234</v>
      </c>
      <c r="C30" s="85" t="str">
        <f>[5]С1.1!E25</f>
        <v>ООО "Газпром межрегионгаз Новосибирск", ООО "Газпром газораспределение Томск" (с 17.02.2025 ООО "Газпром газораспределение Сибирь")</v>
      </c>
    </row>
    <row r="31" spans="1:3" ht="38.25" x14ac:dyDescent="0.2">
      <c r="A31" s="22" t="s">
        <v>235</v>
      </c>
      <c r="B31" s="33" t="str">
        <f>[5]С1.1!D26</f>
        <v>Среднеарифметическое значение между установленными предельными максимальным и минимальным уровнями оптовых цен, действовавшими на день окончания (i-2)-го расчетного периода регулирования в системе теплоснабжения, без НДС, руб./тыс. куб. м</v>
      </c>
      <c r="C31" s="34">
        <f>[5]С1.1!E26</f>
        <v>5670</v>
      </c>
    </row>
    <row r="32" spans="1:3" ht="46.5" customHeight="1" x14ac:dyDescent="0.2">
      <c r="A32" s="22" t="s">
        <v>236</v>
      </c>
      <c r="B32" s="33" t="str">
        <f>[5]С1.1!D27</f>
        <v>Тариф на услуги по транспортировке газа по газораспределительным сетям, действовавший на день окончания (i-2)-го расчетного периода регулирования в системе теплоснабжения, без НДС, руб./тыс. куб. м</v>
      </c>
      <c r="C32" s="34">
        <f>[5]С1.1!E27</f>
        <v>689.14</v>
      </c>
    </row>
    <row r="33" spans="1:3" ht="39" customHeight="1" x14ac:dyDescent="0.2">
      <c r="A33" s="22" t="s">
        <v>237</v>
      </c>
      <c r="B33" s="33" t="str">
        <f>[5]С1.1!D28</f>
        <v>Размер платы за снабженческо-сбытовые услуги, действовавший на день окончания (i-2)-го расчетного периода регулирования в системе теплоснабжения, без НДС, руб./тыс. куб. м</v>
      </c>
      <c r="C33" s="34">
        <f>[5]С1.1!E28</f>
        <v>144.72999999999999</v>
      </c>
    </row>
    <row r="34" spans="1:3" ht="90" customHeight="1" x14ac:dyDescent="0.2">
      <c r="A34" s="22" t="s">
        <v>238</v>
      </c>
      <c r="B34" s="33" t="str">
        <f>[5]С1.1!D29</f>
        <v>Специальная надбавка к тарифам на услуги по транспортировке газа по газораспределительным сетям, действовавшая на день окончания (i-2)-го расчетного периода регулирования в системе теплоснабжения, без НДС, руб./тыс. куб. м</v>
      </c>
      <c r="C34" s="34">
        <f>[5]С1.1!E29</f>
        <v>206.25</v>
      </c>
    </row>
    <row r="35" spans="1:3" ht="287.25" customHeight="1" x14ac:dyDescent="0.2">
      <c r="A35" s="22" t="s">
        <v>12</v>
      </c>
      <c r="B35" s="33" t="s">
        <v>23</v>
      </c>
      <c r="C35" s="35">
        <f>[5]С1.1!E20</f>
        <v>0.21299999999999999</v>
      </c>
    </row>
    <row r="36" spans="1:3" ht="298.5" customHeight="1" x14ac:dyDescent="0.2">
      <c r="A36" s="22" t="s">
        <v>14</v>
      </c>
      <c r="B36" s="33" t="s">
        <v>24</v>
      </c>
      <c r="C36" s="35">
        <f>[5]С1.1!E21</f>
        <v>9.6000000000000002E-2</v>
      </c>
    </row>
    <row r="37" spans="1:3" ht="30" x14ac:dyDescent="0.2">
      <c r="A37" s="22" t="s">
        <v>16</v>
      </c>
      <c r="B37" s="36" t="s">
        <v>239</v>
      </c>
      <c r="C37" s="121">
        <f>[5]С1!F13</f>
        <v>156.1</v>
      </c>
    </row>
    <row r="38" spans="1:3" x14ac:dyDescent="0.2">
      <c r="A38" s="22" t="s">
        <v>18</v>
      </c>
      <c r="B38" s="36" t="s">
        <v>26</v>
      </c>
      <c r="C38" s="38">
        <f>[5]С1!F16</f>
        <v>7000</v>
      </c>
    </row>
    <row r="39" spans="1:3" ht="14.25" x14ac:dyDescent="0.2">
      <c r="A39" s="122" t="s">
        <v>27</v>
      </c>
      <c r="B39" s="39" t="s">
        <v>240</v>
      </c>
      <c r="C39" s="40">
        <f>[5]С1!F17</f>
        <v>1.1285714285714286</v>
      </c>
    </row>
    <row r="40" spans="1:3" ht="15.75" x14ac:dyDescent="0.2">
      <c r="A40" s="123" t="s">
        <v>29</v>
      </c>
      <c r="B40" s="42" t="s">
        <v>30</v>
      </c>
      <c r="C40" s="40">
        <f>[5]С1!F20</f>
        <v>22.307053372799995</v>
      </c>
    </row>
    <row r="41" spans="1:3" ht="15.75" x14ac:dyDescent="0.2">
      <c r="A41" s="123" t="s">
        <v>31</v>
      </c>
      <c r="B41" s="43" t="s">
        <v>32</v>
      </c>
      <c r="C41" s="40">
        <f>[5]С1!F21</f>
        <v>21.531904799999996</v>
      </c>
    </row>
    <row r="42" spans="1:3" ht="14.25" x14ac:dyDescent="0.2">
      <c r="A42" s="123" t="s">
        <v>33</v>
      </c>
      <c r="B42" s="44" t="s">
        <v>34</v>
      </c>
      <c r="C42" s="40">
        <f>[5]С1!F22</f>
        <v>1.036</v>
      </c>
    </row>
    <row r="43" spans="1:3" ht="53.25" thickBot="1" x14ac:dyDescent="0.25">
      <c r="A43" s="27" t="s">
        <v>35</v>
      </c>
      <c r="B43" s="45" t="s">
        <v>36</v>
      </c>
      <c r="C43" s="46" t="str">
        <f>[5]С1!F23</f>
        <v>-</v>
      </c>
    </row>
    <row r="44" spans="1:3" ht="13.5" thickBot="1" x14ac:dyDescent="0.25">
      <c r="A44" s="47"/>
      <c r="B44" s="75"/>
      <c r="C44" s="15"/>
    </row>
    <row r="45" spans="1:3" ht="30" customHeight="1" x14ac:dyDescent="0.2">
      <c r="A45" s="50" t="s">
        <v>37</v>
      </c>
      <c r="B45" s="145" t="s">
        <v>38</v>
      </c>
      <c r="C45" s="145"/>
    </row>
    <row r="46" spans="1:3" ht="25.5" x14ac:dyDescent="0.2">
      <c r="A46" s="22" t="s">
        <v>39</v>
      </c>
      <c r="B46" s="36" t="s">
        <v>40</v>
      </c>
      <c r="C46" s="51" t="str">
        <f>[5]С2.1!E12</f>
        <v>V</v>
      </c>
    </row>
    <row r="47" spans="1:3" ht="25.5" x14ac:dyDescent="0.2">
      <c r="A47" s="22" t="s">
        <v>41</v>
      </c>
      <c r="B47" s="33" t="s">
        <v>42</v>
      </c>
      <c r="C47" s="51" t="str">
        <f>[5]С2.1!E13</f>
        <v>6 и менее баллов</v>
      </c>
    </row>
    <row r="48" spans="1:3" ht="25.5" x14ac:dyDescent="0.2">
      <c r="A48" s="22" t="s">
        <v>43</v>
      </c>
      <c r="B48" s="33" t="s">
        <v>241</v>
      </c>
      <c r="C48" s="51" t="str">
        <f>[5]С2.1!E14</f>
        <v>до 200</v>
      </c>
    </row>
    <row r="49" spans="1:3" ht="25.5" x14ac:dyDescent="0.2">
      <c r="A49" s="22" t="s">
        <v>45</v>
      </c>
      <c r="B49" s="33" t="s">
        <v>242</v>
      </c>
      <c r="C49" s="52" t="str">
        <f>[5]С2.1!E15</f>
        <v>нет</v>
      </c>
    </row>
    <row r="50" spans="1:3" ht="30" x14ac:dyDescent="0.2">
      <c r="A50" s="22" t="s">
        <v>47</v>
      </c>
      <c r="B50" s="33" t="s">
        <v>48</v>
      </c>
      <c r="C50" s="34">
        <f>[5]С2!F18</f>
        <v>40220.845230503684</v>
      </c>
    </row>
    <row r="51" spans="1:3" ht="30" x14ac:dyDescent="0.2">
      <c r="A51" s="22" t="s">
        <v>49</v>
      </c>
      <c r="B51" s="53" t="s">
        <v>50</v>
      </c>
      <c r="C51" s="34">
        <f>IF([5]С2!F19&gt;0,[5]С2!F19,[5]С2!F20)</f>
        <v>23441.524932855718</v>
      </c>
    </row>
    <row r="52" spans="1:3" ht="163.5" customHeight="1" x14ac:dyDescent="0.2">
      <c r="A52" s="22" t="s">
        <v>51</v>
      </c>
      <c r="B52" s="54" t="s">
        <v>52</v>
      </c>
      <c r="C52" s="34">
        <f>[5]С2.1!E20</f>
        <v>-37</v>
      </c>
    </row>
    <row r="53" spans="1:3" ht="42.75" customHeight="1" x14ac:dyDescent="0.2">
      <c r="A53" s="22" t="s">
        <v>53</v>
      </c>
      <c r="B53" s="54" t="s">
        <v>54</v>
      </c>
      <c r="C53" s="34" t="str">
        <f>[5]С2.1!E23</f>
        <v>нет</v>
      </c>
    </row>
    <row r="54" spans="1:3" ht="38.25" x14ac:dyDescent="0.2">
      <c r="A54" s="22" t="s">
        <v>55</v>
      </c>
      <c r="B54" s="55" t="s">
        <v>56</v>
      </c>
      <c r="C54" s="34">
        <f>[5]С2.2!E10</f>
        <v>1287</v>
      </c>
    </row>
    <row r="55" spans="1:3" ht="25.5" x14ac:dyDescent="0.2">
      <c r="A55" s="22" t="s">
        <v>57</v>
      </c>
      <c r="B55" s="56" t="s">
        <v>58</v>
      </c>
      <c r="C55" s="34">
        <f>[5]С2.2!E12</f>
        <v>5.97</v>
      </c>
    </row>
    <row r="56" spans="1:3" ht="52.5" x14ac:dyDescent="0.2">
      <c r="A56" s="22" t="s">
        <v>59</v>
      </c>
      <c r="B56" s="57" t="s">
        <v>60</v>
      </c>
      <c r="C56" s="34">
        <f>[5]С2.2!E13</f>
        <v>1</v>
      </c>
    </row>
    <row r="57" spans="1:3" ht="27.75" x14ac:dyDescent="0.2">
      <c r="A57" s="22" t="s">
        <v>61</v>
      </c>
      <c r="B57" s="56" t="s">
        <v>62</v>
      </c>
      <c r="C57" s="34">
        <f>[5]С2.2!E14</f>
        <v>12104</v>
      </c>
    </row>
    <row r="58" spans="1:3" ht="109.5" customHeight="1" x14ac:dyDescent="0.2">
      <c r="A58" s="22" t="s">
        <v>63</v>
      </c>
      <c r="B58" s="57" t="s">
        <v>64</v>
      </c>
      <c r="C58" s="35">
        <f>[5]С2.2!E15</f>
        <v>4.8000000000000001E-2</v>
      </c>
    </row>
    <row r="59" spans="1:3" ht="104.25" customHeight="1" x14ac:dyDescent="0.2">
      <c r="A59" s="22" t="s">
        <v>65</v>
      </c>
      <c r="B59" s="57" t="s">
        <v>66</v>
      </c>
      <c r="C59" s="124">
        <f>[5]С2.2!E16</f>
        <v>1</v>
      </c>
    </row>
    <row r="60" spans="1:3" ht="15.75" x14ac:dyDescent="0.2">
      <c r="A60" s="22" t="s">
        <v>67</v>
      </c>
      <c r="B60" s="58" t="s">
        <v>68</v>
      </c>
      <c r="C60" s="34">
        <f>[5]С2!F21</f>
        <v>1</v>
      </c>
    </row>
    <row r="61" spans="1:3" ht="30" x14ac:dyDescent="0.2">
      <c r="A61" s="59" t="s">
        <v>69</v>
      </c>
      <c r="B61" s="33" t="s">
        <v>243</v>
      </c>
      <c r="C61" s="34">
        <f>[5]С2!F13</f>
        <v>119259.45174981897</v>
      </c>
    </row>
    <row r="62" spans="1:3" ht="30" x14ac:dyDescent="0.2">
      <c r="A62" s="59" t="s">
        <v>71</v>
      </c>
      <c r="B62" s="60" t="s">
        <v>244</v>
      </c>
      <c r="C62" s="34">
        <f>[5]С2!F14</f>
        <v>64899</v>
      </c>
    </row>
    <row r="63" spans="1:3" ht="15.75" x14ac:dyDescent="0.2">
      <c r="A63" s="59" t="s">
        <v>73</v>
      </c>
      <c r="B63" s="60" t="s">
        <v>74</v>
      </c>
      <c r="C63" s="40">
        <f>[5]С2!F15</f>
        <v>1.071</v>
      </c>
    </row>
    <row r="64" spans="1:3" ht="15.75" x14ac:dyDescent="0.2">
      <c r="A64" s="59" t="s">
        <v>75</v>
      </c>
      <c r="B64" s="60" t="s">
        <v>76</v>
      </c>
      <c r="C64" s="125">
        <f>[5]С2!F16</f>
        <v>1</v>
      </c>
    </row>
    <row r="65" spans="1:3" ht="17.25" x14ac:dyDescent="0.2">
      <c r="A65" s="59" t="s">
        <v>77</v>
      </c>
      <c r="B65" s="60" t="s">
        <v>78</v>
      </c>
      <c r="C65" s="126">
        <f>[5]С2!F17</f>
        <v>1</v>
      </c>
    </row>
    <row r="66" spans="1:3" s="63" customFormat="1" ht="14.25" x14ac:dyDescent="0.2">
      <c r="A66" s="59" t="s">
        <v>79</v>
      </c>
      <c r="B66" s="61" t="s">
        <v>80</v>
      </c>
      <c r="C66" s="62">
        <f>[5]С2!F35</f>
        <v>10</v>
      </c>
    </row>
    <row r="67" spans="1:3" ht="30" x14ac:dyDescent="0.2">
      <c r="A67" s="59" t="s">
        <v>81</v>
      </c>
      <c r="B67" s="64" t="s">
        <v>82</v>
      </c>
      <c r="C67" s="34">
        <f>[5]С2!F28</f>
        <v>379.2714742785962</v>
      </c>
    </row>
    <row r="68" spans="1:3" ht="274.5" customHeight="1" x14ac:dyDescent="0.2">
      <c r="A68" s="59" t="s">
        <v>83</v>
      </c>
      <c r="B68" s="53" t="s">
        <v>245</v>
      </c>
      <c r="C68" s="40">
        <f>[5]С2!F29</f>
        <v>0.44209422600000003</v>
      </c>
    </row>
    <row r="69" spans="1:3" ht="17.25" x14ac:dyDescent="0.2">
      <c r="A69" s="59" t="s">
        <v>85</v>
      </c>
      <c r="B69" s="58" t="s">
        <v>246</v>
      </c>
      <c r="C69" s="62">
        <f>[5]С2!F30</f>
        <v>500</v>
      </c>
    </row>
    <row r="70" spans="1:3" ht="42.75" x14ac:dyDescent="0.2">
      <c r="A70" s="59" t="s">
        <v>87</v>
      </c>
      <c r="B70" s="33" t="s">
        <v>247</v>
      </c>
      <c r="C70" s="34">
        <f>[5]С2!F22</f>
        <v>24548.869037237404</v>
      </c>
    </row>
    <row r="71" spans="1:3" ht="30" x14ac:dyDescent="0.2">
      <c r="A71" s="59" t="s">
        <v>89</v>
      </c>
      <c r="B71" s="60" t="s">
        <v>248</v>
      </c>
      <c r="C71" s="34">
        <f>[5]С2!F23</f>
        <v>21</v>
      </c>
    </row>
    <row r="72" spans="1:3" ht="30" x14ac:dyDescent="0.2">
      <c r="A72" s="59" t="s">
        <v>91</v>
      </c>
      <c r="B72" s="53" t="s">
        <v>92</v>
      </c>
      <c r="C72" s="34">
        <f>[5]С2.1!E28</f>
        <v>5515.9310416666667</v>
      </c>
    </row>
    <row r="73" spans="1:3" ht="38.25" x14ac:dyDescent="0.2">
      <c r="A73" s="59" t="s">
        <v>93</v>
      </c>
      <c r="B73" s="65" t="s">
        <v>94</v>
      </c>
      <c r="C73" s="52" t="str">
        <f>[5]С2.3!E21</f>
        <v>МУП г. Новосибирска "Горводоканал"</v>
      </c>
    </row>
    <row r="74" spans="1:3" ht="25.5" x14ac:dyDescent="0.2">
      <c r="A74" s="59" t="s">
        <v>95</v>
      </c>
      <c r="B74" s="66" t="s">
        <v>96</v>
      </c>
      <c r="C74" s="67">
        <f>[5]С2.3!E11</f>
        <v>5.45</v>
      </c>
    </row>
    <row r="75" spans="1:3" ht="25.5" x14ac:dyDescent="0.2">
      <c r="A75" s="59" t="s">
        <v>97</v>
      </c>
      <c r="B75" s="66" t="s">
        <v>98</v>
      </c>
      <c r="C75" s="62">
        <f>[5]С2.3!E13</f>
        <v>300</v>
      </c>
    </row>
    <row r="76" spans="1:3" ht="336" customHeight="1" x14ac:dyDescent="0.2">
      <c r="A76" s="59" t="s">
        <v>99</v>
      </c>
      <c r="B76" s="65" t="s">
        <v>100</v>
      </c>
      <c r="C76" s="68">
        <f>IF([5]С2.3!E22&gt;0,[5]С2.3!E22,[5]С2.3!E14)</f>
        <v>20170.833333333332</v>
      </c>
    </row>
    <row r="77" spans="1:3" ht="38.25" x14ac:dyDescent="0.2">
      <c r="A77" s="59" t="s">
        <v>101</v>
      </c>
      <c r="B77" s="65" t="s">
        <v>102</v>
      </c>
      <c r="C77" s="68">
        <f>IF([5]С2.3!E23&gt;0,[5]С2.3!E23,[5]С2.3!E15)</f>
        <v>18020</v>
      </c>
    </row>
    <row r="78" spans="1:3" ht="30" x14ac:dyDescent="0.2">
      <c r="A78" s="59" t="s">
        <v>103</v>
      </c>
      <c r="B78" s="53" t="s">
        <v>104</v>
      </c>
      <c r="C78" s="34">
        <f>[5]С2.1!E29</f>
        <v>5878.6480833333326</v>
      </c>
    </row>
    <row r="79" spans="1:3" ht="38.25" x14ac:dyDescent="0.2">
      <c r="A79" s="59" t="s">
        <v>105</v>
      </c>
      <c r="B79" s="65" t="s">
        <v>106</v>
      </c>
      <c r="C79" s="52" t="str">
        <f>[5]С2.3!E25</f>
        <v>МУП г. Новосибирска "Горводоканал"</v>
      </c>
    </row>
    <row r="80" spans="1:3" ht="25.5" x14ac:dyDescent="0.2">
      <c r="A80" s="59" t="s">
        <v>107</v>
      </c>
      <c r="B80" s="66" t="s">
        <v>108</v>
      </c>
      <c r="C80" s="67">
        <f>[5]С2.3!E12</f>
        <v>0.2</v>
      </c>
    </row>
    <row r="81" spans="1:3" ht="25.5" x14ac:dyDescent="0.2">
      <c r="A81" s="59" t="s">
        <v>109</v>
      </c>
      <c r="B81" s="66" t="s">
        <v>98</v>
      </c>
      <c r="C81" s="62">
        <f>[5]С2.3!E13</f>
        <v>300</v>
      </c>
    </row>
    <row r="82" spans="1:3" ht="330" customHeight="1" x14ac:dyDescent="0.2">
      <c r="A82" s="59" t="s">
        <v>110</v>
      </c>
      <c r="B82" s="69" t="s">
        <v>111</v>
      </c>
      <c r="C82" s="68">
        <f>IF([5]С2.3!E26&gt;0,[5]С2.3!E26,[5]С2.3!E16)</f>
        <v>38240.416666666664</v>
      </c>
    </row>
    <row r="83" spans="1:3" ht="322.5" customHeight="1" x14ac:dyDescent="0.2">
      <c r="A83" s="59" t="s">
        <v>112</v>
      </c>
      <c r="B83" s="69" t="s">
        <v>113</v>
      </c>
      <c r="C83" s="68">
        <f>IF([5]С2.3!E27&gt;0,[5]С2.3!E27,[5]С2.3!E17)</f>
        <v>19570</v>
      </c>
    </row>
    <row r="84" spans="1:3" ht="30" x14ac:dyDescent="0.2">
      <c r="A84" s="59" t="s">
        <v>249</v>
      </c>
      <c r="B84" s="60" t="s">
        <v>250</v>
      </c>
      <c r="C84" s="68">
        <f>IF([5]С2.1!E19&gt;0,[5]С2.1!E19,[5]С2!F26)</f>
        <v>2892</v>
      </c>
    </row>
    <row r="85" spans="1:3" ht="17.25" x14ac:dyDescent="0.2">
      <c r="A85" s="59" t="s">
        <v>114</v>
      </c>
      <c r="B85" s="33" t="s">
        <v>115</v>
      </c>
      <c r="C85" s="35">
        <f>[5]С2!F31</f>
        <v>0.21369165990259753</v>
      </c>
    </row>
    <row r="86" spans="1:3" ht="30" x14ac:dyDescent="0.2">
      <c r="A86" s="59" t="s">
        <v>116</v>
      </c>
      <c r="B86" s="53" t="s">
        <v>117</v>
      </c>
      <c r="C86" s="70">
        <f>[5]С2!F32</f>
        <v>0.20047619047619047</v>
      </c>
    </row>
    <row r="87" spans="1:3" ht="17.25" x14ac:dyDescent="0.2">
      <c r="A87" s="59" t="s">
        <v>118</v>
      </c>
      <c r="B87" s="71" t="s">
        <v>119</v>
      </c>
      <c r="C87" s="35">
        <f>[5]С2!F33</f>
        <v>0.13880000000000001</v>
      </c>
    </row>
    <row r="88" spans="1:3" s="63" customFormat="1" ht="18" thickBot="1" x14ac:dyDescent="0.25">
      <c r="A88" s="72" t="s">
        <v>120</v>
      </c>
      <c r="B88" s="73" t="s">
        <v>121</v>
      </c>
      <c r="C88" s="74">
        <f>[5]С2!F34</f>
        <v>0.12640000000000001</v>
      </c>
    </row>
    <row r="89" spans="1:3" ht="13.5" thickBot="1" x14ac:dyDescent="0.25">
      <c r="A89" s="47"/>
      <c r="B89" s="75"/>
      <c r="C89" s="15"/>
    </row>
    <row r="90" spans="1:3" s="63" customFormat="1" ht="30" customHeight="1" x14ac:dyDescent="0.2">
      <c r="A90" s="76" t="s">
        <v>122</v>
      </c>
      <c r="B90" s="145" t="s">
        <v>123</v>
      </c>
      <c r="C90" s="145"/>
    </row>
    <row r="91" spans="1:3" s="63" customFormat="1" ht="30" x14ac:dyDescent="0.2">
      <c r="A91" s="77" t="s">
        <v>124</v>
      </c>
      <c r="B91" s="33" t="s">
        <v>125</v>
      </c>
      <c r="C91" s="34">
        <f>[5]С3!F14</f>
        <v>11258.985598028818</v>
      </c>
    </row>
    <row r="92" spans="1:3" s="63" customFormat="1" ht="42.75" x14ac:dyDescent="0.2">
      <c r="A92" s="77" t="s">
        <v>126</v>
      </c>
      <c r="B92" s="53" t="s">
        <v>127</v>
      </c>
      <c r="C92" s="78">
        <f>[5]С3!F15</f>
        <v>0.25</v>
      </c>
    </row>
    <row r="93" spans="1:3" s="63" customFormat="1" ht="14.25" x14ac:dyDescent="0.2">
      <c r="A93" s="77" t="s">
        <v>128</v>
      </c>
      <c r="B93" s="79" t="s">
        <v>129</v>
      </c>
      <c r="C93" s="62">
        <f>[5]С3!F18</f>
        <v>15</v>
      </c>
    </row>
    <row r="94" spans="1:3" s="63" customFormat="1" ht="17.25" x14ac:dyDescent="0.2">
      <c r="A94" s="77" t="s">
        <v>130</v>
      </c>
      <c r="B94" s="33" t="s">
        <v>131</v>
      </c>
      <c r="C94" s="34">
        <f>[5]С3!F19</f>
        <v>2699.0944349242141</v>
      </c>
    </row>
    <row r="95" spans="1:3" s="63" customFormat="1" ht="55.5" x14ac:dyDescent="0.2">
      <c r="A95" s="77" t="s">
        <v>132</v>
      </c>
      <c r="B95" s="53" t="s">
        <v>133</v>
      </c>
      <c r="C95" s="80">
        <f>[5]С3!F20</f>
        <v>2.1999999999999999E-2</v>
      </c>
    </row>
    <row r="96" spans="1:3" s="63" customFormat="1" ht="14.25" x14ac:dyDescent="0.2">
      <c r="A96" s="77" t="s">
        <v>134</v>
      </c>
      <c r="B96" s="58" t="s">
        <v>80</v>
      </c>
      <c r="C96" s="62">
        <f>[5]С3!F21</f>
        <v>10</v>
      </c>
    </row>
    <row r="97" spans="1:3" s="63" customFormat="1" ht="17.25" x14ac:dyDescent="0.2">
      <c r="A97" s="77" t="s">
        <v>135</v>
      </c>
      <c r="B97" s="33" t="s">
        <v>136</v>
      </c>
      <c r="C97" s="34">
        <f>[5]С3!F22</f>
        <v>5.6890721141789431</v>
      </c>
    </row>
    <row r="98" spans="1:3" s="63" customFormat="1" ht="161.25" customHeight="1" x14ac:dyDescent="0.2">
      <c r="A98" s="77" t="s">
        <v>137</v>
      </c>
      <c r="B98" s="53" t="s">
        <v>138</v>
      </c>
      <c r="C98" s="80">
        <f>[5]С3!F23</f>
        <v>1.4999999999999999E-2</v>
      </c>
    </row>
    <row r="99" spans="1:3" s="63" customFormat="1" ht="30.75" thickBot="1" x14ac:dyDescent="0.25">
      <c r="A99" s="81" t="s">
        <v>139</v>
      </c>
      <c r="B99" s="82" t="s">
        <v>82</v>
      </c>
      <c r="C99" s="83">
        <f>[5]С3!F24</f>
        <v>379.2714742785962</v>
      </c>
    </row>
    <row r="100" spans="1:3" ht="13.5" thickBot="1" x14ac:dyDescent="0.25">
      <c r="A100" s="47"/>
      <c r="B100" s="75"/>
      <c r="C100" s="15"/>
    </row>
    <row r="101" spans="1:3" ht="30" customHeight="1" x14ac:dyDescent="0.2">
      <c r="A101" s="84" t="s">
        <v>141</v>
      </c>
      <c r="B101" s="145" t="s">
        <v>142</v>
      </c>
      <c r="C101" s="145"/>
    </row>
    <row r="102" spans="1:3" ht="30" x14ac:dyDescent="0.2">
      <c r="A102" s="59" t="s">
        <v>143</v>
      </c>
      <c r="B102" s="33" t="s">
        <v>251</v>
      </c>
      <c r="C102" s="34">
        <f>[5]С4!F16</f>
        <v>832.33500000000004</v>
      </c>
    </row>
    <row r="103" spans="1:3" ht="30" x14ac:dyDescent="0.2">
      <c r="A103" s="59" t="s">
        <v>145</v>
      </c>
      <c r="B103" s="58" t="s">
        <v>252</v>
      </c>
      <c r="C103" s="34">
        <f>[5]С4!F17</f>
        <v>43385</v>
      </c>
    </row>
    <row r="104" spans="1:3" ht="17.25" x14ac:dyDescent="0.2">
      <c r="A104" s="59" t="s">
        <v>147</v>
      </c>
      <c r="B104" s="58" t="s">
        <v>148</v>
      </c>
      <c r="C104" s="40">
        <f>[5]С4!F18</f>
        <v>1.4999999999999999E-2</v>
      </c>
    </row>
    <row r="105" spans="1:3" ht="30" x14ac:dyDescent="0.2">
      <c r="A105" s="59" t="s">
        <v>149</v>
      </c>
      <c r="B105" s="58" t="s">
        <v>150</v>
      </c>
      <c r="C105" s="34">
        <f>[5]С4!F19</f>
        <v>12104</v>
      </c>
    </row>
    <row r="106" spans="1:3" ht="31.5" x14ac:dyDescent="0.2">
      <c r="A106" s="59" t="s">
        <v>151</v>
      </c>
      <c r="B106" s="58" t="s">
        <v>152</v>
      </c>
      <c r="C106" s="40">
        <f>[5]С4!F20</f>
        <v>1.4999999999999999E-2</v>
      </c>
    </row>
    <row r="107" spans="1:3" ht="30" x14ac:dyDescent="0.2">
      <c r="A107" s="59" t="s">
        <v>153</v>
      </c>
      <c r="B107" s="33" t="s">
        <v>253</v>
      </c>
      <c r="C107" s="34">
        <f>[5]С4!F21</f>
        <v>1221.9019409821399</v>
      </c>
    </row>
    <row r="108" spans="1:3" ht="45.6" customHeight="1" x14ac:dyDescent="0.2">
      <c r="A108" s="59" t="s">
        <v>155</v>
      </c>
      <c r="B108" s="53" t="s">
        <v>156</v>
      </c>
      <c r="C108" s="85" t="str">
        <f>IF([5]С4.2!F8="да",[5]С4.2!D21,[5]С4.2!D15)</f>
        <v>АО "Новосибирскэнергосбыт"</v>
      </c>
    </row>
    <row r="109" spans="1:3" ht="68.25" customHeight="1" x14ac:dyDescent="0.2">
      <c r="A109" s="59" t="s">
        <v>157</v>
      </c>
      <c r="B109" s="53" t="s">
        <v>158</v>
      </c>
      <c r="C109" s="34">
        <f>[5]С4!F22</f>
        <v>3.6112641666666665</v>
      </c>
    </row>
    <row r="110" spans="1:3" ht="30" x14ac:dyDescent="0.2">
      <c r="A110" s="59" t="s">
        <v>159</v>
      </c>
      <c r="B110" s="58" t="s">
        <v>254</v>
      </c>
      <c r="C110" s="62">
        <f>[5]С4!F23</f>
        <v>110</v>
      </c>
    </row>
    <row r="111" spans="1:3" ht="14.25" x14ac:dyDescent="0.2">
      <c r="A111" s="59" t="s">
        <v>161</v>
      </c>
      <c r="B111" s="53" t="s">
        <v>162</v>
      </c>
      <c r="C111" s="34">
        <f>[5]С4!F24</f>
        <v>8497.1999999999989</v>
      </c>
    </row>
    <row r="112" spans="1:3" ht="14.25" x14ac:dyDescent="0.2">
      <c r="A112" s="59" t="s">
        <v>163</v>
      </c>
      <c r="B112" s="58" t="s">
        <v>164</v>
      </c>
      <c r="C112" s="40">
        <f>[5]С4!F25</f>
        <v>0.36199999999999999</v>
      </c>
    </row>
    <row r="113" spans="1:3" ht="17.25" x14ac:dyDescent="0.2">
      <c r="A113" s="59" t="s">
        <v>165</v>
      </c>
      <c r="B113" s="33" t="s">
        <v>166</v>
      </c>
      <c r="C113" s="34">
        <f>[5]С4!F26</f>
        <v>49.136149999999994</v>
      </c>
    </row>
    <row r="114" spans="1:3" ht="25.5" x14ac:dyDescent="0.2">
      <c r="A114" s="59" t="s">
        <v>167</v>
      </c>
      <c r="B114" s="53" t="s">
        <v>94</v>
      </c>
      <c r="C114" s="85">
        <f>[5]С4.3!E16</f>
        <v>0</v>
      </c>
    </row>
    <row r="115" spans="1:3" ht="360" customHeight="1" x14ac:dyDescent="0.2">
      <c r="A115" s="59" t="s">
        <v>168</v>
      </c>
      <c r="B115" s="53" t="s">
        <v>169</v>
      </c>
      <c r="C115" s="34">
        <f>[5]С4.3!E17</f>
        <v>24.88</v>
      </c>
    </row>
    <row r="116" spans="1:3" ht="38.25" x14ac:dyDescent="0.2">
      <c r="A116" s="59" t="s">
        <v>170</v>
      </c>
      <c r="B116" s="53" t="s">
        <v>106</v>
      </c>
      <c r="C116" s="85">
        <f>[5]С4.3!E18</f>
        <v>0</v>
      </c>
    </row>
    <row r="117" spans="1:3" ht="374.25" customHeight="1" x14ac:dyDescent="0.2">
      <c r="A117" s="59" t="s">
        <v>171</v>
      </c>
      <c r="B117" s="53" t="s">
        <v>172</v>
      </c>
      <c r="C117" s="34">
        <f>[5]С4.3!E19</f>
        <v>14.63</v>
      </c>
    </row>
    <row r="118" spans="1:3" x14ac:dyDescent="0.2">
      <c r="A118" s="59" t="s">
        <v>173</v>
      </c>
      <c r="B118" s="58" t="s">
        <v>174</v>
      </c>
      <c r="C118" s="62">
        <f>[5]С4.3!E11</f>
        <v>1871</v>
      </c>
    </row>
    <row r="119" spans="1:3" x14ac:dyDescent="0.2">
      <c r="A119" s="59" t="s">
        <v>175</v>
      </c>
      <c r="B119" s="58" t="s">
        <v>176</v>
      </c>
      <c r="C119" s="52">
        <f>[5]С4.3!E12</f>
        <v>61</v>
      </c>
    </row>
    <row r="120" spans="1:3" x14ac:dyDescent="0.2">
      <c r="A120" s="59" t="s">
        <v>177</v>
      </c>
      <c r="B120" s="58" t="s">
        <v>178</v>
      </c>
      <c r="C120" s="52">
        <f>[5]С4.3!E13</f>
        <v>73</v>
      </c>
    </row>
    <row r="121" spans="1:3" ht="30" x14ac:dyDescent="0.2">
      <c r="A121" s="59" t="s">
        <v>179</v>
      </c>
      <c r="B121" s="33" t="s">
        <v>255</v>
      </c>
      <c r="C121" s="34">
        <f>[5]С4!F27</f>
        <v>904.62444244124072</v>
      </c>
    </row>
    <row r="122" spans="1:3" ht="25.5" x14ac:dyDescent="0.2">
      <c r="A122" s="59" t="s">
        <v>181</v>
      </c>
      <c r="B122" s="53" t="s">
        <v>256</v>
      </c>
      <c r="C122" s="34">
        <f>[5]С4!F28</f>
        <v>694.79603874135228</v>
      </c>
    </row>
    <row r="123" spans="1:3" ht="42.75" x14ac:dyDescent="0.2">
      <c r="A123" s="59" t="s">
        <v>183</v>
      </c>
      <c r="B123" s="53" t="s">
        <v>184</v>
      </c>
      <c r="C123" s="34">
        <f>[5]С4!F29</f>
        <v>209.82840369988838</v>
      </c>
    </row>
    <row r="124" spans="1:3" ht="30.75" thickBot="1" x14ac:dyDescent="0.25">
      <c r="A124" s="72" t="s">
        <v>185</v>
      </c>
      <c r="B124" s="90" t="s">
        <v>186</v>
      </c>
      <c r="C124" s="83">
        <f>[5]С4!F30</f>
        <v>851.41712658816596</v>
      </c>
    </row>
    <row r="125" spans="1:3" s="89" customFormat="1" ht="13.5" thickBot="1" x14ac:dyDescent="0.25">
      <c r="A125" s="47"/>
      <c r="B125" s="75"/>
      <c r="C125" s="15"/>
    </row>
    <row r="126" spans="1:3" s="63" customFormat="1" ht="30" customHeight="1" x14ac:dyDescent="0.2">
      <c r="A126" s="76" t="s">
        <v>195</v>
      </c>
      <c r="B126" s="145" t="s">
        <v>196</v>
      </c>
      <c r="C126" s="145"/>
    </row>
    <row r="127" spans="1:3" ht="30.6" customHeight="1" thickBot="1" x14ac:dyDescent="0.25">
      <c r="A127" s="27" t="s">
        <v>197</v>
      </c>
      <c r="B127" s="90" t="s">
        <v>198</v>
      </c>
      <c r="C127" s="83">
        <f>[5]С5!F17</f>
        <v>0.02</v>
      </c>
    </row>
    <row r="128" spans="1:3" s="89" customFormat="1" ht="13.5" thickBot="1" x14ac:dyDescent="0.25">
      <c r="A128" s="47"/>
      <c r="B128" s="75"/>
      <c r="C128" s="15"/>
    </row>
    <row r="129" spans="1:3" ht="42.75" customHeight="1" x14ac:dyDescent="0.2">
      <c r="A129" s="84" t="s">
        <v>199</v>
      </c>
      <c r="B129" s="145" t="s">
        <v>200</v>
      </c>
      <c r="C129" s="145"/>
    </row>
    <row r="130" spans="1:3" ht="68.25" x14ac:dyDescent="0.2">
      <c r="A130" s="59" t="s">
        <v>201</v>
      </c>
      <c r="B130" s="91" t="s">
        <v>202</v>
      </c>
      <c r="C130" s="34" t="str">
        <f>IF([5]С6.1!E11="нет",[5]С6!F13,"")</f>
        <v/>
      </c>
    </row>
    <row r="131" spans="1:3" ht="42.75" x14ac:dyDescent="0.2">
      <c r="A131" s="59" t="s">
        <v>204</v>
      </c>
      <c r="B131" s="86" t="s">
        <v>205</v>
      </c>
      <c r="C131" s="92" t="str">
        <f>IF([5]С6.1!E12="нет",[5]С6.1!E17,"")</f>
        <v/>
      </c>
    </row>
    <row r="132" spans="1:3" ht="68.25" x14ac:dyDescent="0.2">
      <c r="A132" s="59" t="s">
        <v>206</v>
      </c>
      <c r="B132" s="91" t="s">
        <v>207</v>
      </c>
      <c r="C132" s="127" t="str">
        <f>IF([5]С6.1!E18="нет",[5]С6!F19,"")</f>
        <v/>
      </c>
    </row>
    <row r="133" spans="1:3" ht="55.5" x14ac:dyDescent="0.2">
      <c r="A133" s="59" t="s">
        <v>208</v>
      </c>
      <c r="B133" s="86" t="s">
        <v>209</v>
      </c>
      <c r="C133" s="35" t="str">
        <f>IF([5]С6.1!E18="нет",[5]С6.1!E19,"")</f>
        <v/>
      </c>
    </row>
    <row r="134" spans="1:3" ht="61.5" customHeight="1" x14ac:dyDescent="0.2">
      <c r="A134" s="59" t="s">
        <v>210</v>
      </c>
      <c r="B134" s="86" t="s">
        <v>257</v>
      </c>
      <c r="C134" s="35" t="str">
        <f>IF([5]С6.1!E18="нет",[5]С6.1!E22,"")</f>
        <v/>
      </c>
    </row>
    <row r="135" spans="1:3" ht="69" thickBot="1" x14ac:dyDescent="0.25">
      <c r="A135" s="72" t="s">
        <v>212</v>
      </c>
      <c r="B135" s="98" t="s">
        <v>213</v>
      </c>
      <c r="C135" s="74" t="str">
        <f>IF([5]С6.1!E18="нет",[5]С6.1!E23,"")</f>
        <v/>
      </c>
    </row>
    <row r="136" spans="1:3" s="89" customFormat="1" ht="13.5" thickBot="1" x14ac:dyDescent="0.25">
      <c r="A136" s="47"/>
      <c r="B136" s="75"/>
      <c r="C136" s="15"/>
    </row>
    <row r="137" spans="1:3" ht="15.75" x14ac:dyDescent="0.2">
      <c r="A137" s="84" t="s">
        <v>214</v>
      </c>
      <c r="B137" s="99" t="s">
        <v>215</v>
      </c>
      <c r="C137" s="100">
        <f>[5]С2!F39</f>
        <v>21.531904799999996</v>
      </c>
    </row>
    <row r="138" spans="1:3" ht="14.25" x14ac:dyDescent="0.2">
      <c r="A138" s="59" t="s">
        <v>216</v>
      </c>
      <c r="B138" s="58" t="s">
        <v>217</v>
      </c>
      <c r="C138" s="34">
        <f>[5]С2!F40</f>
        <v>7</v>
      </c>
    </row>
    <row r="139" spans="1:3" ht="17.25" x14ac:dyDescent="0.2">
      <c r="A139" s="59" t="s">
        <v>218</v>
      </c>
      <c r="B139" s="58" t="s">
        <v>219</v>
      </c>
      <c r="C139" s="34">
        <f>[5]С2!F42</f>
        <v>0.97</v>
      </c>
    </row>
    <row r="140" spans="1:3" ht="15" thickBot="1" x14ac:dyDescent="0.25">
      <c r="A140" s="72" t="s">
        <v>220</v>
      </c>
      <c r="B140" s="73" t="s">
        <v>221</v>
      </c>
      <c r="C140" s="46">
        <f>[5]С2!F44</f>
        <v>0.36199999999999999</v>
      </c>
    </row>
    <row r="141" spans="1:3" s="89" customFormat="1" ht="13.5" thickBot="1" x14ac:dyDescent="0.25">
      <c r="A141" s="47"/>
      <c r="B141" s="75"/>
      <c r="C141" s="15"/>
    </row>
    <row r="142" spans="1:3" ht="17.25" x14ac:dyDescent="0.2">
      <c r="A142" s="84" t="s">
        <v>222</v>
      </c>
      <c r="B142" s="103" t="s">
        <v>258</v>
      </c>
      <c r="C142" s="128">
        <f>[5]С2!F37</f>
        <v>1.7157947422665329</v>
      </c>
    </row>
    <row r="143" spans="1:3" ht="17.25" customHeight="1" thickBot="1" x14ac:dyDescent="0.25">
      <c r="A143" s="72" t="s">
        <v>224</v>
      </c>
      <c r="B143" s="141" t="s">
        <v>225</v>
      </c>
      <c r="C143" s="141"/>
    </row>
    <row r="144" spans="1:3" x14ac:dyDescent="0.2">
      <c r="A144" s="105"/>
      <c r="B144" s="129" t="s">
        <v>226</v>
      </c>
      <c r="C144" s="130"/>
    </row>
    <row r="145" spans="1:3" x14ac:dyDescent="0.2">
      <c r="A145" s="105"/>
      <c r="B145" s="131">
        <v>2020</v>
      </c>
      <c r="C145" s="132">
        <f>[5]С2.5!$E$11</f>
        <v>-2.9000000000000026E-2</v>
      </c>
    </row>
    <row r="146" spans="1:3" x14ac:dyDescent="0.2">
      <c r="B146" s="131">
        <f>B145+1</f>
        <v>2021</v>
      </c>
      <c r="C146" s="133">
        <f>[5]С2.5!$F$11</f>
        <v>0.245</v>
      </c>
    </row>
    <row r="147" spans="1:3" x14ac:dyDescent="0.2">
      <c r="B147" s="131">
        <f t="shared" ref="B147:B210" si="0">B146+1</f>
        <v>2022</v>
      </c>
      <c r="C147" s="134">
        <f>[5]С2.5!$G$11</f>
        <v>0.114</v>
      </c>
    </row>
    <row r="148" spans="1:3" x14ac:dyDescent="0.2">
      <c r="B148" s="110">
        <f t="shared" si="0"/>
        <v>2023</v>
      </c>
      <c r="C148" s="135">
        <f>[5]С2.5!$H$11</f>
        <v>0.04</v>
      </c>
    </row>
    <row r="149" spans="1:3" x14ac:dyDescent="0.2">
      <c r="B149" s="110">
        <f t="shared" si="0"/>
        <v>2024</v>
      </c>
      <c r="C149" s="135">
        <f>[5]С2.5!$I$11</f>
        <v>0.121</v>
      </c>
    </row>
    <row r="150" spans="1:3" x14ac:dyDescent="0.2">
      <c r="B150" s="110">
        <f t="shared" si="0"/>
        <v>2025</v>
      </c>
      <c r="C150" s="135">
        <f>[5]С2.5!$J$11</f>
        <v>0.03</v>
      </c>
    </row>
    <row r="151" spans="1:3" ht="13.5" thickBot="1" x14ac:dyDescent="0.25">
      <c r="B151" s="110">
        <f t="shared" si="0"/>
        <v>2026</v>
      </c>
      <c r="C151" s="135">
        <f>[5]С2.5!$K$11</f>
        <v>6.0999999999999999E-2</v>
      </c>
    </row>
    <row r="152" spans="1:3" ht="13.5" hidden="1" thickBot="1" x14ac:dyDescent="0.25">
      <c r="B152" s="110">
        <f t="shared" si="0"/>
        <v>2027</v>
      </c>
      <c r="C152" s="135">
        <f>[5]С2.5!$L$11</f>
        <v>0</v>
      </c>
    </row>
    <row r="153" spans="1:3" ht="13.5" hidden="1" thickBot="1" x14ac:dyDescent="0.25">
      <c r="B153" s="110">
        <f t="shared" si="0"/>
        <v>2028</v>
      </c>
      <c r="C153" s="135">
        <f>[5]С2.5!$M$11</f>
        <v>0</v>
      </c>
    </row>
    <row r="154" spans="1:3" ht="13.5" hidden="1" thickBot="1" x14ac:dyDescent="0.25">
      <c r="B154" s="110">
        <f t="shared" si="0"/>
        <v>2029</v>
      </c>
      <c r="C154" s="135">
        <f>[5]С2.5!$N$11</f>
        <v>0</v>
      </c>
    </row>
    <row r="155" spans="1:3" ht="13.5" hidden="1" thickBot="1" x14ac:dyDescent="0.25">
      <c r="B155" s="110">
        <f t="shared" si="0"/>
        <v>2030</v>
      </c>
      <c r="C155" s="135">
        <f>[5]С2.5!$O$11</f>
        <v>0</v>
      </c>
    </row>
    <row r="156" spans="1:3" ht="13.5" hidden="1" thickBot="1" x14ac:dyDescent="0.25">
      <c r="B156" s="110">
        <f t="shared" si="0"/>
        <v>2031</v>
      </c>
      <c r="C156" s="135">
        <f>[5]С2.5!$P$11</f>
        <v>0</v>
      </c>
    </row>
    <row r="157" spans="1:3" ht="13.5" hidden="1" thickBot="1" x14ac:dyDescent="0.25">
      <c r="B157" s="110">
        <f t="shared" si="0"/>
        <v>2032</v>
      </c>
      <c r="C157" s="135">
        <f>[5]С2.5!$Q$11</f>
        <v>0</v>
      </c>
    </row>
    <row r="158" spans="1:3" ht="13.5" hidden="1" thickBot="1" x14ac:dyDescent="0.25">
      <c r="B158" s="110">
        <f t="shared" si="0"/>
        <v>2033</v>
      </c>
      <c r="C158" s="135">
        <f>[5]С2.5!$R$11</f>
        <v>0</v>
      </c>
    </row>
    <row r="159" spans="1:3" ht="13.5" hidden="1" thickBot="1" x14ac:dyDescent="0.25">
      <c r="B159" s="110">
        <f t="shared" si="0"/>
        <v>2034</v>
      </c>
      <c r="C159" s="135">
        <f>[5]С2.5!$S$11</f>
        <v>0</v>
      </c>
    </row>
    <row r="160" spans="1:3" ht="13.5" hidden="1" thickBot="1" x14ac:dyDescent="0.25">
      <c r="B160" s="110">
        <f t="shared" si="0"/>
        <v>2035</v>
      </c>
      <c r="C160" s="135">
        <f>[5]С2.5!$T$11</f>
        <v>0</v>
      </c>
    </row>
    <row r="161" spans="2:3" ht="13.5" hidden="1" thickBot="1" x14ac:dyDescent="0.25">
      <c r="B161" s="110">
        <f t="shared" si="0"/>
        <v>2036</v>
      </c>
      <c r="C161" s="135">
        <f>[5]С2.5!$U$11</f>
        <v>0</v>
      </c>
    </row>
    <row r="162" spans="2:3" ht="13.5" hidden="1" thickBot="1" x14ac:dyDescent="0.25">
      <c r="B162" s="110">
        <f t="shared" si="0"/>
        <v>2037</v>
      </c>
      <c r="C162" s="135">
        <f>[5]С2.5!$V$11</f>
        <v>0</v>
      </c>
    </row>
    <row r="163" spans="2:3" ht="13.5" hidden="1" thickBot="1" x14ac:dyDescent="0.25">
      <c r="B163" s="110">
        <f t="shared" si="0"/>
        <v>2038</v>
      </c>
      <c r="C163" s="135">
        <f>[5]С2.5!$W$11</f>
        <v>0</v>
      </c>
    </row>
    <row r="164" spans="2:3" ht="13.5" hidden="1" thickBot="1" x14ac:dyDescent="0.25">
      <c r="B164" s="110">
        <f t="shared" si="0"/>
        <v>2039</v>
      </c>
      <c r="C164" s="135">
        <f>[5]С2.5!$X$11</f>
        <v>0</v>
      </c>
    </row>
    <row r="165" spans="2:3" ht="13.5" hidden="1" thickBot="1" x14ac:dyDescent="0.25">
      <c r="B165" s="110">
        <f t="shared" si="0"/>
        <v>2040</v>
      </c>
      <c r="C165" s="135">
        <f>[5]С2.5!$Y$11</f>
        <v>0</v>
      </c>
    </row>
    <row r="166" spans="2:3" ht="13.5" hidden="1" thickBot="1" x14ac:dyDescent="0.25">
      <c r="B166" s="110">
        <f t="shared" si="0"/>
        <v>2041</v>
      </c>
      <c r="C166" s="135">
        <f>[5]С2.5!$Z$11</f>
        <v>0</v>
      </c>
    </row>
    <row r="167" spans="2:3" ht="13.5" hidden="1" thickBot="1" x14ac:dyDescent="0.25">
      <c r="B167" s="110">
        <f t="shared" si="0"/>
        <v>2042</v>
      </c>
      <c r="C167" s="135">
        <f>[5]С2.5!$AA$11</f>
        <v>0</v>
      </c>
    </row>
    <row r="168" spans="2:3" ht="13.5" hidden="1" thickBot="1" x14ac:dyDescent="0.25">
      <c r="B168" s="110">
        <f t="shared" si="0"/>
        <v>2043</v>
      </c>
      <c r="C168" s="135">
        <f>[5]С2.5!$AB$11</f>
        <v>0</v>
      </c>
    </row>
    <row r="169" spans="2:3" ht="13.5" hidden="1" thickBot="1" x14ac:dyDescent="0.25">
      <c r="B169" s="110">
        <f t="shared" si="0"/>
        <v>2044</v>
      </c>
      <c r="C169" s="135">
        <f>[5]С2.5!$AC$11</f>
        <v>0</v>
      </c>
    </row>
    <row r="170" spans="2:3" ht="13.5" hidden="1" thickBot="1" x14ac:dyDescent="0.25">
      <c r="B170" s="110">
        <f t="shared" si="0"/>
        <v>2045</v>
      </c>
      <c r="C170" s="135">
        <f>[5]С2.5!$AD$11</f>
        <v>0</v>
      </c>
    </row>
    <row r="171" spans="2:3" ht="13.5" hidden="1" thickBot="1" x14ac:dyDescent="0.25">
      <c r="B171" s="110">
        <f t="shared" si="0"/>
        <v>2046</v>
      </c>
      <c r="C171" s="135">
        <f>[5]С2.5!$AE$11</f>
        <v>0</v>
      </c>
    </row>
    <row r="172" spans="2:3" ht="13.5" hidden="1" thickBot="1" x14ac:dyDescent="0.25">
      <c r="B172" s="110">
        <f t="shared" si="0"/>
        <v>2047</v>
      </c>
      <c r="C172" s="135">
        <f>[5]С2.5!$AF$11</f>
        <v>0</v>
      </c>
    </row>
    <row r="173" spans="2:3" ht="13.5" hidden="1" thickBot="1" x14ac:dyDescent="0.25">
      <c r="B173" s="110">
        <f t="shared" si="0"/>
        <v>2048</v>
      </c>
      <c r="C173" s="135">
        <f>[5]С2.5!$AG$11</f>
        <v>0</v>
      </c>
    </row>
    <row r="174" spans="2:3" ht="13.5" hidden="1" thickBot="1" x14ac:dyDescent="0.25">
      <c r="B174" s="110">
        <f t="shared" si="0"/>
        <v>2049</v>
      </c>
      <c r="C174" s="135">
        <f>[5]С2.5!$AH$11</f>
        <v>0</v>
      </c>
    </row>
    <row r="175" spans="2:3" ht="13.5" hidden="1" thickBot="1" x14ac:dyDescent="0.25">
      <c r="B175" s="110">
        <f t="shared" si="0"/>
        <v>2050</v>
      </c>
      <c r="C175" s="135">
        <f>[5]С2.5!$AI$11</f>
        <v>0</v>
      </c>
    </row>
    <row r="176" spans="2:3" ht="13.5" hidden="1" thickBot="1" x14ac:dyDescent="0.25">
      <c r="B176" s="110">
        <f t="shared" si="0"/>
        <v>2051</v>
      </c>
      <c r="C176" s="135">
        <f>[5]С2.5!$AJ$11</f>
        <v>0</v>
      </c>
    </row>
    <row r="177" spans="2:3" ht="13.5" hidden="1" thickBot="1" x14ac:dyDescent="0.25">
      <c r="B177" s="110">
        <f t="shared" si="0"/>
        <v>2052</v>
      </c>
      <c r="C177" s="135">
        <f>[5]С2.5!$AK$11</f>
        <v>0</v>
      </c>
    </row>
    <row r="178" spans="2:3" ht="13.5" hidden="1" thickBot="1" x14ac:dyDescent="0.25">
      <c r="B178" s="110">
        <f t="shared" si="0"/>
        <v>2053</v>
      </c>
      <c r="C178" s="135">
        <f>[5]С2.5!$AL$11</f>
        <v>0</v>
      </c>
    </row>
    <row r="179" spans="2:3" ht="13.5" hidden="1" thickBot="1" x14ac:dyDescent="0.25">
      <c r="B179" s="110">
        <f t="shared" si="0"/>
        <v>2054</v>
      </c>
      <c r="C179" s="135">
        <f>[5]С2.5!$AM$11</f>
        <v>0</v>
      </c>
    </row>
    <row r="180" spans="2:3" ht="13.5" hidden="1" thickBot="1" x14ac:dyDescent="0.25">
      <c r="B180" s="110">
        <f t="shared" si="0"/>
        <v>2055</v>
      </c>
      <c r="C180" s="135">
        <f>[5]С2.5!$AN$11</f>
        <v>0</v>
      </c>
    </row>
    <row r="181" spans="2:3" ht="13.5" hidden="1" thickBot="1" x14ac:dyDescent="0.25">
      <c r="B181" s="110">
        <f t="shared" si="0"/>
        <v>2056</v>
      </c>
      <c r="C181" s="135">
        <f>[5]С2.5!$AO$11</f>
        <v>0</v>
      </c>
    </row>
    <row r="182" spans="2:3" ht="13.5" hidden="1" thickBot="1" x14ac:dyDescent="0.25">
      <c r="B182" s="110">
        <f t="shared" si="0"/>
        <v>2057</v>
      </c>
      <c r="C182" s="135">
        <f>[5]С2.5!$AP$11</f>
        <v>0</v>
      </c>
    </row>
    <row r="183" spans="2:3" ht="13.5" hidden="1" thickBot="1" x14ac:dyDescent="0.25">
      <c r="B183" s="110">
        <f t="shared" si="0"/>
        <v>2058</v>
      </c>
      <c r="C183" s="135">
        <f>[5]С2.5!$AQ$11</f>
        <v>0</v>
      </c>
    </row>
    <row r="184" spans="2:3" ht="13.5" hidden="1" thickBot="1" x14ac:dyDescent="0.25">
      <c r="B184" s="110">
        <f t="shared" si="0"/>
        <v>2059</v>
      </c>
      <c r="C184" s="135">
        <f>[5]С2.5!$AR$11</f>
        <v>0</v>
      </c>
    </row>
    <row r="185" spans="2:3" ht="13.5" hidden="1" thickBot="1" x14ac:dyDescent="0.25">
      <c r="B185" s="110">
        <f t="shared" si="0"/>
        <v>2060</v>
      </c>
      <c r="C185" s="135">
        <f>[5]С2.5!$AS$11</f>
        <v>0</v>
      </c>
    </row>
    <row r="186" spans="2:3" ht="13.5" hidden="1" thickBot="1" x14ac:dyDescent="0.25">
      <c r="B186" s="110">
        <f t="shared" si="0"/>
        <v>2061</v>
      </c>
      <c r="C186" s="135">
        <f>[5]С2.5!$AT$11</f>
        <v>0</v>
      </c>
    </row>
    <row r="187" spans="2:3" ht="13.5" hidden="1" thickBot="1" x14ac:dyDescent="0.25">
      <c r="B187" s="110">
        <f t="shared" si="0"/>
        <v>2062</v>
      </c>
      <c r="C187" s="135">
        <f>[5]С2.5!$AU$11</f>
        <v>0</v>
      </c>
    </row>
    <row r="188" spans="2:3" ht="13.5" hidden="1" thickBot="1" x14ac:dyDescent="0.25">
      <c r="B188" s="110">
        <f t="shared" si="0"/>
        <v>2063</v>
      </c>
      <c r="C188" s="135">
        <f>[5]С2.5!$AV$11</f>
        <v>0</v>
      </c>
    </row>
    <row r="189" spans="2:3" ht="13.5" hidden="1" thickBot="1" x14ac:dyDescent="0.25">
      <c r="B189" s="110">
        <f t="shared" si="0"/>
        <v>2064</v>
      </c>
      <c r="C189" s="135">
        <f>[5]С2.5!$AW$11</f>
        <v>0</v>
      </c>
    </row>
    <row r="190" spans="2:3" ht="13.5" hidden="1" thickBot="1" x14ac:dyDescent="0.25">
      <c r="B190" s="110">
        <f t="shared" si="0"/>
        <v>2065</v>
      </c>
      <c r="C190" s="135">
        <f>[5]С2.5!$AX$11</f>
        <v>0</v>
      </c>
    </row>
    <row r="191" spans="2:3" ht="13.5" hidden="1" thickBot="1" x14ac:dyDescent="0.25">
      <c r="B191" s="110">
        <f t="shared" si="0"/>
        <v>2066</v>
      </c>
      <c r="C191" s="135">
        <f>[5]С2.5!$AY$11</f>
        <v>0</v>
      </c>
    </row>
    <row r="192" spans="2:3" ht="13.5" hidden="1" thickBot="1" x14ac:dyDescent="0.25">
      <c r="B192" s="110">
        <f t="shared" si="0"/>
        <v>2067</v>
      </c>
      <c r="C192" s="135">
        <f>[5]С2.5!$AZ$11</f>
        <v>0</v>
      </c>
    </row>
    <row r="193" spans="2:3" ht="13.5" hidden="1" thickBot="1" x14ac:dyDescent="0.25">
      <c r="B193" s="110">
        <f t="shared" si="0"/>
        <v>2068</v>
      </c>
      <c r="C193" s="135">
        <f>[5]С2.5!$BA$11</f>
        <v>0</v>
      </c>
    </row>
    <row r="194" spans="2:3" ht="13.5" hidden="1" thickBot="1" x14ac:dyDescent="0.25">
      <c r="B194" s="110">
        <f t="shared" si="0"/>
        <v>2069</v>
      </c>
      <c r="C194" s="135">
        <f>[5]С2.5!$BB$11</f>
        <v>0</v>
      </c>
    </row>
    <row r="195" spans="2:3" ht="13.5" hidden="1" thickBot="1" x14ac:dyDescent="0.25">
      <c r="B195" s="110">
        <f t="shared" si="0"/>
        <v>2070</v>
      </c>
      <c r="C195" s="135">
        <f>[5]С2.5!$BC$11</f>
        <v>0</v>
      </c>
    </row>
    <row r="196" spans="2:3" ht="13.5" hidden="1" thickBot="1" x14ac:dyDescent="0.25">
      <c r="B196" s="110">
        <f t="shared" si="0"/>
        <v>2071</v>
      </c>
      <c r="C196" s="135">
        <f>[5]С2.5!$BD$11</f>
        <v>0</v>
      </c>
    </row>
    <row r="197" spans="2:3" ht="13.5" hidden="1" thickBot="1" x14ac:dyDescent="0.25">
      <c r="B197" s="110">
        <f t="shared" si="0"/>
        <v>2072</v>
      </c>
      <c r="C197" s="135">
        <f>[5]С2.5!$BE$11</f>
        <v>0</v>
      </c>
    </row>
    <row r="198" spans="2:3" ht="13.5" hidden="1" thickBot="1" x14ac:dyDescent="0.25">
      <c r="B198" s="110">
        <f t="shared" si="0"/>
        <v>2073</v>
      </c>
      <c r="C198" s="135">
        <f>[5]С2.5!$BF$11</f>
        <v>0</v>
      </c>
    </row>
    <row r="199" spans="2:3" ht="13.5" hidden="1" thickBot="1" x14ac:dyDescent="0.25">
      <c r="B199" s="110">
        <f t="shared" si="0"/>
        <v>2074</v>
      </c>
      <c r="C199" s="135">
        <f>[5]С2.5!$BG$11</f>
        <v>0</v>
      </c>
    </row>
    <row r="200" spans="2:3" ht="13.5" hidden="1" thickBot="1" x14ac:dyDescent="0.25">
      <c r="B200" s="110">
        <f t="shared" si="0"/>
        <v>2075</v>
      </c>
      <c r="C200" s="135">
        <f>[5]С2.5!$BH$11</f>
        <v>0</v>
      </c>
    </row>
    <row r="201" spans="2:3" ht="13.5" hidden="1" thickBot="1" x14ac:dyDescent="0.25">
      <c r="B201" s="110">
        <f t="shared" si="0"/>
        <v>2076</v>
      </c>
      <c r="C201" s="135">
        <f>[5]С2.5!$BI$11</f>
        <v>0</v>
      </c>
    </row>
    <row r="202" spans="2:3" ht="13.5" hidden="1" thickBot="1" x14ac:dyDescent="0.25">
      <c r="B202" s="110">
        <f t="shared" si="0"/>
        <v>2077</v>
      </c>
      <c r="C202" s="135">
        <f>[5]С2.5!$BJ$11</f>
        <v>0</v>
      </c>
    </row>
    <row r="203" spans="2:3" ht="13.5" hidden="1" thickBot="1" x14ac:dyDescent="0.25">
      <c r="B203" s="110">
        <f t="shared" si="0"/>
        <v>2078</v>
      </c>
      <c r="C203" s="135">
        <f>[5]С2.5!$BK$11</f>
        <v>0</v>
      </c>
    </row>
    <row r="204" spans="2:3" ht="13.5" hidden="1" thickBot="1" x14ac:dyDescent="0.25">
      <c r="B204" s="110">
        <f t="shared" si="0"/>
        <v>2079</v>
      </c>
      <c r="C204" s="135">
        <f>[5]С2.5!$BL$11</f>
        <v>0</v>
      </c>
    </row>
    <row r="205" spans="2:3" ht="13.5" hidden="1" thickBot="1" x14ac:dyDescent="0.25">
      <c r="B205" s="110">
        <f t="shared" si="0"/>
        <v>2080</v>
      </c>
      <c r="C205" s="135">
        <f>[5]С2.5!$BM$11</f>
        <v>0</v>
      </c>
    </row>
    <row r="206" spans="2:3" ht="13.5" hidden="1" thickBot="1" x14ac:dyDescent="0.25">
      <c r="B206" s="110">
        <f t="shared" si="0"/>
        <v>2081</v>
      </c>
      <c r="C206" s="135">
        <f>[5]С2.5!$BN$11</f>
        <v>0</v>
      </c>
    </row>
    <row r="207" spans="2:3" ht="13.5" hidden="1" thickBot="1" x14ac:dyDescent="0.25">
      <c r="B207" s="110">
        <f t="shared" si="0"/>
        <v>2082</v>
      </c>
      <c r="C207" s="135">
        <f>[5]С2.5!$BO$11</f>
        <v>0</v>
      </c>
    </row>
    <row r="208" spans="2:3" ht="13.5" hidden="1" thickBot="1" x14ac:dyDescent="0.25">
      <c r="B208" s="110">
        <f t="shared" si="0"/>
        <v>2083</v>
      </c>
      <c r="C208" s="135">
        <f>[5]С2.5!$BP$11</f>
        <v>0</v>
      </c>
    </row>
    <row r="209" spans="2:3" ht="13.5" hidden="1" thickBot="1" x14ac:dyDescent="0.25">
      <c r="B209" s="110">
        <f t="shared" si="0"/>
        <v>2084</v>
      </c>
      <c r="C209" s="135">
        <f>[5]С2.5!$BQ$11</f>
        <v>0</v>
      </c>
    </row>
    <row r="210" spans="2:3" ht="13.5" hidden="1" thickBot="1" x14ac:dyDescent="0.25">
      <c r="B210" s="110">
        <f t="shared" si="0"/>
        <v>2085</v>
      </c>
      <c r="C210" s="135">
        <f>[5]С2.5!$BR$11</f>
        <v>0</v>
      </c>
    </row>
    <row r="211" spans="2:3" ht="13.5" hidden="1" thickBot="1" x14ac:dyDescent="0.25">
      <c r="B211" s="110">
        <f t="shared" ref="B211:B224" si="1">B210+1</f>
        <v>2086</v>
      </c>
      <c r="C211" s="135">
        <f>[5]С2.5!$BS$11</f>
        <v>0</v>
      </c>
    </row>
    <row r="212" spans="2:3" ht="13.5" hidden="1" thickBot="1" x14ac:dyDescent="0.25">
      <c r="B212" s="110">
        <f t="shared" si="1"/>
        <v>2087</v>
      </c>
      <c r="C212" s="135">
        <f>[5]С2.5!$BT$11</f>
        <v>0</v>
      </c>
    </row>
    <row r="213" spans="2:3" ht="13.5" hidden="1" thickBot="1" x14ac:dyDescent="0.25">
      <c r="B213" s="110">
        <f t="shared" si="1"/>
        <v>2088</v>
      </c>
      <c r="C213" s="135">
        <f>[5]С2.5!$BU$11</f>
        <v>0</v>
      </c>
    </row>
    <row r="214" spans="2:3" ht="13.5" hidden="1" thickBot="1" x14ac:dyDescent="0.25">
      <c r="B214" s="110">
        <f t="shared" si="1"/>
        <v>2089</v>
      </c>
      <c r="C214" s="135">
        <f>[5]С2.5!$BV$11</f>
        <v>0</v>
      </c>
    </row>
    <row r="215" spans="2:3" ht="13.5" hidden="1" thickBot="1" x14ac:dyDescent="0.25">
      <c r="B215" s="110">
        <f t="shared" si="1"/>
        <v>2090</v>
      </c>
      <c r="C215" s="135">
        <f>[5]С2.5!$BW$11</f>
        <v>0</v>
      </c>
    </row>
    <row r="216" spans="2:3" ht="13.5" hidden="1" thickBot="1" x14ac:dyDescent="0.25">
      <c r="B216" s="110">
        <f t="shared" si="1"/>
        <v>2091</v>
      </c>
      <c r="C216" s="135">
        <f>[5]С2.5!$BX$11</f>
        <v>0</v>
      </c>
    </row>
    <row r="217" spans="2:3" ht="13.5" hidden="1" thickBot="1" x14ac:dyDescent="0.25">
      <c r="B217" s="110">
        <f t="shared" si="1"/>
        <v>2092</v>
      </c>
      <c r="C217" s="135">
        <f>[5]С2.5!$BY$11</f>
        <v>0</v>
      </c>
    </row>
    <row r="218" spans="2:3" ht="13.5" hidden="1" thickBot="1" x14ac:dyDescent="0.25">
      <c r="B218" s="110">
        <f t="shared" si="1"/>
        <v>2093</v>
      </c>
      <c r="C218" s="135">
        <f>[5]С2.5!$BZ$11</f>
        <v>0</v>
      </c>
    </row>
    <row r="219" spans="2:3" ht="13.5" hidden="1" thickBot="1" x14ac:dyDescent="0.25">
      <c r="B219" s="110">
        <f t="shared" si="1"/>
        <v>2094</v>
      </c>
      <c r="C219" s="135">
        <f>[5]С2.5!$CA$11</f>
        <v>0</v>
      </c>
    </row>
    <row r="220" spans="2:3" ht="13.5" hidden="1" thickBot="1" x14ac:dyDescent="0.25">
      <c r="B220" s="110">
        <f t="shared" si="1"/>
        <v>2095</v>
      </c>
      <c r="C220" s="135">
        <f>[5]С2.5!$CB$11</f>
        <v>0</v>
      </c>
    </row>
    <row r="221" spans="2:3" ht="13.5" hidden="1" thickBot="1" x14ac:dyDescent="0.25">
      <c r="B221" s="110">
        <f t="shared" si="1"/>
        <v>2096</v>
      </c>
      <c r="C221" s="135">
        <f>[5]С2.5!$CC$11</f>
        <v>0</v>
      </c>
    </row>
    <row r="222" spans="2:3" ht="13.5" hidden="1" thickBot="1" x14ac:dyDescent="0.25">
      <c r="B222" s="110">
        <f t="shared" si="1"/>
        <v>2097</v>
      </c>
      <c r="C222" s="135">
        <f>[5]С2.5!$CD$11</f>
        <v>0</v>
      </c>
    </row>
    <row r="223" spans="2:3" ht="13.5" hidden="1" thickBot="1" x14ac:dyDescent="0.25">
      <c r="B223" s="110">
        <f t="shared" si="1"/>
        <v>2098</v>
      </c>
      <c r="C223" s="135">
        <f>[5]С2.5!$CE$11</f>
        <v>0</v>
      </c>
    </row>
    <row r="224" spans="2:3" ht="13.5" hidden="1" thickBot="1" x14ac:dyDescent="0.25">
      <c r="B224" s="110">
        <f t="shared" si="1"/>
        <v>2099</v>
      </c>
      <c r="C224" s="135">
        <f>[5]С2.5!$CF$11</f>
        <v>0</v>
      </c>
    </row>
    <row r="225" spans="2:3" ht="13.5" hidden="1" thickBot="1" x14ac:dyDescent="0.25">
      <c r="B225" s="112">
        <f>B162+1</f>
        <v>2038</v>
      </c>
      <c r="C225" s="136" t="e">
        <f>[5]С2.5!#REF!</f>
        <v>#REF!</v>
      </c>
    </row>
    <row r="226" spans="2:3" x14ac:dyDescent="0.2">
      <c r="B226" s="137"/>
      <c r="C226" s="138"/>
    </row>
  </sheetData>
  <mergeCells count="9">
    <mergeCell ref="B143:C143"/>
    <mergeCell ref="A14:C14"/>
    <mergeCell ref="B1:C1"/>
    <mergeCell ref="B27:C27"/>
    <mergeCell ref="B45:C45"/>
    <mergeCell ref="B90:C90"/>
    <mergeCell ref="B101:C101"/>
    <mergeCell ref="B126:C126"/>
    <mergeCell ref="B129:C129"/>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26"/>
  <sheetViews>
    <sheetView workbookViewId="0">
      <selection activeCell="C7" sqref="C7"/>
    </sheetView>
  </sheetViews>
  <sheetFormatPr defaultRowHeight="12.75" x14ac:dyDescent="0.2"/>
  <cols>
    <col min="1" max="1" width="9.140625" style="2" customWidth="1"/>
    <col min="2" max="2" width="100.5703125" style="2" customWidth="1"/>
    <col min="3" max="3" width="20.85546875" style="7" customWidth="1"/>
    <col min="4" max="245" width="9.140625" style="2"/>
    <col min="246" max="246" width="3.5703125" style="2" customWidth="1"/>
    <col min="247" max="247" width="96.85546875" style="2" customWidth="1"/>
    <col min="248" max="248" width="30.85546875" style="2" customWidth="1"/>
    <col min="249" max="249" width="12.5703125" style="2" customWidth="1"/>
    <col min="250" max="250" width="5.140625" style="2" customWidth="1"/>
    <col min="251" max="251" width="9.140625" style="2"/>
    <col min="252" max="252" width="4.85546875" style="2" customWidth="1"/>
    <col min="253" max="253" width="30.5703125" style="2" customWidth="1"/>
    <col min="254" max="254" width="33.85546875" style="2" customWidth="1"/>
    <col min="255" max="255" width="5.140625" style="2" customWidth="1"/>
    <col min="256" max="257" width="17.5703125" style="2" customWidth="1"/>
    <col min="258" max="501" width="9.140625" style="2"/>
    <col min="502" max="502" width="3.5703125" style="2" customWidth="1"/>
    <col min="503" max="503" width="96.85546875" style="2" customWidth="1"/>
    <col min="504" max="504" width="30.85546875" style="2" customWidth="1"/>
    <col min="505" max="505" width="12.5703125" style="2" customWidth="1"/>
    <col min="506" max="506" width="5.140625" style="2" customWidth="1"/>
    <col min="507" max="507" width="9.140625" style="2"/>
    <col min="508" max="508" width="4.85546875" style="2" customWidth="1"/>
    <col min="509" max="509" width="30.5703125" style="2" customWidth="1"/>
    <col min="510" max="510" width="33.85546875" style="2" customWidth="1"/>
    <col min="511" max="511" width="5.140625" style="2" customWidth="1"/>
    <col min="512" max="513" width="17.5703125" style="2" customWidth="1"/>
    <col min="514" max="757" width="9.140625" style="2"/>
    <col min="758" max="758" width="3.5703125" style="2" customWidth="1"/>
    <col min="759" max="759" width="96.85546875" style="2" customWidth="1"/>
    <col min="760" max="760" width="30.85546875" style="2" customWidth="1"/>
    <col min="761" max="761" width="12.5703125" style="2" customWidth="1"/>
    <col min="762" max="762" width="5.140625" style="2" customWidth="1"/>
    <col min="763" max="763" width="9.140625" style="2"/>
    <col min="764" max="764" width="4.85546875" style="2" customWidth="1"/>
    <col min="765" max="765" width="30.5703125" style="2" customWidth="1"/>
    <col min="766" max="766" width="33.85546875" style="2" customWidth="1"/>
    <col min="767" max="767" width="5.140625" style="2" customWidth="1"/>
    <col min="768" max="769" width="17.5703125" style="2" customWidth="1"/>
    <col min="770" max="1013" width="9.140625" style="2"/>
    <col min="1014" max="1014" width="3.5703125" style="2" customWidth="1"/>
    <col min="1015" max="1015" width="96.85546875" style="2" customWidth="1"/>
    <col min="1016" max="1016" width="30.85546875" style="2" customWidth="1"/>
    <col min="1017" max="1017" width="12.5703125" style="2" customWidth="1"/>
    <col min="1018" max="1018" width="5.140625" style="2" customWidth="1"/>
    <col min="1019" max="1019" width="9.140625" style="2"/>
    <col min="1020" max="1020" width="4.85546875" style="2" customWidth="1"/>
    <col min="1021" max="1021" width="30.5703125" style="2" customWidth="1"/>
    <col min="1022" max="1022" width="33.85546875" style="2" customWidth="1"/>
    <col min="1023" max="1023" width="5.140625" style="2" customWidth="1"/>
    <col min="1024" max="1025" width="17.5703125" style="2" customWidth="1"/>
    <col min="1026" max="1269" width="9.140625" style="2"/>
    <col min="1270" max="1270" width="3.5703125" style="2" customWidth="1"/>
    <col min="1271" max="1271" width="96.85546875" style="2" customWidth="1"/>
    <col min="1272" max="1272" width="30.85546875" style="2" customWidth="1"/>
    <col min="1273" max="1273" width="12.5703125" style="2" customWidth="1"/>
    <col min="1274" max="1274" width="5.140625" style="2" customWidth="1"/>
    <col min="1275" max="1275" width="9.140625" style="2"/>
    <col min="1276" max="1276" width="4.85546875" style="2" customWidth="1"/>
    <col min="1277" max="1277" width="30.5703125" style="2" customWidth="1"/>
    <col min="1278" max="1278" width="33.85546875" style="2" customWidth="1"/>
    <col min="1279" max="1279" width="5.140625" style="2" customWidth="1"/>
    <col min="1280" max="1281" width="17.5703125" style="2" customWidth="1"/>
    <col min="1282" max="1525" width="9.140625" style="2"/>
    <col min="1526" max="1526" width="3.5703125" style="2" customWidth="1"/>
    <col min="1527" max="1527" width="96.85546875" style="2" customWidth="1"/>
    <col min="1528" max="1528" width="30.85546875" style="2" customWidth="1"/>
    <col min="1529" max="1529" width="12.5703125" style="2" customWidth="1"/>
    <col min="1530" max="1530" width="5.140625" style="2" customWidth="1"/>
    <col min="1531" max="1531" width="9.140625" style="2"/>
    <col min="1532" max="1532" width="4.85546875" style="2" customWidth="1"/>
    <col min="1533" max="1533" width="30.5703125" style="2" customWidth="1"/>
    <col min="1534" max="1534" width="33.85546875" style="2" customWidth="1"/>
    <col min="1535" max="1535" width="5.140625" style="2" customWidth="1"/>
    <col min="1536" max="1537" width="17.5703125" style="2" customWidth="1"/>
    <col min="1538" max="1781" width="9.140625" style="2"/>
    <col min="1782" max="1782" width="3.5703125" style="2" customWidth="1"/>
    <col min="1783" max="1783" width="96.85546875" style="2" customWidth="1"/>
    <col min="1784" max="1784" width="30.85546875" style="2" customWidth="1"/>
    <col min="1785" max="1785" width="12.5703125" style="2" customWidth="1"/>
    <col min="1786" max="1786" width="5.140625" style="2" customWidth="1"/>
    <col min="1787" max="1787" width="9.140625" style="2"/>
    <col min="1788" max="1788" width="4.85546875" style="2" customWidth="1"/>
    <col min="1789" max="1789" width="30.5703125" style="2" customWidth="1"/>
    <col min="1790" max="1790" width="33.85546875" style="2" customWidth="1"/>
    <col min="1791" max="1791" width="5.140625" style="2" customWidth="1"/>
    <col min="1792" max="1793" width="17.5703125" style="2" customWidth="1"/>
    <col min="1794" max="2037" width="9.140625" style="2"/>
    <col min="2038" max="2038" width="3.5703125" style="2" customWidth="1"/>
    <col min="2039" max="2039" width="96.85546875" style="2" customWidth="1"/>
    <col min="2040" max="2040" width="30.85546875" style="2" customWidth="1"/>
    <col min="2041" max="2041" width="12.5703125" style="2" customWidth="1"/>
    <col min="2042" max="2042" width="5.140625" style="2" customWidth="1"/>
    <col min="2043" max="2043" width="9.140625" style="2"/>
    <col min="2044" max="2044" width="4.85546875" style="2" customWidth="1"/>
    <col min="2045" max="2045" width="30.5703125" style="2" customWidth="1"/>
    <col min="2046" max="2046" width="33.85546875" style="2" customWidth="1"/>
    <col min="2047" max="2047" width="5.140625" style="2" customWidth="1"/>
    <col min="2048" max="2049" width="17.5703125" style="2" customWidth="1"/>
    <col min="2050" max="2293" width="9.140625" style="2"/>
    <col min="2294" max="2294" width="3.5703125" style="2" customWidth="1"/>
    <col min="2295" max="2295" width="96.85546875" style="2" customWidth="1"/>
    <col min="2296" max="2296" width="30.85546875" style="2" customWidth="1"/>
    <col min="2297" max="2297" width="12.5703125" style="2" customWidth="1"/>
    <col min="2298" max="2298" width="5.140625" style="2" customWidth="1"/>
    <col min="2299" max="2299" width="9.140625" style="2"/>
    <col min="2300" max="2300" width="4.85546875" style="2" customWidth="1"/>
    <col min="2301" max="2301" width="30.5703125" style="2" customWidth="1"/>
    <col min="2302" max="2302" width="33.85546875" style="2" customWidth="1"/>
    <col min="2303" max="2303" width="5.140625" style="2" customWidth="1"/>
    <col min="2304" max="2305" width="17.5703125" style="2" customWidth="1"/>
    <col min="2306" max="2549" width="9.140625" style="2"/>
    <col min="2550" max="2550" width="3.5703125" style="2" customWidth="1"/>
    <col min="2551" max="2551" width="96.85546875" style="2" customWidth="1"/>
    <col min="2552" max="2552" width="30.85546875" style="2" customWidth="1"/>
    <col min="2553" max="2553" width="12.5703125" style="2" customWidth="1"/>
    <col min="2554" max="2554" width="5.140625" style="2" customWidth="1"/>
    <col min="2555" max="2555" width="9.140625" style="2"/>
    <col min="2556" max="2556" width="4.85546875" style="2" customWidth="1"/>
    <col min="2557" max="2557" width="30.5703125" style="2" customWidth="1"/>
    <col min="2558" max="2558" width="33.85546875" style="2" customWidth="1"/>
    <col min="2559" max="2559" width="5.140625" style="2" customWidth="1"/>
    <col min="2560" max="2561" width="17.5703125" style="2" customWidth="1"/>
    <col min="2562" max="2805" width="9.140625" style="2"/>
    <col min="2806" max="2806" width="3.5703125" style="2" customWidth="1"/>
    <col min="2807" max="2807" width="96.85546875" style="2" customWidth="1"/>
    <col min="2808" max="2808" width="30.85546875" style="2" customWidth="1"/>
    <col min="2809" max="2809" width="12.5703125" style="2" customWidth="1"/>
    <col min="2810" max="2810" width="5.140625" style="2" customWidth="1"/>
    <col min="2811" max="2811" width="9.140625" style="2"/>
    <col min="2812" max="2812" width="4.85546875" style="2" customWidth="1"/>
    <col min="2813" max="2813" width="30.5703125" style="2" customWidth="1"/>
    <col min="2814" max="2814" width="33.85546875" style="2" customWidth="1"/>
    <col min="2815" max="2815" width="5.140625" style="2" customWidth="1"/>
    <col min="2816" max="2817" width="17.5703125" style="2" customWidth="1"/>
    <col min="2818" max="3061" width="9.140625" style="2"/>
    <col min="3062" max="3062" width="3.5703125" style="2" customWidth="1"/>
    <col min="3063" max="3063" width="96.85546875" style="2" customWidth="1"/>
    <col min="3064" max="3064" width="30.85546875" style="2" customWidth="1"/>
    <col min="3065" max="3065" width="12.5703125" style="2" customWidth="1"/>
    <col min="3066" max="3066" width="5.140625" style="2" customWidth="1"/>
    <col min="3067" max="3067" width="9.140625" style="2"/>
    <col min="3068" max="3068" width="4.85546875" style="2" customWidth="1"/>
    <col min="3069" max="3069" width="30.5703125" style="2" customWidth="1"/>
    <col min="3070" max="3070" width="33.85546875" style="2" customWidth="1"/>
    <col min="3071" max="3071" width="5.140625" style="2" customWidth="1"/>
    <col min="3072" max="3073" width="17.5703125" style="2" customWidth="1"/>
    <col min="3074" max="3317" width="9.140625" style="2"/>
    <col min="3318" max="3318" width="3.5703125" style="2" customWidth="1"/>
    <col min="3319" max="3319" width="96.85546875" style="2" customWidth="1"/>
    <col min="3320" max="3320" width="30.85546875" style="2" customWidth="1"/>
    <col min="3321" max="3321" width="12.5703125" style="2" customWidth="1"/>
    <col min="3322" max="3322" width="5.140625" style="2" customWidth="1"/>
    <col min="3323" max="3323" width="9.140625" style="2"/>
    <col min="3324" max="3324" width="4.85546875" style="2" customWidth="1"/>
    <col min="3325" max="3325" width="30.5703125" style="2" customWidth="1"/>
    <col min="3326" max="3326" width="33.85546875" style="2" customWidth="1"/>
    <col min="3327" max="3327" width="5.140625" style="2" customWidth="1"/>
    <col min="3328" max="3329" width="17.5703125" style="2" customWidth="1"/>
    <col min="3330" max="3573" width="9.140625" style="2"/>
    <col min="3574" max="3574" width="3.5703125" style="2" customWidth="1"/>
    <col min="3575" max="3575" width="96.85546875" style="2" customWidth="1"/>
    <col min="3576" max="3576" width="30.85546875" style="2" customWidth="1"/>
    <col min="3577" max="3577" width="12.5703125" style="2" customWidth="1"/>
    <col min="3578" max="3578" width="5.140625" style="2" customWidth="1"/>
    <col min="3579" max="3579" width="9.140625" style="2"/>
    <col min="3580" max="3580" width="4.85546875" style="2" customWidth="1"/>
    <col min="3581" max="3581" width="30.5703125" style="2" customWidth="1"/>
    <col min="3582" max="3582" width="33.85546875" style="2" customWidth="1"/>
    <col min="3583" max="3583" width="5.140625" style="2" customWidth="1"/>
    <col min="3584" max="3585" width="17.5703125" style="2" customWidth="1"/>
    <col min="3586" max="3829" width="9.140625" style="2"/>
    <col min="3830" max="3830" width="3.5703125" style="2" customWidth="1"/>
    <col min="3831" max="3831" width="96.85546875" style="2" customWidth="1"/>
    <col min="3832" max="3832" width="30.85546875" style="2" customWidth="1"/>
    <col min="3833" max="3833" width="12.5703125" style="2" customWidth="1"/>
    <col min="3834" max="3834" width="5.140625" style="2" customWidth="1"/>
    <col min="3835" max="3835" width="9.140625" style="2"/>
    <col min="3836" max="3836" width="4.85546875" style="2" customWidth="1"/>
    <col min="3837" max="3837" width="30.5703125" style="2" customWidth="1"/>
    <col min="3838" max="3838" width="33.85546875" style="2" customWidth="1"/>
    <col min="3839" max="3839" width="5.140625" style="2" customWidth="1"/>
    <col min="3840" max="3841" width="17.5703125" style="2" customWidth="1"/>
    <col min="3842" max="4085" width="9.140625" style="2"/>
    <col min="4086" max="4086" width="3.5703125" style="2" customWidth="1"/>
    <col min="4087" max="4087" width="96.85546875" style="2" customWidth="1"/>
    <col min="4088" max="4088" width="30.85546875" style="2" customWidth="1"/>
    <col min="4089" max="4089" width="12.5703125" style="2" customWidth="1"/>
    <col min="4090" max="4090" width="5.140625" style="2" customWidth="1"/>
    <col min="4091" max="4091" width="9.140625" style="2"/>
    <col min="4092" max="4092" width="4.85546875" style="2" customWidth="1"/>
    <col min="4093" max="4093" width="30.5703125" style="2" customWidth="1"/>
    <col min="4094" max="4094" width="33.85546875" style="2" customWidth="1"/>
    <col min="4095" max="4095" width="5.140625" style="2" customWidth="1"/>
    <col min="4096" max="4097" width="17.5703125" style="2" customWidth="1"/>
    <col min="4098" max="4341" width="9.140625" style="2"/>
    <col min="4342" max="4342" width="3.5703125" style="2" customWidth="1"/>
    <col min="4343" max="4343" width="96.85546875" style="2" customWidth="1"/>
    <col min="4344" max="4344" width="30.85546875" style="2" customWidth="1"/>
    <col min="4345" max="4345" width="12.5703125" style="2" customWidth="1"/>
    <col min="4346" max="4346" width="5.140625" style="2" customWidth="1"/>
    <col min="4347" max="4347" width="9.140625" style="2"/>
    <col min="4348" max="4348" width="4.85546875" style="2" customWidth="1"/>
    <col min="4349" max="4349" width="30.5703125" style="2" customWidth="1"/>
    <col min="4350" max="4350" width="33.85546875" style="2" customWidth="1"/>
    <col min="4351" max="4351" width="5.140625" style="2" customWidth="1"/>
    <col min="4352" max="4353" width="17.5703125" style="2" customWidth="1"/>
    <col min="4354" max="4597" width="9.140625" style="2"/>
    <col min="4598" max="4598" width="3.5703125" style="2" customWidth="1"/>
    <col min="4599" max="4599" width="96.85546875" style="2" customWidth="1"/>
    <col min="4600" max="4600" width="30.85546875" style="2" customWidth="1"/>
    <col min="4601" max="4601" width="12.5703125" style="2" customWidth="1"/>
    <col min="4602" max="4602" width="5.140625" style="2" customWidth="1"/>
    <col min="4603" max="4603" width="9.140625" style="2"/>
    <col min="4604" max="4604" width="4.85546875" style="2" customWidth="1"/>
    <col min="4605" max="4605" width="30.5703125" style="2" customWidth="1"/>
    <col min="4606" max="4606" width="33.85546875" style="2" customWidth="1"/>
    <col min="4607" max="4607" width="5.140625" style="2" customWidth="1"/>
    <col min="4608" max="4609" width="17.5703125" style="2" customWidth="1"/>
    <col min="4610" max="4853" width="9.140625" style="2"/>
    <col min="4854" max="4854" width="3.5703125" style="2" customWidth="1"/>
    <col min="4855" max="4855" width="96.85546875" style="2" customWidth="1"/>
    <col min="4856" max="4856" width="30.85546875" style="2" customWidth="1"/>
    <col min="4857" max="4857" width="12.5703125" style="2" customWidth="1"/>
    <col min="4858" max="4858" width="5.140625" style="2" customWidth="1"/>
    <col min="4859" max="4859" width="9.140625" style="2"/>
    <col min="4860" max="4860" width="4.85546875" style="2" customWidth="1"/>
    <col min="4861" max="4861" width="30.5703125" style="2" customWidth="1"/>
    <col min="4862" max="4862" width="33.85546875" style="2" customWidth="1"/>
    <col min="4863" max="4863" width="5.140625" style="2" customWidth="1"/>
    <col min="4864" max="4865" width="17.5703125" style="2" customWidth="1"/>
    <col min="4866" max="5109" width="9.140625" style="2"/>
    <col min="5110" max="5110" width="3.5703125" style="2" customWidth="1"/>
    <col min="5111" max="5111" width="96.85546875" style="2" customWidth="1"/>
    <col min="5112" max="5112" width="30.85546875" style="2" customWidth="1"/>
    <col min="5113" max="5113" width="12.5703125" style="2" customWidth="1"/>
    <col min="5114" max="5114" width="5.140625" style="2" customWidth="1"/>
    <col min="5115" max="5115" width="9.140625" style="2"/>
    <col min="5116" max="5116" width="4.85546875" style="2" customWidth="1"/>
    <col min="5117" max="5117" width="30.5703125" style="2" customWidth="1"/>
    <col min="5118" max="5118" width="33.85546875" style="2" customWidth="1"/>
    <col min="5119" max="5119" width="5.140625" style="2" customWidth="1"/>
    <col min="5120" max="5121" width="17.5703125" style="2" customWidth="1"/>
    <col min="5122" max="5365" width="9.140625" style="2"/>
    <col min="5366" max="5366" width="3.5703125" style="2" customWidth="1"/>
    <col min="5367" max="5367" width="96.85546875" style="2" customWidth="1"/>
    <col min="5368" max="5368" width="30.85546875" style="2" customWidth="1"/>
    <col min="5369" max="5369" width="12.5703125" style="2" customWidth="1"/>
    <col min="5370" max="5370" width="5.140625" style="2" customWidth="1"/>
    <col min="5371" max="5371" width="9.140625" style="2"/>
    <col min="5372" max="5372" width="4.85546875" style="2" customWidth="1"/>
    <col min="5373" max="5373" width="30.5703125" style="2" customWidth="1"/>
    <col min="5374" max="5374" width="33.85546875" style="2" customWidth="1"/>
    <col min="5375" max="5375" width="5.140625" style="2" customWidth="1"/>
    <col min="5376" max="5377" width="17.5703125" style="2" customWidth="1"/>
    <col min="5378" max="5621" width="9.140625" style="2"/>
    <col min="5622" max="5622" width="3.5703125" style="2" customWidth="1"/>
    <col min="5623" max="5623" width="96.85546875" style="2" customWidth="1"/>
    <col min="5624" max="5624" width="30.85546875" style="2" customWidth="1"/>
    <col min="5625" max="5625" width="12.5703125" style="2" customWidth="1"/>
    <col min="5626" max="5626" width="5.140625" style="2" customWidth="1"/>
    <col min="5627" max="5627" width="9.140625" style="2"/>
    <col min="5628" max="5628" width="4.85546875" style="2" customWidth="1"/>
    <col min="5629" max="5629" width="30.5703125" style="2" customWidth="1"/>
    <col min="5630" max="5630" width="33.85546875" style="2" customWidth="1"/>
    <col min="5631" max="5631" width="5.140625" style="2" customWidth="1"/>
    <col min="5632" max="5633" width="17.5703125" style="2" customWidth="1"/>
    <col min="5634" max="5877" width="9.140625" style="2"/>
    <col min="5878" max="5878" width="3.5703125" style="2" customWidth="1"/>
    <col min="5879" max="5879" width="96.85546875" style="2" customWidth="1"/>
    <col min="5880" max="5880" width="30.85546875" style="2" customWidth="1"/>
    <col min="5881" max="5881" width="12.5703125" style="2" customWidth="1"/>
    <col min="5882" max="5882" width="5.140625" style="2" customWidth="1"/>
    <col min="5883" max="5883" width="9.140625" style="2"/>
    <col min="5884" max="5884" width="4.85546875" style="2" customWidth="1"/>
    <col min="5885" max="5885" width="30.5703125" style="2" customWidth="1"/>
    <col min="5886" max="5886" width="33.85546875" style="2" customWidth="1"/>
    <col min="5887" max="5887" width="5.140625" style="2" customWidth="1"/>
    <col min="5888" max="5889" width="17.5703125" style="2" customWidth="1"/>
    <col min="5890" max="6133" width="9.140625" style="2"/>
    <col min="6134" max="6134" width="3.5703125" style="2" customWidth="1"/>
    <col min="6135" max="6135" width="96.85546875" style="2" customWidth="1"/>
    <col min="6136" max="6136" width="30.85546875" style="2" customWidth="1"/>
    <col min="6137" max="6137" width="12.5703125" style="2" customWidth="1"/>
    <col min="6138" max="6138" width="5.140625" style="2" customWidth="1"/>
    <col min="6139" max="6139" width="9.140625" style="2"/>
    <col min="6140" max="6140" width="4.85546875" style="2" customWidth="1"/>
    <col min="6141" max="6141" width="30.5703125" style="2" customWidth="1"/>
    <col min="6142" max="6142" width="33.85546875" style="2" customWidth="1"/>
    <col min="6143" max="6143" width="5.140625" style="2" customWidth="1"/>
    <col min="6144" max="6145" width="17.5703125" style="2" customWidth="1"/>
    <col min="6146" max="6389" width="9.140625" style="2"/>
    <col min="6390" max="6390" width="3.5703125" style="2" customWidth="1"/>
    <col min="6391" max="6391" width="96.85546875" style="2" customWidth="1"/>
    <col min="6392" max="6392" width="30.85546875" style="2" customWidth="1"/>
    <col min="6393" max="6393" width="12.5703125" style="2" customWidth="1"/>
    <col min="6394" max="6394" width="5.140625" style="2" customWidth="1"/>
    <col min="6395" max="6395" width="9.140625" style="2"/>
    <col min="6396" max="6396" width="4.85546875" style="2" customWidth="1"/>
    <col min="6397" max="6397" width="30.5703125" style="2" customWidth="1"/>
    <col min="6398" max="6398" width="33.85546875" style="2" customWidth="1"/>
    <col min="6399" max="6399" width="5.140625" style="2" customWidth="1"/>
    <col min="6400" max="6401" width="17.5703125" style="2" customWidth="1"/>
    <col min="6402" max="6645" width="9.140625" style="2"/>
    <col min="6646" max="6646" width="3.5703125" style="2" customWidth="1"/>
    <col min="6647" max="6647" width="96.85546875" style="2" customWidth="1"/>
    <col min="6648" max="6648" width="30.85546875" style="2" customWidth="1"/>
    <col min="6649" max="6649" width="12.5703125" style="2" customWidth="1"/>
    <col min="6650" max="6650" width="5.140625" style="2" customWidth="1"/>
    <col min="6651" max="6651" width="9.140625" style="2"/>
    <col min="6652" max="6652" width="4.85546875" style="2" customWidth="1"/>
    <col min="6653" max="6653" width="30.5703125" style="2" customWidth="1"/>
    <col min="6654" max="6654" width="33.85546875" style="2" customWidth="1"/>
    <col min="6655" max="6655" width="5.140625" style="2" customWidth="1"/>
    <col min="6656" max="6657" width="17.5703125" style="2" customWidth="1"/>
    <col min="6658" max="6901" width="9.140625" style="2"/>
    <col min="6902" max="6902" width="3.5703125" style="2" customWidth="1"/>
    <col min="6903" max="6903" width="96.85546875" style="2" customWidth="1"/>
    <col min="6904" max="6904" width="30.85546875" style="2" customWidth="1"/>
    <col min="6905" max="6905" width="12.5703125" style="2" customWidth="1"/>
    <col min="6906" max="6906" width="5.140625" style="2" customWidth="1"/>
    <col min="6907" max="6907" width="9.140625" style="2"/>
    <col min="6908" max="6908" width="4.85546875" style="2" customWidth="1"/>
    <col min="6909" max="6909" width="30.5703125" style="2" customWidth="1"/>
    <col min="6910" max="6910" width="33.85546875" style="2" customWidth="1"/>
    <col min="6911" max="6911" width="5.140625" style="2" customWidth="1"/>
    <col min="6912" max="6913" width="17.5703125" style="2" customWidth="1"/>
    <col min="6914" max="7157" width="9.140625" style="2"/>
    <col min="7158" max="7158" width="3.5703125" style="2" customWidth="1"/>
    <col min="7159" max="7159" width="96.85546875" style="2" customWidth="1"/>
    <col min="7160" max="7160" width="30.85546875" style="2" customWidth="1"/>
    <col min="7161" max="7161" width="12.5703125" style="2" customWidth="1"/>
    <col min="7162" max="7162" width="5.140625" style="2" customWidth="1"/>
    <col min="7163" max="7163" width="9.140625" style="2"/>
    <col min="7164" max="7164" width="4.85546875" style="2" customWidth="1"/>
    <col min="7165" max="7165" width="30.5703125" style="2" customWidth="1"/>
    <col min="7166" max="7166" width="33.85546875" style="2" customWidth="1"/>
    <col min="7167" max="7167" width="5.140625" style="2" customWidth="1"/>
    <col min="7168" max="7169" width="17.5703125" style="2" customWidth="1"/>
    <col min="7170" max="7413" width="9.140625" style="2"/>
    <col min="7414" max="7414" width="3.5703125" style="2" customWidth="1"/>
    <col min="7415" max="7415" width="96.85546875" style="2" customWidth="1"/>
    <col min="7416" max="7416" width="30.85546875" style="2" customWidth="1"/>
    <col min="7417" max="7417" width="12.5703125" style="2" customWidth="1"/>
    <col min="7418" max="7418" width="5.140625" style="2" customWidth="1"/>
    <col min="7419" max="7419" width="9.140625" style="2"/>
    <col min="7420" max="7420" width="4.85546875" style="2" customWidth="1"/>
    <col min="7421" max="7421" width="30.5703125" style="2" customWidth="1"/>
    <col min="7422" max="7422" width="33.85546875" style="2" customWidth="1"/>
    <col min="7423" max="7423" width="5.140625" style="2" customWidth="1"/>
    <col min="7424" max="7425" width="17.5703125" style="2" customWidth="1"/>
    <col min="7426" max="7669" width="9.140625" style="2"/>
    <col min="7670" max="7670" width="3.5703125" style="2" customWidth="1"/>
    <col min="7671" max="7671" width="96.85546875" style="2" customWidth="1"/>
    <col min="7672" max="7672" width="30.85546875" style="2" customWidth="1"/>
    <col min="7673" max="7673" width="12.5703125" style="2" customWidth="1"/>
    <col min="7674" max="7674" width="5.140625" style="2" customWidth="1"/>
    <col min="7675" max="7675" width="9.140625" style="2"/>
    <col min="7676" max="7676" width="4.85546875" style="2" customWidth="1"/>
    <col min="7677" max="7677" width="30.5703125" style="2" customWidth="1"/>
    <col min="7678" max="7678" width="33.85546875" style="2" customWidth="1"/>
    <col min="7679" max="7679" width="5.140625" style="2" customWidth="1"/>
    <col min="7680" max="7681" width="17.5703125" style="2" customWidth="1"/>
    <col min="7682" max="7925" width="9.140625" style="2"/>
    <col min="7926" max="7926" width="3.5703125" style="2" customWidth="1"/>
    <col min="7927" max="7927" width="96.85546875" style="2" customWidth="1"/>
    <col min="7928" max="7928" width="30.85546875" style="2" customWidth="1"/>
    <col min="7929" max="7929" width="12.5703125" style="2" customWidth="1"/>
    <col min="7930" max="7930" width="5.140625" style="2" customWidth="1"/>
    <col min="7931" max="7931" width="9.140625" style="2"/>
    <col min="7932" max="7932" width="4.85546875" style="2" customWidth="1"/>
    <col min="7933" max="7933" width="30.5703125" style="2" customWidth="1"/>
    <col min="7934" max="7934" width="33.85546875" style="2" customWidth="1"/>
    <col min="7935" max="7935" width="5.140625" style="2" customWidth="1"/>
    <col min="7936" max="7937" width="17.5703125" style="2" customWidth="1"/>
    <col min="7938" max="8181" width="9.140625" style="2"/>
    <col min="8182" max="8182" width="3.5703125" style="2" customWidth="1"/>
    <col min="8183" max="8183" width="96.85546875" style="2" customWidth="1"/>
    <col min="8184" max="8184" width="30.85546875" style="2" customWidth="1"/>
    <col min="8185" max="8185" width="12.5703125" style="2" customWidth="1"/>
    <col min="8186" max="8186" width="5.140625" style="2" customWidth="1"/>
    <col min="8187" max="8187" width="9.140625" style="2"/>
    <col min="8188" max="8188" width="4.85546875" style="2" customWidth="1"/>
    <col min="8189" max="8189" width="30.5703125" style="2" customWidth="1"/>
    <col min="8190" max="8190" width="33.85546875" style="2" customWidth="1"/>
    <col min="8191" max="8191" width="5.140625" style="2" customWidth="1"/>
    <col min="8192" max="8193" width="17.5703125" style="2" customWidth="1"/>
    <col min="8194" max="8437" width="9.140625" style="2"/>
    <col min="8438" max="8438" width="3.5703125" style="2" customWidth="1"/>
    <col min="8439" max="8439" width="96.85546875" style="2" customWidth="1"/>
    <col min="8440" max="8440" width="30.85546875" style="2" customWidth="1"/>
    <col min="8441" max="8441" width="12.5703125" style="2" customWidth="1"/>
    <col min="8442" max="8442" width="5.140625" style="2" customWidth="1"/>
    <col min="8443" max="8443" width="9.140625" style="2"/>
    <col min="8444" max="8444" width="4.85546875" style="2" customWidth="1"/>
    <col min="8445" max="8445" width="30.5703125" style="2" customWidth="1"/>
    <col min="8446" max="8446" width="33.85546875" style="2" customWidth="1"/>
    <col min="8447" max="8447" width="5.140625" style="2" customWidth="1"/>
    <col min="8448" max="8449" width="17.5703125" style="2" customWidth="1"/>
    <col min="8450" max="8693" width="9.140625" style="2"/>
    <col min="8694" max="8694" width="3.5703125" style="2" customWidth="1"/>
    <col min="8695" max="8695" width="96.85546875" style="2" customWidth="1"/>
    <col min="8696" max="8696" width="30.85546875" style="2" customWidth="1"/>
    <col min="8697" max="8697" width="12.5703125" style="2" customWidth="1"/>
    <col min="8698" max="8698" width="5.140625" style="2" customWidth="1"/>
    <col min="8699" max="8699" width="9.140625" style="2"/>
    <col min="8700" max="8700" width="4.85546875" style="2" customWidth="1"/>
    <col min="8701" max="8701" width="30.5703125" style="2" customWidth="1"/>
    <col min="8702" max="8702" width="33.85546875" style="2" customWidth="1"/>
    <col min="8703" max="8703" width="5.140625" style="2" customWidth="1"/>
    <col min="8704" max="8705" width="17.5703125" style="2" customWidth="1"/>
    <col min="8706" max="8949" width="9.140625" style="2"/>
    <col min="8950" max="8950" width="3.5703125" style="2" customWidth="1"/>
    <col min="8951" max="8951" width="96.85546875" style="2" customWidth="1"/>
    <col min="8952" max="8952" width="30.85546875" style="2" customWidth="1"/>
    <col min="8953" max="8953" width="12.5703125" style="2" customWidth="1"/>
    <col min="8954" max="8954" width="5.140625" style="2" customWidth="1"/>
    <col min="8955" max="8955" width="9.140625" style="2"/>
    <col min="8956" max="8956" width="4.85546875" style="2" customWidth="1"/>
    <col min="8957" max="8957" width="30.5703125" style="2" customWidth="1"/>
    <col min="8958" max="8958" width="33.85546875" style="2" customWidth="1"/>
    <col min="8959" max="8959" width="5.140625" style="2" customWidth="1"/>
    <col min="8960" max="8961" width="17.5703125" style="2" customWidth="1"/>
    <col min="8962" max="9205" width="9.140625" style="2"/>
    <col min="9206" max="9206" width="3.5703125" style="2" customWidth="1"/>
    <col min="9207" max="9207" width="96.85546875" style="2" customWidth="1"/>
    <col min="9208" max="9208" width="30.85546875" style="2" customWidth="1"/>
    <col min="9209" max="9209" width="12.5703125" style="2" customWidth="1"/>
    <col min="9210" max="9210" width="5.140625" style="2" customWidth="1"/>
    <col min="9211" max="9211" width="9.140625" style="2"/>
    <col min="9212" max="9212" width="4.85546875" style="2" customWidth="1"/>
    <col min="9213" max="9213" width="30.5703125" style="2" customWidth="1"/>
    <col min="9214" max="9214" width="33.85546875" style="2" customWidth="1"/>
    <col min="9215" max="9215" width="5.140625" style="2" customWidth="1"/>
    <col min="9216" max="9217" width="17.5703125" style="2" customWidth="1"/>
    <col min="9218" max="9461" width="9.140625" style="2"/>
    <col min="9462" max="9462" width="3.5703125" style="2" customWidth="1"/>
    <col min="9463" max="9463" width="96.85546875" style="2" customWidth="1"/>
    <col min="9464" max="9464" width="30.85546875" style="2" customWidth="1"/>
    <col min="9465" max="9465" width="12.5703125" style="2" customWidth="1"/>
    <col min="9466" max="9466" width="5.140625" style="2" customWidth="1"/>
    <col min="9467" max="9467" width="9.140625" style="2"/>
    <col min="9468" max="9468" width="4.85546875" style="2" customWidth="1"/>
    <col min="9469" max="9469" width="30.5703125" style="2" customWidth="1"/>
    <col min="9470" max="9470" width="33.85546875" style="2" customWidth="1"/>
    <col min="9471" max="9471" width="5.140625" style="2" customWidth="1"/>
    <col min="9472" max="9473" width="17.5703125" style="2" customWidth="1"/>
    <col min="9474" max="9717" width="9.140625" style="2"/>
    <col min="9718" max="9718" width="3.5703125" style="2" customWidth="1"/>
    <col min="9719" max="9719" width="96.85546875" style="2" customWidth="1"/>
    <col min="9720" max="9720" width="30.85546875" style="2" customWidth="1"/>
    <col min="9721" max="9721" width="12.5703125" style="2" customWidth="1"/>
    <col min="9722" max="9722" width="5.140625" style="2" customWidth="1"/>
    <col min="9723" max="9723" width="9.140625" style="2"/>
    <col min="9724" max="9724" width="4.85546875" style="2" customWidth="1"/>
    <col min="9725" max="9725" width="30.5703125" style="2" customWidth="1"/>
    <col min="9726" max="9726" width="33.85546875" style="2" customWidth="1"/>
    <col min="9727" max="9727" width="5.140625" style="2" customWidth="1"/>
    <col min="9728" max="9729" width="17.5703125" style="2" customWidth="1"/>
    <col min="9730" max="9973" width="9.140625" style="2"/>
    <col min="9974" max="9974" width="3.5703125" style="2" customWidth="1"/>
    <col min="9975" max="9975" width="96.85546875" style="2" customWidth="1"/>
    <col min="9976" max="9976" width="30.85546875" style="2" customWidth="1"/>
    <col min="9977" max="9977" width="12.5703125" style="2" customWidth="1"/>
    <col min="9978" max="9978" width="5.140625" style="2" customWidth="1"/>
    <col min="9979" max="9979" width="9.140625" style="2"/>
    <col min="9980" max="9980" width="4.85546875" style="2" customWidth="1"/>
    <col min="9981" max="9981" width="30.5703125" style="2" customWidth="1"/>
    <col min="9982" max="9982" width="33.85546875" style="2" customWidth="1"/>
    <col min="9983" max="9983" width="5.140625" style="2" customWidth="1"/>
    <col min="9984" max="9985" width="17.5703125" style="2" customWidth="1"/>
    <col min="9986" max="10229" width="9.140625" style="2"/>
    <col min="10230" max="10230" width="3.5703125" style="2" customWidth="1"/>
    <col min="10231" max="10231" width="96.85546875" style="2" customWidth="1"/>
    <col min="10232" max="10232" width="30.85546875" style="2" customWidth="1"/>
    <col min="10233" max="10233" width="12.5703125" style="2" customWidth="1"/>
    <col min="10234" max="10234" width="5.140625" style="2" customWidth="1"/>
    <col min="10235" max="10235" width="9.140625" style="2"/>
    <col min="10236" max="10236" width="4.85546875" style="2" customWidth="1"/>
    <col min="10237" max="10237" width="30.5703125" style="2" customWidth="1"/>
    <col min="10238" max="10238" width="33.85546875" style="2" customWidth="1"/>
    <col min="10239" max="10239" width="5.140625" style="2" customWidth="1"/>
    <col min="10240" max="10241" width="17.5703125" style="2" customWidth="1"/>
    <col min="10242" max="10485" width="9.140625" style="2"/>
    <col min="10486" max="10486" width="3.5703125" style="2" customWidth="1"/>
    <col min="10487" max="10487" width="96.85546875" style="2" customWidth="1"/>
    <col min="10488" max="10488" width="30.85546875" style="2" customWidth="1"/>
    <col min="10489" max="10489" width="12.5703125" style="2" customWidth="1"/>
    <col min="10490" max="10490" width="5.140625" style="2" customWidth="1"/>
    <col min="10491" max="10491" width="9.140625" style="2"/>
    <col min="10492" max="10492" width="4.85546875" style="2" customWidth="1"/>
    <col min="10493" max="10493" width="30.5703125" style="2" customWidth="1"/>
    <col min="10494" max="10494" width="33.85546875" style="2" customWidth="1"/>
    <col min="10495" max="10495" width="5.140625" style="2" customWidth="1"/>
    <col min="10496" max="10497" width="17.5703125" style="2" customWidth="1"/>
    <col min="10498" max="10741" width="9.140625" style="2"/>
    <col min="10742" max="10742" width="3.5703125" style="2" customWidth="1"/>
    <col min="10743" max="10743" width="96.85546875" style="2" customWidth="1"/>
    <col min="10744" max="10744" width="30.85546875" style="2" customWidth="1"/>
    <col min="10745" max="10745" width="12.5703125" style="2" customWidth="1"/>
    <col min="10746" max="10746" width="5.140625" style="2" customWidth="1"/>
    <col min="10747" max="10747" width="9.140625" style="2"/>
    <col min="10748" max="10748" width="4.85546875" style="2" customWidth="1"/>
    <col min="10749" max="10749" width="30.5703125" style="2" customWidth="1"/>
    <col min="10750" max="10750" width="33.85546875" style="2" customWidth="1"/>
    <col min="10751" max="10751" width="5.140625" style="2" customWidth="1"/>
    <col min="10752" max="10753" width="17.5703125" style="2" customWidth="1"/>
    <col min="10754" max="10997" width="9.140625" style="2"/>
    <col min="10998" max="10998" width="3.5703125" style="2" customWidth="1"/>
    <col min="10999" max="10999" width="96.85546875" style="2" customWidth="1"/>
    <col min="11000" max="11000" width="30.85546875" style="2" customWidth="1"/>
    <col min="11001" max="11001" width="12.5703125" style="2" customWidth="1"/>
    <col min="11002" max="11002" width="5.140625" style="2" customWidth="1"/>
    <col min="11003" max="11003" width="9.140625" style="2"/>
    <col min="11004" max="11004" width="4.85546875" style="2" customWidth="1"/>
    <col min="11005" max="11005" width="30.5703125" style="2" customWidth="1"/>
    <col min="11006" max="11006" width="33.85546875" style="2" customWidth="1"/>
    <col min="11007" max="11007" width="5.140625" style="2" customWidth="1"/>
    <col min="11008" max="11009" width="17.5703125" style="2" customWidth="1"/>
    <col min="11010" max="11253" width="9.140625" style="2"/>
    <col min="11254" max="11254" width="3.5703125" style="2" customWidth="1"/>
    <col min="11255" max="11255" width="96.85546875" style="2" customWidth="1"/>
    <col min="11256" max="11256" width="30.85546875" style="2" customWidth="1"/>
    <col min="11257" max="11257" width="12.5703125" style="2" customWidth="1"/>
    <col min="11258" max="11258" width="5.140625" style="2" customWidth="1"/>
    <col min="11259" max="11259" width="9.140625" style="2"/>
    <col min="11260" max="11260" width="4.85546875" style="2" customWidth="1"/>
    <col min="11261" max="11261" width="30.5703125" style="2" customWidth="1"/>
    <col min="11262" max="11262" width="33.85546875" style="2" customWidth="1"/>
    <col min="11263" max="11263" width="5.140625" style="2" customWidth="1"/>
    <col min="11264" max="11265" width="17.5703125" style="2" customWidth="1"/>
    <col min="11266" max="11509" width="9.140625" style="2"/>
    <col min="11510" max="11510" width="3.5703125" style="2" customWidth="1"/>
    <col min="11511" max="11511" width="96.85546875" style="2" customWidth="1"/>
    <col min="11512" max="11512" width="30.85546875" style="2" customWidth="1"/>
    <col min="11513" max="11513" width="12.5703125" style="2" customWidth="1"/>
    <col min="11514" max="11514" width="5.140625" style="2" customWidth="1"/>
    <col min="11515" max="11515" width="9.140625" style="2"/>
    <col min="11516" max="11516" width="4.85546875" style="2" customWidth="1"/>
    <col min="11517" max="11517" width="30.5703125" style="2" customWidth="1"/>
    <col min="11518" max="11518" width="33.85546875" style="2" customWidth="1"/>
    <col min="11519" max="11519" width="5.140625" style="2" customWidth="1"/>
    <col min="11520" max="11521" width="17.5703125" style="2" customWidth="1"/>
    <col min="11522" max="11765" width="9.140625" style="2"/>
    <col min="11766" max="11766" width="3.5703125" style="2" customWidth="1"/>
    <col min="11767" max="11767" width="96.85546875" style="2" customWidth="1"/>
    <col min="11768" max="11768" width="30.85546875" style="2" customWidth="1"/>
    <col min="11769" max="11769" width="12.5703125" style="2" customWidth="1"/>
    <col min="11770" max="11770" width="5.140625" style="2" customWidth="1"/>
    <col min="11771" max="11771" width="9.140625" style="2"/>
    <col min="11772" max="11772" width="4.85546875" style="2" customWidth="1"/>
    <col min="11773" max="11773" width="30.5703125" style="2" customWidth="1"/>
    <col min="11774" max="11774" width="33.85546875" style="2" customWidth="1"/>
    <col min="11775" max="11775" width="5.140625" style="2" customWidth="1"/>
    <col min="11776" max="11777" width="17.5703125" style="2" customWidth="1"/>
    <col min="11778" max="12021" width="9.140625" style="2"/>
    <col min="12022" max="12022" width="3.5703125" style="2" customWidth="1"/>
    <col min="12023" max="12023" width="96.85546875" style="2" customWidth="1"/>
    <col min="12024" max="12024" width="30.85546875" style="2" customWidth="1"/>
    <col min="12025" max="12025" width="12.5703125" style="2" customWidth="1"/>
    <col min="12026" max="12026" width="5.140625" style="2" customWidth="1"/>
    <col min="12027" max="12027" width="9.140625" style="2"/>
    <col min="12028" max="12028" width="4.85546875" style="2" customWidth="1"/>
    <col min="12029" max="12029" width="30.5703125" style="2" customWidth="1"/>
    <col min="12030" max="12030" width="33.85546875" style="2" customWidth="1"/>
    <col min="12031" max="12031" width="5.140625" style="2" customWidth="1"/>
    <col min="12032" max="12033" width="17.5703125" style="2" customWidth="1"/>
    <col min="12034" max="12277" width="9.140625" style="2"/>
    <col min="12278" max="12278" width="3.5703125" style="2" customWidth="1"/>
    <col min="12279" max="12279" width="96.85546875" style="2" customWidth="1"/>
    <col min="12280" max="12280" width="30.85546875" style="2" customWidth="1"/>
    <col min="12281" max="12281" width="12.5703125" style="2" customWidth="1"/>
    <col min="12282" max="12282" width="5.140625" style="2" customWidth="1"/>
    <col min="12283" max="12283" width="9.140625" style="2"/>
    <col min="12284" max="12284" width="4.85546875" style="2" customWidth="1"/>
    <col min="12285" max="12285" width="30.5703125" style="2" customWidth="1"/>
    <col min="12286" max="12286" width="33.85546875" style="2" customWidth="1"/>
    <col min="12287" max="12287" width="5.140625" style="2" customWidth="1"/>
    <col min="12288" max="12289" width="17.5703125" style="2" customWidth="1"/>
    <col min="12290" max="12533" width="9.140625" style="2"/>
    <col min="12534" max="12534" width="3.5703125" style="2" customWidth="1"/>
    <col min="12535" max="12535" width="96.85546875" style="2" customWidth="1"/>
    <col min="12536" max="12536" width="30.85546875" style="2" customWidth="1"/>
    <col min="12537" max="12537" width="12.5703125" style="2" customWidth="1"/>
    <col min="12538" max="12538" width="5.140625" style="2" customWidth="1"/>
    <col min="12539" max="12539" width="9.140625" style="2"/>
    <col min="12540" max="12540" width="4.85546875" style="2" customWidth="1"/>
    <col min="12541" max="12541" width="30.5703125" style="2" customWidth="1"/>
    <col min="12542" max="12542" width="33.85546875" style="2" customWidth="1"/>
    <col min="12543" max="12543" width="5.140625" style="2" customWidth="1"/>
    <col min="12544" max="12545" width="17.5703125" style="2" customWidth="1"/>
    <col min="12546" max="12789" width="9.140625" style="2"/>
    <col min="12790" max="12790" width="3.5703125" style="2" customWidth="1"/>
    <col min="12791" max="12791" width="96.85546875" style="2" customWidth="1"/>
    <col min="12792" max="12792" width="30.85546875" style="2" customWidth="1"/>
    <col min="12793" max="12793" width="12.5703125" style="2" customWidth="1"/>
    <col min="12794" max="12794" width="5.140625" style="2" customWidth="1"/>
    <col min="12795" max="12795" width="9.140625" style="2"/>
    <col min="12796" max="12796" width="4.85546875" style="2" customWidth="1"/>
    <col min="12797" max="12797" width="30.5703125" style="2" customWidth="1"/>
    <col min="12798" max="12798" width="33.85546875" style="2" customWidth="1"/>
    <col min="12799" max="12799" width="5.140625" style="2" customWidth="1"/>
    <col min="12800" max="12801" width="17.5703125" style="2" customWidth="1"/>
    <col min="12802" max="13045" width="9.140625" style="2"/>
    <col min="13046" max="13046" width="3.5703125" style="2" customWidth="1"/>
    <col min="13047" max="13047" width="96.85546875" style="2" customWidth="1"/>
    <col min="13048" max="13048" width="30.85546875" style="2" customWidth="1"/>
    <col min="13049" max="13049" width="12.5703125" style="2" customWidth="1"/>
    <col min="13050" max="13050" width="5.140625" style="2" customWidth="1"/>
    <col min="13051" max="13051" width="9.140625" style="2"/>
    <col min="13052" max="13052" width="4.85546875" style="2" customWidth="1"/>
    <col min="13053" max="13053" width="30.5703125" style="2" customWidth="1"/>
    <col min="13054" max="13054" width="33.85546875" style="2" customWidth="1"/>
    <col min="13055" max="13055" width="5.140625" style="2" customWidth="1"/>
    <col min="13056" max="13057" width="17.5703125" style="2" customWidth="1"/>
    <col min="13058" max="13301" width="9.140625" style="2"/>
    <col min="13302" max="13302" width="3.5703125" style="2" customWidth="1"/>
    <col min="13303" max="13303" width="96.85546875" style="2" customWidth="1"/>
    <col min="13304" max="13304" width="30.85546875" style="2" customWidth="1"/>
    <col min="13305" max="13305" width="12.5703125" style="2" customWidth="1"/>
    <col min="13306" max="13306" width="5.140625" style="2" customWidth="1"/>
    <col min="13307" max="13307" width="9.140625" style="2"/>
    <col min="13308" max="13308" width="4.85546875" style="2" customWidth="1"/>
    <col min="13309" max="13309" width="30.5703125" style="2" customWidth="1"/>
    <col min="13310" max="13310" width="33.85546875" style="2" customWidth="1"/>
    <col min="13311" max="13311" width="5.140625" style="2" customWidth="1"/>
    <col min="13312" max="13313" width="17.5703125" style="2" customWidth="1"/>
    <col min="13314" max="13557" width="9.140625" style="2"/>
    <col min="13558" max="13558" width="3.5703125" style="2" customWidth="1"/>
    <col min="13559" max="13559" width="96.85546875" style="2" customWidth="1"/>
    <col min="13560" max="13560" width="30.85546875" style="2" customWidth="1"/>
    <col min="13561" max="13561" width="12.5703125" style="2" customWidth="1"/>
    <col min="13562" max="13562" width="5.140625" style="2" customWidth="1"/>
    <col min="13563" max="13563" width="9.140625" style="2"/>
    <col min="13564" max="13564" width="4.85546875" style="2" customWidth="1"/>
    <col min="13565" max="13565" width="30.5703125" style="2" customWidth="1"/>
    <col min="13566" max="13566" width="33.85546875" style="2" customWidth="1"/>
    <col min="13567" max="13567" width="5.140625" style="2" customWidth="1"/>
    <col min="13568" max="13569" width="17.5703125" style="2" customWidth="1"/>
    <col min="13570" max="13813" width="9.140625" style="2"/>
    <col min="13814" max="13814" width="3.5703125" style="2" customWidth="1"/>
    <col min="13815" max="13815" width="96.85546875" style="2" customWidth="1"/>
    <col min="13816" max="13816" width="30.85546875" style="2" customWidth="1"/>
    <col min="13817" max="13817" width="12.5703125" style="2" customWidth="1"/>
    <col min="13818" max="13818" width="5.140625" style="2" customWidth="1"/>
    <col min="13819" max="13819" width="9.140625" style="2"/>
    <col min="13820" max="13820" width="4.85546875" style="2" customWidth="1"/>
    <col min="13821" max="13821" width="30.5703125" style="2" customWidth="1"/>
    <col min="13822" max="13822" width="33.85546875" style="2" customWidth="1"/>
    <col min="13823" max="13823" width="5.140625" style="2" customWidth="1"/>
    <col min="13824" max="13825" width="17.5703125" style="2" customWidth="1"/>
    <col min="13826" max="14069" width="9.140625" style="2"/>
    <col min="14070" max="14070" width="3.5703125" style="2" customWidth="1"/>
    <col min="14071" max="14071" width="96.85546875" style="2" customWidth="1"/>
    <col min="14072" max="14072" width="30.85546875" style="2" customWidth="1"/>
    <col min="14073" max="14073" width="12.5703125" style="2" customWidth="1"/>
    <col min="14074" max="14074" width="5.140625" style="2" customWidth="1"/>
    <col min="14075" max="14075" width="9.140625" style="2"/>
    <col min="14076" max="14076" width="4.85546875" style="2" customWidth="1"/>
    <col min="14077" max="14077" width="30.5703125" style="2" customWidth="1"/>
    <col min="14078" max="14078" width="33.85546875" style="2" customWidth="1"/>
    <col min="14079" max="14079" width="5.140625" style="2" customWidth="1"/>
    <col min="14080" max="14081" width="17.5703125" style="2" customWidth="1"/>
    <col min="14082" max="14325" width="9.140625" style="2"/>
    <col min="14326" max="14326" width="3.5703125" style="2" customWidth="1"/>
    <col min="14327" max="14327" width="96.85546875" style="2" customWidth="1"/>
    <col min="14328" max="14328" width="30.85546875" style="2" customWidth="1"/>
    <col min="14329" max="14329" width="12.5703125" style="2" customWidth="1"/>
    <col min="14330" max="14330" width="5.140625" style="2" customWidth="1"/>
    <col min="14331" max="14331" width="9.140625" style="2"/>
    <col min="14332" max="14332" width="4.85546875" style="2" customWidth="1"/>
    <col min="14333" max="14333" width="30.5703125" style="2" customWidth="1"/>
    <col min="14334" max="14334" width="33.85546875" style="2" customWidth="1"/>
    <col min="14335" max="14335" width="5.140625" style="2" customWidth="1"/>
    <col min="14336" max="14337" width="17.5703125" style="2" customWidth="1"/>
    <col min="14338" max="14581" width="9.140625" style="2"/>
    <col min="14582" max="14582" width="3.5703125" style="2" customWidth="1"/>
    <col min="14583" max="14583" width="96.85546875" style="2" customWidth="1"/>
    <col min="14584" max="14584" width="30.85546875" style="2" customWidth="1"/>
    <col min="14585" max="14585" width="12.5703125" style="2" customWidth="1"/>
    <col min="14586" max="14586" width="5.140625" style="2" customWidth="1"/>
    <col min="14587" max="14587" width="9.140625" style="2"/>
    <col min="14588" max="14588" width="4.85546875" style="2" customWidth="1"/>
    <col min="14589" max="14589" width="30.5703125" style="2" customWidth="1"/>
    <col min="14590" max="14590" width="33.85546875" style="2" customWidth="1"/>
    <col min="14591" max="14591" width="5.140625" style="2" customWidth="1"/>
    <col min="14592" max="14593" width="17.5703125" style="2" customWidth="1"/>
    <col min="14594" max="14837" width="9.140625" style="2"/>
    <col min="14838" max="14838" width="3.5703125" style="2" customWidth="1"/>
    <col min="14839" max="14839" width="96.85546875" style="2" customWidth="1"/>
    <col min="14840" max="14840" width="30.85546875" style="2" customWidth="1"/>
    <col min="14841" max="14841" width="12.5703125" style="2" customWidth="1"/>
    <col min="14842" max="14842" width="5.140625" style="2" customWidth="1"/>
    <col min="14843" max="14843" width="9.140625" style="2"/>
    <col min="14844" max="14844" width="4.85546875" style="2" customWidth="1"/>
    <col min="14845" max="14845" width="30.5703125" style="2" customWidth="1"/>
    <col min="14846" max="14846" width="33.85546875" style="2" customWidth="1"/>
    <col min="14847" max="14847" width="5.140625" style="2" customWidth="1"/>
    <col min="14848" max="14849" width="17.5703125" style="2" customWidth="1"/>
    <col min="14850" max="15093" width="9.140625" style="2"/>
    <col min="15094" max="15094" width="3.5703125" style="2" customWidth="1"/>
    <col min="15095" max="15095" width="96.85546875" style="2" customWidth="1"/>
    <col min="15096" max="15096" width="30.85546875" style="2" customWidth="1"/>
    <col min="15097" max="15097" width="12.5703125" style="2" customWidth="1"/>
    <col min="15098" max="15098" width="5.140625" style="2" customWidth="1"/>
    <col min="15099" max="15099" width="9.140625" style="2"/>
    <col min="15100" max="15100" width="4.85546875" style="2" customWidth="1"/>
    <col min="15101" max="15101" width="30.5703125" style="2" customWidth="1"/>
    <col min="15102" max="15102" width="33.85546875" style="2" customWidth="1"/>
    <col min="15103" max="15103" width="5.140625" style="2" customWidth="1"/>
    <col min="15104" max="15105" width="17.5703125" style="2" customWidth="1"/>
    <col min="15106" max="15349" width="9.140625" style="2"/>
    <col min="15350" max="15350" width="3.5703125" style="2" customWidth="1"/>
    <col min="15351" max="15351" width="96.85546875" style="2" customWidth="1"/>
    <col min="15352" max="15352" width="30.85546875" style="2" customWidth="1"/>
    <col min="15353" max="15353" width="12.5703125" style="2" customWidth="1"/>
    <col min="15354" max="15354" width="5.140625" style="2" customWidth="1"/>
    <col min="15355" max="15355" width="9.140625" style="2"/>
    <col min="15356" max="15356" width="4.85546875" style="2" customWidth="1"/>
    <col min="15357" max="15357" width="30.5703125" style="2" customWidth="1"/>
    <col min="15358" max="15358" width="33.85546875" style="2" customWidth="1"/>
    <col min="15359" max="15359" width="5.140625" style="2" customWidth="1"/>
    <col min="15360" max="15361" width="17.5703125" style="2" customWidth="1"/>
    <col min="15362" max="15605" width="9.140625" style="2"/>
    <col min="15606" max="15606" width="3.5703125" style="2" customWidth="1"/>
    <col min="15607" max="15607" width="96.85546875" style="2" customWidth="1"/>
    <col min="15608" max="15608" width="30.85546875" style="2" customWidth="1"/>
    <col min="15609" max="15609" width="12.5703125" style="2" customWidth="1"/>
    <col min="15610" max="15610" width="5.140625" style="2" customWidth="1"/>
    <col min="15611" max="15611" width="9.140625" style="2"/>
    <col min="15612" max="15612" width="4.85546875" style="2" customWidth="1"/>
    <col min="15613" max="15613" width="30.5703125" style="2" customWidth="1"/>
    <col min="15614" max="15614" width="33.85546875" style="2" customWidth="1"/>
    <col min="15615" max="15615" width="5.140625" style="2" customWidth="1"/>
    <col min="15616" max="15617" width="17.5703125" style="2" customWidth="1"/>
    <col min="15618" max="15861" width="9.140625" style="2"/>
    <col min="15862" max="15862" width="3.5703125" style="2" customWidth="1"/>
    <col min="15863" max="15863" width="96.85546875" style="2" customWidth="1"/>
    <col min="15864" max="15864" width="30.85546875" style="2" customWidth="1"/>
    <col min="15865" max="15865" width="12.5703125" style="2" customWidth="1"/>
    <col min="15866" max="15866" width="5.140625" style="2" customWidth="1"/>
    <col min="15867" max="15867" width="9.140625" style="2"/>
    <col min="15868" max="15868" width="4.85546875" style="2" customWidth="1"/>
    <col min="15869" max="15869" width="30.5703125" style="2" customWidth="1"/>
    <col min="15870" max="15870" width="33.85546875" style="2" customWidth="1"/>
    <col min="15871" max="15871" width="5.140625" style="2" customWidth="1"/>
    <col min="15872" max="15873" width="17.5703125" style="2" customWidth="1"/>
    <col min="15874" max="16117" width="9.140625" style="2"/>
    <col min="16118" max="16118" width="3.5703125" style="2" customWidth="1"/>
    <col min="16119" max="16119" width="96.85546875" style="2" customWidth="1"/>
    <col min="16120" max="16120" width="30.85546875" style="2" customWidth="1"/>
    <col min="16121" max="16121" width="12.5703125" style="2" customWidth="1"/>
    <col min="16122" max="16122" width="5.140625" style="2" customWidth="1"/>
    <col min="16123" max="16123" width="9.140625" style="2"/>
    <col min="16124" max="16124" width="4.85546875" style="2" customWidth="1"/>
    <col min="16125" max="16125" width="30.5703125" style="2" customWidth="1"/>
    <col min="16126" max="16126" width="33.85546875" style="2" customWidth="1"/>
    <col min="16127" max="16127" width="5.140625" style="2" customWidth="1"/>
    <col min="16128" max="16129" width="17.5703125" style="2" customWidth="1"/>
    <col min="16130" max="16384" width="9.140625" style="2"/>
  </cols>
  <sheetData>
    <row r="1" spans="1:3" ht="48" customHeight="1" x14ac:dyDescent="0.2">
      <c r="A1" s="1"/>
      <c r="B1" s="143" t="s">
        <v>0</v>
      </c>
      <c r="C1" s="143"/>
    </row>
    <row r="2" spans="1:3" x14ac:dyDescent="0.2">
      <c r="A2" s="3"/>
      <c r="B2" s="4" t="s">
        <v>1</v>
      </c>
      <c r="C2" s="5">
        <v>46052</v>
      </c>
    </row>
    <row r="3" spans="1:3" x14ac:dyDescent="0.2">
      <c r="A3" s="3"/>
      <c r="B3" s="6" t="s">
        <v>2</v>
      </c>
    </row>
    <row r="4" spans="1:3" ht="25.5" x14ac:dyDescent="0.2">
      <c r="A4" s="8"/>
      <c r="B4" s="9" t="str">
        <f>[7]И1!D13</f>
        <v>Субъект Российской Федерации</v>
      </c>
      <c r="C4" s="10" t="str">
        <f>[7]И1!E13</f>
        <v>Новосибирская область</v>
      </c>
    </row>
    <row r="5" spans="1:3" ht="51.75" customHeight="1" x14ac:dyDescent="0.2">
      <c r="A5" s="8"/>
      <c r="B5" s="9" t="str">
        <f>[7]И1!D14</f>
        <v>Тип муниципального образования (выберите из списка)</v>
      </c>
      <c r="C5" s="10" t="str">
        <f>[8]И1!E14</f>
        <v>деревня Гилево, Искитимский муниципальный район</v>
      </c>
    </row>
    <row r="6" spans="1:3" x14ac:dyDescent="0.2">
      <c r="A6" s="8"/>
      <c r="B6" s="9" t="str">
        <f>IF([7]И1!E15="","",[7]И1!D15)</f>
        <v/>
      </c>
      <c r="C6" s="10">
        <f>IF([7]И1!E15="","",[7]И1!E15)</f>
        <v>0</v>
      </c>
    </row>
    <row r="7" spans="1:3" x14ac:dyDescent="0.2">
      <c r="A7" s="8"/>
      <c r="B7" s="9" t="str">
        <f>[7]И1!D16</f>
        <v>Код ОКТМО</v>
      </c>
      <c r="C7" s="11" t="str">
        <f>[8]И1!E16</f>
        <v xml:space="preserve"> (50615407106)</v>
      </c>
    </row>
    <row r="8" spans="1:3" x14ac:dyDescent="0.2">
      <c r="A8" s="8"/>
      <c r="B8" s="12" t="str">
        <f>[7]И1!D17</f>
        <v>Система теплоснабжения</v>
      </c>
      <c r="C8" s="13">
        <f>[7]И1!E17</f>
        <v>0</v>
      </c>
    </row>
    <row r="9" spans="1:3" x14ac:dyDescent="0.2">
      <c r="A9" s="8"/>
      <c r="B9" s="9" t="str">
        <f>[7]И1!D8</f>
        <v>Период регулирования (i)-й</v>
      </c>
      <c r="C9" s="14">
        <f>[7]И1!E8</f>
        <v>2026</v>
      </c>
    </row>
    <row r="10" spans="1:3" x14ac:dyDescent="0.2">
      <c r="A10" s="8"/>
      <c r="B10" s="9" t="str">
        <f>[7]И1!D9</f>
        <v>Период регулирования (i-1)-й</v>
      </c>
      <c r="C10" s="14">
        <f>[7]И1!E9</f>
        <v>2025</v>
      </c>
    </row>
    <row r="11" spans="1:3" x14ac:dyDescent="0.2">
      <c r="A11" s="8"/>
      <c r="B11" s="9" t="str">
        <f>[7]И1!D10</f>
        <v>Период регулирования (i-2)-й</v>
      </c>
      <c r="C11" s="14">
        <f>[7]И1!E10</f>
        <v>2024</v>
      </c>
    </row>
    <row r="12" spans="1:3" x14ac:dyDescent="0.2">
      <c r="A12" s="8"/>
      <c r="B12" s="9" t="str">
        <f>[7]И1!D11</f>
        <v>Базовый год (б)</v>
      </c>
      <c r="C12" s="14">
        <f>[7]И1!E11</f>
        <v>2019</v>
      </c>
    </row>
    <row r="13" spans="1:3" x14ac:dyDescent="0.2">
      <c r="A13" s="8"/>
      <c r="B13" s="9" t="str">
        <f>[7]И1!D18</f>
        <v>Вид топлива, использование которого преобладает в системе теплоснабжения</v>
      </c>
      <c r="C13" s="15" t="str">
        <f>[7]С1.1!E13</f>
        <v>каменный уголь</v>
      </c>
    </row>
    <row r="14" spans="1:3" ht="31.7" customHeight="1" thickBot="1" x14ac:dyDescent="0.25">
      <c r="A14" s="142" t="s">
        <v>3</v>
      </c>
      <c r="B14" s="142"/>
      <c r="C14" s="142"/>
    </row>
    <row r="15" spans="1:3" x14ac:dyDescent="0.2">
      <c r="A15" s="16" t="s">
        <v>4</v>
      </c>
      <c r="B15" s="17" t="s">
        <v>5</v>
      </c>
      <c r="C15" s="18" t="s">
        <v>6</v>
      </c>
    </row>
    <row r="16" spans="1:3" x14ac:dyDescent="0.2">
      <c r="A16" s="19">
        <v>1</v>
      </c>
      <c r="B16" s="20">
        <v>2</v>
      </c>
      <c r="C16" s="21">
        <v>3</v>
      </c>
    </row>
    <row r="17" spans="1:3" x14ac:dyDescent="0.2">
      <c r="A17" s="22">
        <v>1</v>
      </c>
      <c r="B17" s="23" t="s">
        <v>7</v>
      </c>
      <c r="C17" s="24">
        <f>SUM(C18:C22)</f>
        <v>5742.8362625523023</v>
      </c>
    </row>
    <row r="18" spans="1:3" ht="42.75" x14ac:dyDescent="0.2">
      <c r="A18" s="22" t="s">
        <v>8</v>
      </c>
      <c r="B18" s="25" t="s">
        <v>9</v>
      </c>
      <c r="C18" s="26">
        <f>[7]С1!F12</f>
        <v>1050.8002869835241</v>
      </c>
    </row>
    <row r="19" spans="1:3" ht="42.75" x14ac:dyDescent="0.2">
      <c r="A19" s="22" t="s">
        <v>10</v>
      </c>
      <c r="B19" s="25" t="s">
        <v>11</v>
      </c>
      <c r="C19" s="26">
        <f>[7]С2!F12</f>
        <v>3097.7824122172187</v>
      </c>
    </row>
    <row r="20" spans="1:3" ht="30" x14ac:dyDescent="0.2">
      <c r="A20" s="22" t="s">
        <v>12</v>
      </c>
      <c r="B20" s="25" t="s">
        <v>13</v>
      </c>
      <c r="C20" s="26">
        <f>[7]С3!F12</f>
        <v>940.47266370947932</v>
      </c>
    </row>
    <row r="21" spans="1:3" ht="42.75" x14ac:dyDescent="0.2">
      <c r="A21" s="22" t="s">
        <v>14</v>
      </c>
      <c r="B21" s="25" t="s">
        <v>15</v>
      </c>
      <c r="C21" s="26">
        <f>[7]С4!F12</f>
        <v>541.17626704301586</v>
      </c>
    </row>
    <row r="22" spans="1:3" ht="30" x14ac:dyDescent="0.2">
      <c r="A22" s="22" t="s">
        <v>16</v>
      </c>
      <c r="B22" s="25" t="s">
        <v>17</v>
      </c>
      <c r="C22" s="26">
        <f>[7]С5!F12</f>
        <v>112.60463259906476</v>
      </c>
    </row>
    <row r="23" spans="1:3" ht="43.5" thickBot="1" x14ac:dyDescent="0.25">
      <c r="A23" s="27" t="s">
        <v>18</v>
      </c>
      <c r="B23" s="140" t="s">
        <v>19</v>
      </c>
      <c r="C23" s="28" t="str">
        <f>[7]С6!F12</f>
        <v>-</v>
      </c>
    </row>
    <row r="24" spans="1:3" ht="13.5" thickBot="1" x14ac:dyDescent="0.25">
      <c r="A24" s="3"/>
    </row>
    <row r="25" spans="1:3" x14ac:dyDescent="0.2">
      <c r="A25" s="16" t="s">
        <v>4</v>
      </c>
      <c r="B25" s="29" t="s">
        <v>5</v>
      </c>
      <c r="C25" s="30" t="s">
        <v>6</v>
      </c>
    </row>
    <row r="26" spans="1:3" x14ac:dyDescent="0.2">
      <c r="A26" s="19">
        <v>1</v>
      </c>
      <c r="B26" s="31">
        <v>2</v>
      </c>
      <c r="C26" s="32">
        <v>3</v>
      </c>
    </row>
    <row r="27" spans="1:3" ht="39.75" customHeight="1" x14ac:dyDescent="0.2">
      <c r="A27" s="22">
        <v>1</v>
      </c>
      <c r="B27" s="144" t="s">
        <v>20</v>
      </c>
      <c r="C27" s="144"/>
    </row>
    <row r="28" spans="1:3" ht="128.25" customHeight="1" x14ac:dyDescent="0.2">
      <c r="A28" s="22" t="s">
        <v>8</v>
      </c>
      <c r="B28" s="33" t="s">
        <v>21</v>
      </c>
      <c r="C28" s="34">
        <f>[7]С1.1!E16</f>
        <v>5100</v>
      </c>
    </row>
    <row r="29" spans="1:3" ht="57.75" customHeight="1" x14ac:dyDescent="0.2">
      <c r="A29" s="22" t="s">
        <v>10</v>
      </c>
      <c r="B29" s="33" t="s">
        <v>22</v>
      </c>
      <c r="C29" s="34">
        <f>[7]С1.1!E27</f>
        <v>4519.17</v>
      </c>
    </row>
    <row r="30" spans="1:3" ht="261.75" customHeight="1" x14ac:dyDescent="0.2">
      <c r="A30" s="22" t="s">
        <v>12</v>
      </c>
      <c r="B30" s="33" t="s">
        <v>23</v>
      </c>
      <c r="C30" s="35">
        <f>[7]С1.1!E19</f>
        <v>-0.11899999999999999</v>
      </c>
    </row>
    <row r="31" spans="1:3" ht="17.25" x14ac:dyDescent="0.2">
      <c r="A31" s="22" t="s">
        <v>14</v>
      </c>
      <c r="B31" s="33" t="s">
        <v>24</v>
      </c>
      <c r="C31" s="35">
        <f>[7]С1.1!E20</f>
        <v>4.0000000000000001E-3</v>
      </c>
    </row>
    <row r="32" spans="1:3" ht="30" x14ac:dyDescent="0.2">
      <c r="A32" s="22" t="s">
        <v>16</v>
      </c>
      <c r="B32" s="36" t="s">
        <v>25</v>
      </c>
      <c r="C32" s="37">
        <f>[7]С1!F13</f>
        <v>176.4</v>
      </c>
    </row>
    <row r="33" spans="1:3" x14ac:dyDescent="0.2">
      <c r="A33" s="22" t="s">
        <v>18</v>
      </c>
      <c r="B33" s="36" t="s">
        <v>26</v>
      </c>
      <c r="C33" s="38">
        <f>[7]С1!F16</f>
        <v>7000</v>
      </c>
    </row>
    <row r="34" spans="1:3" ht="14.25" x14ac:dyDescent="0.2">
      <c r="A34" s="22" t="s">
        <v>27</v>
      </c>
      <c r="B34" s="39" t="s">
        <v>28</v>
      </c>
      <c r="C34" s="40">
        <f>[7]С1!F17</f>
        <v>0.72857142857142854</v>
      </c>
    </row>
    <row r="35" spans="1:3" ht="15.75" x14ac:dyDescent="0.2">
      <c r="A35" s="41" t="s">
        <v>29</v>
      </c>
      <c r="B35" s="42" t="s">
        <v>30</v>
      </c>
      <c r="C35" s="40">
        <f>[7]С1!F20</f>
        <v>21.588411179999994</v>
      </c>
    </row>
    <row r="36" spans="1:3" ht="15.75" x14ac:dyDescent="0.2">
      <c r="A36" s="41" t="s">
        <v>31</v>
      </c>
      <c r="B36" s="43" t="s">
        <v>32</v>
      </c>
      <c r="C36" s="40">
        <f>[7]С1!F21</f>
        <v>20.818139999999996</v>
      </c>
    </row>
    <row r="37" spans="1:3" ht="14.25" x14ac:dyDescent="0.2">
      <c r="A37" s="41" t="s">
        <v>33</v>
      </c>
      <c r="B37" s="44" t="s">
        <v>34</v>
      </c>
      <c r="C37" s="40">
        <f>[7]С1!F22</f>
        <v>1.0369999999999999</v>
      </c>
    </row>
    <row r="38" spans="1:3" ht="53.25" thickBot="1" x14ac:dyDescent="0.25">
      <c r="A38" s="27" t="s">
        <v>35</v>
      </c>
      <c r="B38" s="45" t="s">
        <v>36</v>
      </c>
      <c r="C38" s="46">
        <f>[7]С1!F23</f>
        <v>1.0469999999999999</v>
      </c>
    </row>
    <row r="39" spans="1:3" ht="13.5" thickBot="1" x14ac:dyDescent="0.25">
      <c r="A39" s="47"/>
      <c r="B39" s="48"/>
      <c r="C39" s="49"/>
    </row>
    <row r="40" spans="1:3" ht="30" customHeight="1" x14ac:dyDescent="0.2">
      <c r="A40" s="50" t="s">
        <v>37</v>
      </c>
      <c r="B40" s="145" t="s">
        <v>38</v>
      </c>
      <c r="C40" s="145"/>
    </row>
    <row r="41" spans="1:3" ht="25.5" x14ac:dyDescent="0.2">
      <c r="A41" s="22" t="s">
        <v>39</v>
      </c>
      <c r="B41" s="36" t="s">
        <v>40</v>
      </c>
      <c r="C41" s="51" t="str">
        <f>[7]С2.1!E12</f>
        <v>V</v>
      </c>
    </row>
    <row r="42" spans="1:3" ht="233.25" customHeight="1" x14ac:dyDescent="0.2">
      <c r="A42" s="22" t="s">
        <v>41</v>
      </c>
      <c r="B42" s="33" t="s">
        <v>42</v>
      </c>
      <c r="C42" s="51" t="str">
        <f>[7]С2.1!E13</f>
        <v>6 и менее баллов</v>
      </c>
    </row>
    <row r="43" spans="1:3" ht="144.75" customHeight="1" x14ac:dyDescent="0.2">
      <c r="A43" s="22" t="s">
        <v>43</v>
      </c>
      <c r="B43" s="33" t="s">
        <v>44</v>
      </c>
      <c r="C43" s="51" t="str">
        <f>[7]С2.1!E14</f>
        <v>от 200 до 500</v>
      </c>
    </row>
    <row r="44" spans="1:3" ht="25.5" x14ac:dyDescent="0.2">
      <c r="A44" s="22" t="s">
        <v>45</v>
      </c>
      <c r="B44" s="33" t="s">
        <v>46</v>
      </c>
      <c r="C44" s="52" t="str">
        <f>[7]С2.1!E15</f>
        <v>нет</v>
      </c>
    </row>
    <row r="45" spans="1:3" ht="30" x14ac:dyDescent="0.2">
      <c r="A45" s="22" t="s">
        <v>47</v>
      </c>
      <c r="B45" s="33" t="s">
        <v>48</v>
      </c>
      <c r="C45" s="34">
        <f>[7]С2!F18</f>
        <v>40220.845230503684</v>
      </c>
    </row>
    <row r="46" spans="1:3" ht="30" x14ac:dyDescent="0.2">
      <c r="A46" s="22" t="s">
        <v>49</v>
      </c>
      <c r="B46" s="53" t="s">
        <v>50</v>
      </c>
      <c r="C46" s="34">
        <f>IF([7]С2!F19&gt;0,[7]С2!F19,[7]С2!F20)</f>
        <v>23441.524932855718</v>
      </c>
    </row>
    <row r="47" spans="1:3" ht="46.5" customHeight="1" x14ac:dyDescent="0.2">
      <c r="A47" s="22" t="s">
        <v>51</v>
      </c>
      <c r="B47" s="54" t="s">
        <v>52</v>
      </c>
      <c r="C47" s="34">
        <f>[7]С2.1!E19</f>
        <v>-38</v>
      </c>
    </row>
    <row r="48" spans="1:3" ht="25.5" x14ac:dyDescent="0.2">
      <c r="A48" s="22" t="s">
        <v>53</v>
      </c>
      <c r="B48" s="54" t="s">
        <v>54</v>
      </c>
      <c r="C48" s="34" t="str">
        <f>[7]С2.1!E22</f>
        <v>нет</v>
      </c>
    </row>
    <row r="49" spans="1:3" ht="38.25" x14ac:dyDescent="0.2">
      <c r="A49" s="22" t="s">
        <v>55</v>
      </c>
      <c r="B49" s="55" t="s">
        <v>56</v>
      </c>
      <c r="C49" s="34">
        <f>[7]С2.2!E10</f>
        <v>1287</v>
      </c>
    </row>
    <row r="50" spans="1:3" ht="25.5" x14ac:dyDescent="0.2">
      <c r="A50" s="22" t="s">
        <v>57</v>
      </c>
      <c r="B50" s="56" t="s">
        <v>58</v>
      </c>
      <c r="C50" s="34">
        <f>[7]С2.2!E12</f>
        <v>5.97</v>
      </c>
    </row>
    <row r="51" spans="1:3" ht="52.5" x14ac:dyDescent="0.2">
      <c r="A51" s="22" t="s">
        <v>59</v>
      </c>
      <c r="B51" s="57" t="s">
        <v>60</v>
      </c>
      <c r="C51" s="34">
        <f>[7]С2.2!E13</f>
        <v>1</v>
      </c>
    </row>
    <row r="52" spans="1:3" ht="27.75" x14ac:dyDescent="0.2">
      <c r="A52" s="22" t="s">
        <v>61</v>
      </c>
      <c r="B52" s="56" t="s">
        <v>62</v>
      </c>
      <c r="C52" s="34">
        <f>[7]С2.2!E14</f>
        <v>12104</v>
      </c>
    </row>
    <row r="53" spans="1:3" ht="79.5" customHeight="1" x14ac:dyDescent="0.2">
      <c r="A53" s="22" t="s">
        <v>63</v>
      </c>
      <c r="B53" s="57" t="s">
        <v>64</v>
      </c>
      <c r="C53" s="35">
        <f>[7]С2.2!E15</f>
        <v>4.8000000000000001E-2</v>
      </c>
    </row>
    <row r="54" spans="1:3" x14ac:dyDescent="0.2">
      <c r="A54" s="22" t="s">
        <v>65</v>
      </c>
      <c r="B54" s="57" t="s">
        <v>66</v>
      </c>
      <c r="C54" s="34">
        <f>[7]С2.2!E16</f>
        <v>1</v>
      </c>
    </row>
    <row r="55" spans="1:3" ht="15.75" x14ac:dyDescent="0.2">
      <c r="A55" s="22" t="s">
        <v>67</v>
      </c>
      <c r="B55" s="58" t="s">
        <v>68</v>
      </c>
      <c r="C55" s="34">
        <f>[7]С2!F21</f>
        <v>1</v>
      </c>
    </row>
    <row r="56" spans="1:3" ht="30" x14ac:dyDescent="0.2">
      <c r="A56" s="59" t="s">
        <v>69</v>
      </c>
      <c r="B56" s="33" t="s">
        <v>70</v>
      </c>
      <c r="C56" s="34">
        <f>[7]С2!F13</f>
        <v>210571.60987470482</v>
      </c>
    </row>
    <row r="57" spans="1:3" ht="30" x14ac:dyDescent="0.2">
      <c r="A57" s="59" t="s">
        <v>71</v>
      </c>
      <c r="B57" s="58" t="s">
        <v>72</v>
      </c>
      <c r="C57" s="34">
        <f>[7]С2!F14</f>
        <v>113455</v>
      </c>
    </row>
    <row r="58" spans="1:3" ht="15.75" x14ac:dyDescent="0.2">
      <c r="A58" s="59" t="s">
        <v>73</v>
      </c>
      <c r="B58" s="60" t="s">
        <v>74</v>
      </c>
      <c r="C58" s="40">
        <f>[7]С2!F15</f>
        <v>1.071</v>
      </c>
    </row>
    <row r="59" spans="1:3" ht="15.75" x14ac:dyDescent="0.2">
      <c r="A59" s="59" t="s">
        <v>75</v>
      </c>
      <c r="B59" s="60" t="s">
        <v>76</v>
      </c>
      <c r="C59" s="40">
        <f>[7]С2!F16</f>
        <v>1</v>
      </c>
    </row>
    <row r="60" spans="1:3" ht="17.25" x14ac:dyDescent="0.2">
      <c r="A60" s="59" t="s">
        <v>77</v>
      </c>
      <c r="B60" s="58" t="s">
        <v>78</v>
      </c>
      <c r="C60" s="34">
        <f>[7]С2!F17</f>
        <v>1.01</v>
      </c>
    </row>
    <row r="61" spans="1:3" s="63" customFormat="1" ht="14.25" x14ac:dyDescent="0.2">
      <c r="A61" s="59" t="s">
        <v>79</v>
      </c>
      <c r="B61" s="61" t="s">
        <v>80</v>
      </c>
      <c r="C61" s="62">
        <f>[7]С2!F33</f>
        <v>10</v>
      </c>
    </row>
    <row r="62" spans="1:3" ht="30" x14ac:dyDescent="0.2">
      <c r="A62" s="59" t="s">
        <v>81</v>
      </c>
      <c r="B62" s="64" t="s">
        <v>82</v>
      </c>
      <c r="C62" s="34">
        <f>[7]С2!F26</f>
        <v>3185.880383940208</v>
      </c>
    </row>
    <row r="63" spans="1:3" ht="168" customHeight="1" x14ac:dyDescent="0.2">
      <c r="A63" s="59" t="s">
        <v>83</v>
      </c>
      <c r="B63" s="53" t="s">
        <v>84</v>
      </c>
      <c r="C63" s="34">
        <f>[7]С2!F27</f>
        <v>0.44209422600000003</v>
      </c>
    </row>
    <row r="64" spans="1:3" ht="17.25" x14ac:dyDescent="0.2">
      <c r="A64" s="59" t="s">
        <v>85</v>
      </c>
      <c r="B64" s="58" t="s">
        <v>86</v>
      </c>
      <c r="C64" s="62">
        <f>[7]С2!F28</f>
        <v>4200</v>
      </c>
    </row>
    <row r="65" spans="1:3" ht="42.75" x14ac:dyDescent="0.2">
      <c r="A65" s="59" t="s">
        <v>87</v>
      </c>
      <c r="B65" s="33" t="s">
        <v>88</v>
      </c>
      <c r="C65" s="34">
        <f>[7]С2!F22</f>
        <v>4298.6978080550834</v>
      </c>
    </row>
    <row r="66" spans="1:3" ht="30" x14ac:dyDescent="0.2">
      <c r="A66" s="59" t="s">
        <v>89</v>
      </c>
      <c r="B66" s="60" t="s">
        <v>90</v>
      </c>
      <c r="C66" s="34">
        <f>[7]С2!F23</f>
        <v>1990</v>
      </c>
    </row>
    <row r="67" spans="1:3" ht="30" x14ac:dyDescent="0.2">
      <c r="A67" s="59" t="s">
        <v>91</v>
      </c>
      <c r="B67" s="53" t="s">
        <v>92</v>
      </c>
      <c r="C67" s="34">
        <f>[7]С2.1!E27</f>
        <v>246.24401</v>
      </c>
    </row>
    <row r="68" spans="1:3" ht="73.5" customHeight="1" x14ac:dyDescent="0.2">
      <c r="A68" s="59" t="s">
        <v>93</v>
      </c>
      <c r="B68" s="65" t="s">
        <v>94</v>
      </c>
      <c r="C68" s="52" t="str">
        <f>[7]С2.3!E21</f>
        <v>Муниципальное унитарное предприятие города Куйбышева Куйбышевского района Новосибирской области "Горводоканал"</v>
      </c>
    </row>
    <row r="69" spans="1:3" ht="25.5" x14ac:dyDescent="0.2">
      <c r="A69" s="59" t="s">
        <v>95</v>
      </c>
      <c r="B69" s="66" t="s">
        <v>96</v>
      </c>
      <c r="C69" s="67">
        <f>[7]С2.3!E11</f>
        <v>9.89</v>
      </c>
    </row>
    <row r="70" spans="1:3" ht="25.5" x14ac:dyDescent="0.2">
      <c r="A70" s="59" t="s">
        <v>97</v>
      </c>
      <c r="B70" s="66" t="s">
        <v>98</v>
      </c>
      <c r="C70" s="62">
        <f>[7]С2.3!E13</f>
        <v>300</v>
      </c>
    </row>
    <row r="71" spans="1:3" ht="192.75" customHeight="1" x14ac:dyDescent="0.2">
      <c r="A71" s="59" t="s">
        <v>99</v>
      </c>
      <c r="B71" s="65" t="s">
        <v>100</v>
      </c>
      <c r="C71" s="68">
        <f>IF([7]С2.3!E22&gt;0,[7]С2.3!E22,[7]С2.3!E14)</f>
        <v>8809</v>
      </c>
    </row>
    <row r="72" spans="1:3" ht="192.75" customHeight="1" x14ac:dyDescent="0.2">
      <c r="A72" s="59" t="s">
        <v>101</v>
      </c>
      <c r="B72" s="65" t="s">
        <v>102</v>
      </c>
      <c r="C72" s="68">
        <f>IF([7]С2.3!E23&gt;0,[7]С2.3!E23,[7]С2.3!E15)</f>
        <v>530.41</v>
      </c>
    </row>
    <row r="73" spans="1:3" ht="30" x14ac:dyDescent="0.2">
      <c r="A73" s="59" t="s">
        <v>103</v>
      </c>
      <c r="B73" s="53" t="s">
        <v>104</v>
      </c>
      <c r="C73" s="34">
        <f>[7]С2.1!E28</f>
        <v>269.12432000000001</v>
      </c>
    </row>
    <row r="74" spans="1:3" ht="87" customHeight="1" x14ac:dyDescent="0.2">
      <c r="A74" s="59" t="s">
        <v>105</v>
      </c>
      <c r="B74" s="65" t="s">
        <v>106</v>
      </c>
      <c r="C74" s="52" t="str">
        <f>[7]С2.3!E25</f>
        <v>Муниципальное унитарное предприятие города Куйбышева Куйбышевского района Новосибирской области "Геострой"</v>
      </c>
    </row>
    <row r="75" spans="1:3" ht="25.5" x14ac:dyDescent="0.2">
      <c r="A75" s="59" t="s">
        <v>107</v>
      </c>
      <c r="B75" s="66" t="s">
        <v>108</v>
      </c>
      <c r="C75" s="67">
        <f>[7]С2.3!E12</f>
        <v>0.56000000000000005</v>
      </c>
    </row>
    <row r="76" spans="1:3" ht="25.5" x14ac:dyDescent="0.2">
      <c r="A76" s="59" t="s">
        <v>109</v>
      </c>
      <c r="B76" s="66" t="s">
        <v>98</v>
      </c>
      <c r="C76" s="62">
        <f>[7]С2.3!E13</f>
        <v>300</v>
      </c>
    </row>
    <row r="77" spans="1:3" ht="183" customHeight="1" x14ac:dyDescent="0.2">
      <c r="A77" s="59" t="s">
        <v>110</v>
      </c>
      <c r="B77" s="69" t="s">
        <v>111</v>
      </c>
      <c r="C77" s="68">
        <f>IF([7]С2.3!E26&gt;0,[7]С2.3!E26,[7]С2.3!E16)</f>
        <v>21397</v>
      </c>
    </row>
    <row r="78" spans="1:3" ht="186.75" customHeight="1" x14ac:dyDescent="0.2">
      <c r="A78" s="59" t="s">
        <v>112</v>
      </c>
      <c r="B78" s="69" t="s">
        <v>113</v>
      </c>
      <c r="C78" s="68">
        <f>IF([7]С2.3!E27&gt;0,[7]С2.3!E27,[7]С2.3!E17)</f>
        <v>857.14</v>
      </c>
    </row>
    <row r="79" spans="1:3" ht="17.25" x14ac:dyDescent="0.2">
      <c r="A79" s="59" t="s">
        <v>114</v>
      </c>
      <c r="B79" s="33" t="s">
        <v>115</v>
      </c>
      <c r="C79" s="35">
        <f>[7]С2!F29</f>
        <v>0.21369165990259753</v>
      </c>
    </row>
    <row r="80" spans="1:3" ht="30" x14ac:dyDescent="0.2">
      <c r="A80" s="59" t="s">
        <v>116</v>
      </c>
      <c r="B80" s="53" t="s">
        <v>117</v>
      </c>
      <c r="C80" s="70">
        <f>[7]С2!F30</f>
        <v>0.20047619047619047</v>
      </c>
    </row>
    <row r="81" spans="1:3" ht="17.25" x14ac:dyDescent="0.2">
      <c r="A81" s="59" t="s">
        <v>118</v>
      </c>
      <c r="B81" s="71" t="s">
        <v>119</v>
      </c>
      <c r="C81" s="35">
        <f>[7]С2!F31</f>
        <v>0.13880000000000001</v>
      </c>
    </row>
    <row r="82" spans="1:3" s="63" customFormat="1" ht="18" thickBot="1" x14ac:dyDescent="0.25">
      <c r="A82" s="72" t="s">
        <v>120</v>
      </c>
      <c r="B82" s="73" t="s">
        <v>121</v>
      </c>
      <c r="C82" s="74">
        <f>[7]С2!F32</f>
        <v>0.12640000000000001</v>
      </c>
    </row>
    <row r="83" spans="1:3" ht="13.5" thickBot="1" x14ac:dyDescent="0.25">
      <c r="A83" s="47"/>
      <c r="B83" s="75"/>
      <c r="C83" s="15"/>
    </row>
    <row r="84" spans="1:3" s="63" customFormat="1" ht="30" customHeight="1" x14ac:dyDescent="0.2">
      <c r="A84" s="76" t="s">
        <v>122</v>
      </c>
      <c r="B84" s="145" t="s">
        <v>123</v>
      </c>
      <c r="C84" s="145"/>
    </row>
    <row r="85" spans="1:3" s="63" customFormat="1" ht="30" x14ac:dyDescent="0.2">
      <c r="A85" s="77" t="s">
        <v>124</v>
      </c>
      <c r="B85" s="33" t="s">
        <v>125</v>
      </c>
      <c r="C85" s="34">
        <f>[7]С3!F14</f>
        <v>15827.997028730506</v>
      </c>
    </row>
    <row r="86" spans="1:3" s="63" customFormat="1" ht="42.75" x14ac:dyDescent="0.2">
      <c r="A86" s="77" t="s">
        <v>126</v>
      </c>
      <c r="B86" s="53" t="s">
        <v>127</v>
      </c>
      <c r="C86" s="78">
        <f>[7]С3!F15</f>
        <v>0.25</v>
      </c>
    </row>
    <row r="87" spans="1:3" s="63" customFormat="1" ht="14.25" x14ac:dyDescent="0.2">
      <c r="A87" s="77" t="s">
        <v>128</v>
      </c>
      <c r="B87" s="79" t="s">
        <v>129</v>
      </c>
      <c r="C87" s="62">
        <f>[7]С3!F18</f>
        <v>15</v>
      </c>
    </row>
    <row r="88" spans="1:3" s="63" customFormat="1" ht="17.25" x14ac:dyDescent="0.2">
      <c r="A88" s="77" t="s">
        <v>130</v>
      </c>
      <c r="B88" s="33" t="s">
        <v>131</v>
      </c>
      <c r="C88" s="34">
        <f>[7]С3!F19</f>
        <v>3741.3369093945325</v>
      </c>
    </row>
    <row r="89" spans="1:3" s="63" customFormat="1" ht="55.5" x14ac:dyDescent="0.2">
      <c r="A89" s="77" t="s">
        <v>132</v>
      </c>
      <c r="B89" s="53" t="s">
        <v>133</v>
      </c>
      <c r="C89" s="80">
        <f>[7]С3!F20</f>
        <v>2.1999999999999999E-2</v>
      </c>
    </row>
    <row r="90" spans="1:3" s="63" customFormat="1" ht="14.25" x14ac:dyDescent="0.2">
      <c r="A90" s="77" t="s">
        <v>134</v>
      </c>
      <c r="B90" s="58" t="s">
        <v>80</v>
      </c>
      <c r="C90" s="62">
        <f>[7]С3!F21</f>
        <v>10</v>
      </c>
    </row>
    <row r="91" spans="1:3" s="63" customFormat="1" ht="17.25" x14ac:dyDescent="0.2">
      <c r="A91" s="77" t="s">
        <v>135</v>
      </c>
      <c r="B91" s="33" t="s">
        <v>136</v>
      </c>
      <c r="C91" s="34">
        <f>[7]С3!F22</f>
        <v>9.5576411518206239</v>
      </c>
    </row>
    <row r="92" spans="1:3" s="63" customFormat="1" ht="57" customHeight="1" x14ac:dyDescent="0.2">
      <c r="A92" s="77" t="s">
        <v>137</v>
      </c>
      <c r="B92" s="53" t="s">
        <v>138</v>
      </c>
      <c r="C92" s="80">
        <f>[7]С3!F23</f>
        <v>3.0000000000000001E-3</v>
      </c>
    </row>
    <row r="93" spans="1:3" s="63" customFormat="1" ht="27.75" thickBot="1" x14ac:dyDescent="0.25">
      <c r="A93" s="81" t="s">
        <v>139</v>
      </c>
      <c r="B93" s="82" t="s">
        <v>140</v>
      </c>
      <c r="C93" s="83">
        <f>[7]С3!F24</f>
        <v>3185.880383940208</v>
      </c>
    </row>
    <row r="94" spans="1:3" ht="13.5" thickBot="1" x14ac:dyDescent="0.25">
      <c r="A94" s="47"/>
      <c r="B94" s="75"/>
      <c r="C94" s="15"/>
    </row>
    <row r="95" spans="1:3" ht="30" customHeight="1" x14ac:dyDescent="0.2">
      <c r="A95" s="84" t="s">
        <v>141</v>
      </c>
      <c r="B95" s="145" t="s">
        <v>142</v>
      </c>
      <c r="C95" s="145"/>
    </row>
    <row r="96" spans="1:3" ht="30" x14ac:dyDescent="0.2">
      <c r="A96" s="59" t="s">
        <v>143</v>
      </c>
      <c r="B96" s="33" t="s">
        <v>144</v>
      </c>
      <c r="C96" s="34">
        <f>[7]С4!F16</f>
        <v>1652.5</v>
      </c>
    </row>
    <row r="97" spans="1:3" ht="30" x14ac:dyDescent="0.2">
      <c r="A97" s="59" t="s">
        <v>145</v>
      </c>
      <c r="B97" s="58" t="s">
        <v>146</v>
      </c>
      <c r="C97" s="34">
        <f>[7]С4!F17</f>
        <v>73547</v>
      </c>
    </row>
    <row r="98" spans="1:3" ht="17.25" x14ac:dyDescent="0.2">
      <c r="A98" s="59" t="s">
        <v>147</v>
      </c>
      <c r="B98" s="58" t="s">
        <v>148</v>
      </c>
      <c r="C98" s="40">
        <f>[7]С4!F18</f>
        <v>0.02</v>
      </c>
    </row>
    <row r="99" spans="1:3" ht="30" x14ac:dyDescent="0.2">
      <c r="A99" s="59" t="s">
        <v>149</v>
      </c>
      <c r="B99" s="58" t="s">
        <v>150</v>
      </c>
      <c r="C99" s="34">
        <f>[7]С4!F19</f>
        <v>12104</v>
      </c>
    </row>
    <row r="100" spans="1:3" ht="31.5" x14ac:dyDescent="0.2">
      <c r="A100" s="59" t="s">
        <v>151</v>
      </c>
      <c r="B100" s="58" t="s">
        <v>152</v>
      </c>
      <c r="C100" s="40">
        <f>[7]С4!F20</f>
        <v>1.4999999999999999E-2</v>
      </c>
    </row>
    <row r="101" spans="1:3" ht="30" x14ac:dyDescent="0.2">
      <c r="A101" s="59" t="s">
        <v>153</v>
      </c>
      <c r="B101" s="33" t="s">
        <v>154</v>
      </c>
      <c r="C101" s="34">
        <f>[7]С4!F21</f>
        <v>1933.1949342509995</v>
      </c>
    </row>
    <row r="102" spans="1:3" ht="35.25" customHeight="1" x14ac:dyDescent="0.2">
      <c r="A102" s="59" t="s">
        <v>155</v>
      </c>
      <c r="B102" s="53" t="s">
        <v>156</v>
      </c>
      <c r="C102" s="85" t="str">
        <f>IF([7]С4.2!F8="да",[7]С4.2!D21,[7]С4.2!D15)</f>
        <v>АО "Новосибирскэнергосбыт"</v>
      </c>
    </row>
    <row r="103" spans="1:3" ht="68.25" x14ac:dyDescent="0.2">
      <c r="A103" s="59" t="s">
        <v>157</v>
      </c>
      <c r="B103" s="53" t="s">
        <v>158</v>
      </c>
      <c r="C103" s="34">
        <f>[7]С4!F22</f>
        <v>3.6112641666666665</v>
      </c>
    </row>
    <row r="104" spans="1:3" ht="30" x14ac:dyDescent="0.2">
      <c r="A104" s="59" t="s">
        <v>159</v>
      </c>
      <c r="B104" s="58" t="s">
        <v>160</v>
      </c>
      <c r="C104" s="34">
        <f>[7]С4!F23</f>
        <v>180</v>
      </c>
    </row>
    <row r="105" spans="1:3" ht="14.25" x14ac:dyDescent="0.2">
      <c r="A105" s="59" t="s">
        <v>161</v>
      </c>
      <c r="B105" s="53" t="s">
        <v>162</v>
      </c>
      <c r="C105" s="34">
        <f>[7]С4!F24</f>
        <v>8497.1999999999989</v>
      </c>
    </row>
    <row r="106" spans="1:3" ht="14.25" x14ac:dyDescent="0.2">
      <c r="A106" s="59" t="s">
        <v>163</v>
      </c>
      <c r="B106" s="58" t="s">
        <v>164</v>
      </c>
      <c r="C106" s="40">
        <f>[7]С4!F25</f>
        <v>0.35</v>
      </c>
    </row>
    <row r="107" spans="1:3" ht="17.25" x14ac:dyDescent="0.2">
      <c r="A107" s="59" t="s">
        <v>165</v>
      </c>
      <c r="B107" s="33" t="s">
        <v>166</v>
      </c>
      <c r="C107" s="34">
        <f>[7]С4!F26</f>
        <v>64.771500000000003</v>
      </c>
    </row>
    <row r="108" spans="1:3" ht="75.75" customHeight="1" x14ac:dyDescent="0.2">
      <c r="A108" s="59" t="s">
        <v>167</v>
      </c>
      <c r="B108" s="53" t="s">
        <v>94</v>
      </c>
      <c r="C108" s="85">
        <f>[7]С4.3!E16</f>
        <v>0</v>
      </c>
    </row>
    <row r="109" spans="1:3" ht="25.5" x14ac:dyDescent="0.2">
      <c r="A109" s="59" t="s">
        <v>168</v>
      </c>
      <c r="B109" s="53" t="s">
        <v>169</v>
      </c>
      <c r="C109" s="34">
        <f>[7]С4.3!E17</f>
        <v>17.3</v>
      </c>
    </row>
    <row r="110" spans="1:3" ht="79.5" customHeight="1" x14ac:dyDescent="0.2">
      <c r="A110" s="59" t="s">
        <v>170</v>
      </c>
      <c r="B110" s="53" t="s">
        <v>106</v>
      </c>
      <c r="C110" s="85">
        <f>[7]С4.3!E18</f>
        <v>0</v>
      </c>
    </row>
    <row r="111" spans="1:3" x14ac:dyDescent="0.2">
      <c r="A111" s="59" t="s">
        <v>171</v>
      </c>
      <c r="B111" s="53" t="s">
        <v>172</v>
      </c>
      <c r="C111" s="34">
        <f>[7]С4.3!E19</f>
        <v>20.100000000000001</v>
      </c>
    </row>
    <row r="112" spans="1:3" x14ac:dyDescent="0.2">
      <c r="A112" s="59" t="s">
        <v>173</v>
      </c>
      <c r="B112" s="58" t="s">
        <v>174</v>
      </c>
      <c r="C112" s="34">
        <f>[7]С4.3!E11</f>
        <v>1871</v>
      </c>
    </row>
    <row r="113" spans="1:3" x14ac:dyDescent="0.2">
      <c r="A113" s="59" t="s">
        <v>175</v>
      </c>
      <c r="B113" s="58" t="s">
        <v>176</v>
      </c>
      <c r="C113" s="52">
        <f>[7]С4.3!E12</f>
        <v>1636</v>
      </c>
    </row>
    <row r="114" spans="1:3" x14ac:dyDescent="0.2">
      <c r="A114" s="59" t="s">
        <v>177</v>
      </c>
      <c r="B114" s="58" t="s">
        <v>178</v>
      </c>
      <c r="C114" s="52">
        <f>[7]С4.3!E13</f>
        <v>204</v>
      </c>
    </row>
    <row r="115" spans="1:3" ht="30" x14ac:dyDescent="0.2">
      <c r="A115" s="59" t="s">
        <v>179</v>
      </c>
      <c r="B115" s="33" t="s">
        <v>180</v>
      </c>
      <c r="C115" s="34">
        <f>[7]С4!F27</f>
        <v>1291.2863994686898</v>
      </c>
    </row>
    <row r="116" spans="1:3" ht="25.5" x14ac:dyDescent="0.2">
      <c r="A116" s="59" t="s">
        <v>181</v>
      </c>
      <c r="B116" s="53" t="s">
        <v>182</v>
      </c>
      <c r="C116" s="34">
        <f>[7]С4!F28</f>
        <v>991.77142816335618</v>
      </c>
    </row>
    <row r="117" spans="1:3" ht="42.75" x14ac:dyDescent="0.2">
      <c r="A117" s="59" t="s">
        <v>183</v>
      </c>
      <c r="B117" s="53" t="s">
        <v>184</v>
      </c>
      <c r="C117" s="34">
        <f>[7]С4!F29</f>
        <v>299.51497130533357</v>
      </c>
    </row>
    <row r="118" spans="1:3" ht="30" x14ac:dyDescent="0.2">
      <c r="A118" s="59" t="s">
        <v>185</v>
      </c>
      <c r="B118" s="39" t="s">
        <v>186</v>
      </c>
      <c r="C118" s="34">
        <f>[7]С4!F30</f>
        <v>2787.2497623019067</v>
      </c>
    </row>
    <row r="119" spans="1:3" ht="42.75" x14ac:dyDescent="0.2">
      <c r="A119" s="59" t="s">
        <v>187</v>
      </c>
      <c r="B119" s="86" t="s">
        <v>188</v>
      </c>
      <c r="C119" s="34">
        <f>[7]С4!F33</f>
        <v>1550.2017920524227</v>
      </c>
    </row>
    <row r="120" spans="1:3" ht="30" x14ac:dyDescent="0.2">
      <c r="A120" s="59" t="s">
        <v>189</v>
      </c>
      <c r="B120" s="87" t="s">
        <v>190</v>
      </c>
      <c r="C120" s="34">
        <f>[7]С4!F35</f>
        <v>18.902267999999999</v>
      </c>
    </row>
    <row r="121" spans="1:3" ht="14.25" x14ac:dyDescent="0.2">
      <c r="A121" s="59" t="s">
        <v>191</v>
      </c>
      <c r="B121" s="56" t="s">
        <v>192</v>
      </c>
      <c r="C121" s="34">
        <f>[7]С4!F36</f>
        <v>14319.9</v>
      </c>
    </row>
    <row r="122" spans="1:3" ht="43.5" customHeight="1" thickBot="1" x14ac:dyDescent="0.25">
      <c r="A122" s="72" t="s">
        <v>193</v>
      </c>
      <c r="B122" s="88" t="s">
        <v>194</v>
      </c>
      <c r="C122" s="83">
        <f>[7]С4!F37</f>
        <v>1.32</v>
      </c>
    </row>
    <row r="123" spans="1:3" s="89" customFormat="1" ht="13.5" thickBot="1" x14ac:dyDescent="0.25">
      <c r="A123" s="47"/>
      <c r="B123" s="75"/>
      <c r="C123" s="15"/>
    </row>
    <row r="124" spans="1:3" s="63" customFormat="1" ht="30" customHeight="1" x14ac:dyDescent="0.2">
      <c r="A124" s="76" t="s">
        <v>195</v>
      </c>
      <c r="B124" s="145" t="s">
        <v>196</v>
      </c>
      <c r="C124" s="145"/>
    </row>
    <row r="125" spans="1:3" ht="16.5" thickBot="1" x14ac:dyDescent="0.25">
      <c r="A125" s="27" t="s">
        <v>197</v>
      </c>
      <c r="B125" s="90" t="s">
        <v>198</v>
      </c>
      <c r="C125" s="83">
        <f>[7]С5!F17</f>
        <v>0.02</v>
      </c>
    </row>
    <row r="126" spans="1:3" s="89" customFormat="1" ht="13.5" thickBot="1" x14ac:dyDescent="0.25">
      <c r="A126" s="47"/>
      <c r="B126" s="75"/>
      <c r="C126" s="15"/>
    </row>
    <row r="127" spans="1:3" ht="42.75" customHeight="1" x14ac:dyDescent="0.2">
      <c r="A127" s="84" t="s">
        <v>199</v>
      </c>
      <c r="B127" s="146" t="s">
        <v>200</v>
      </c>
      <c r="C127" s="146"/>
    </row>
    <row r="128" spans="1:3" ht="68.25" x14ac:dyDescent="0.2">
      <c r="A128" s="59" t="s">
        <v>201</v>
      </c>
      <c r="B128" s="91" t="s">
        <v>202</v>
      </c>
      <c r="C128" s="34" t="s">
        <v>203</v>
      </c>
    </row>
    <row r="129" spans="1:3" ht="42.75" hidden="1" x14ac:dyDescent="0.2">
      <c r="A129" s="59" t="s">
        <v>204</v>
      </c>
      <c r="B129" s="86" t="s">
        <v>205</v>
      </c>
      <c r="C129" s="92"/>
    </row>
    <row r="130" spans="1:3" ht="69" thickBot="1" x14ac:dyDescent="0.25">
      <c r="A130" s="72" t="s">
        <v>206</v>
      </c>
      <c r="B130" s="93" t="s">
        <v>207</v>
      </c>
      <c r="C130" s="94" t="s">
        <v>203</v>
      </c>
    </row>
    <row r="131" spans="1:3" ht="62.25" hidden="1" customHeight="1" x14ac:dyDescent="0.2">
      <c r="A131" s="95" t="s">
        <v>208</v>
      </c>
      <c r="B131" s="96" t="s">
        <v>209</v>
      </c>
      <c r="C131" s="97"/>
    </row>
    <row r="132" spans="1:3" ht="68.25" hidden="1" x14ac:dyDescent="0.2">
      <c r="A132" s="59" t="s">
        <v>210</v>
      </c>
      <c r="B132" s="86" t="s">
        <v>211</v>
      </c>
      <c r="C132" s="35"/>
    </row>
    <row r="133" spans="1:3" ht="69" hidden="1" thickBot="1" x14ac:dyDescent="0.25">
      <c r="A133" s="72" t="s">
        <v>212</v>
      </c>
      <c r="B133" s="98" t="s">
        <v>213</v>
      </c>
      <c r="C133" s="74"/>
    </row>
    <row r="134" spans="1:3" s="89" customFormat="1" ht="13.5" thickBot="1" x14ac:dyDescent="0.25">
      <c r="A134" s="47"/>
      <c r="B134" s="75"/>
      <c r="C134" s="15"/>
    </row>
    <row r="135" spans="1:3" ht="26.25" customHeight="1" x14ac:dyDescent="0.2">
      <c r="A135" s="84" t="s">
        <v>214</v>
      </c>
      <c r="B135" s="99" t="s">
        <v>215</v>
      </c>
      <c r="C135" s="100">
        <f>[7]С2!F37</f>
        <v>20.818139999999996</v>
      </c>
    </row>
    <row r="136" spans="1:3" ht="14.25" x14ac:dyDescent="0.2">
      <c r="A136" s="59" t="s">
        <v>216</v>
      </c>
      <c r="B136" s="101" t="s">
        <v>217</v>
      </c>
      <c r="C136" s="34">
        <f>[7]С2!F38</f>
        <v>7</v>
      </c>
    </row>
    <row r="137" spans="1:3" ht="17.25" x14ac:dyDescent="0.2">
      <c r="A137" s="59" t="s">
        <v>218</v>
      </c>
      <c r="B137" s="101" t="s">
        <v>219</v>
      </c>
      <c r="C137" s="34">
        <f>[7]С2!F40</f>
        <v>0.97</v>
      </c>
    </row>
    <row r="138" spans="1:3" ht="15" thickBot="1" x14ac:dyDescent="0.25">
      <c r="A138" s="72" t="s">
        <v>220</v>
      </c>
      <c r="B138" s="102" t="s">
        <v>221</v>
      </c>
      <c r="C138" s="46">
        <f>[7]С2!F42</f>
        <v>0.35</v>
      </c>
    </row>
    <row r="139" spans="1:3" s="89" customFormat="1" ht="13.5" thickBot="1" x14ac:dyDescent="0.25">
      <c r="A139" s="47"/>
      <c r="B139" s="75"/>
      <c r="C139" s="15"/>
    </row>
    <row r="140" spans="1:3" ht="30" x14ac:dyDescent="0.2">
      <c r="A140" s="84" t="s">
        <v>222</v>
      </c>
      <c r="B140" s="103" t="s">
        <v>223</v>
      </c>
      <c r="C140" s="104">
        <f>[7]С2!F35</f>
        <v>1.7157947422665329</v>
      </c>
    </row>
    <row r="141" spans="1:3" ht="22.7" customHeight="1" thickBot="1" x14ac:dyDescent="0.25">
      <c r="A141" s="72" t="s">
        <v>224</v>
      </c>
      <c r="B141" s="141" t="s">
        <v>225</v>
      </c>
      <c r="C141" s="141"/>
    </row>
    <row r="142" spans="1:3" ht="13.5" thickBot="1" x14ac:dyDescent="0.25">
      <c r="A142" s="105"/>
      <c r="B142" s="106" t="s">
        <v>226</v>
      </c>
      <c r="C142" s="107"/>
    </row>
    <row r="143" spans="1:3" x14ac:dyDescent="0.2">
      <c r="A143" s="105"/>
      <c r="B143" s="108">
        <v>2020</v>
      </c>
      <c r="C143" s="109">
        <f>[7]С2.5!$E$11</f>
        <v>-2.9000000000000026E-2</v>
      </c>
    </row>
    <row r="144" spans="1:3" x14ac:dyDescent="0.2">
      <c r="A144" s="105"/>
      <c r="B144" s="110">
        <f>B143+1</f>
        <v>2021</v>
      </c>
      <c r="C144" s="111">
        <f>[7]С2.5!$F$11</f>
        <v>0.245</v>
      </c>
    </row>
    <row r="145" spans="1:3" x14ac:dyDescent="0.2">
      <c r="A145" s="105"/>
      <c r="B145" s="110">
        <f t="shared" ref="B145:B208" si="0">B144+1</f>
        <v>2022</v>
      </c>
      <c r="C145" s="111">
        <f>[7]С2.5!$G$11</f>
        <v>0.114</v>
      </c>
    </row>
    <row r="146" spans="1:3" ht="13.5" thickBot="1" x14ac:dyDescent="0.25">
      <c r="A146" s="105"/>
      <c r="B146" s="112">
        <f t="shared" si="0"/>
        <v>2023</v>
      </c>
      <c r="C146" s="113">
        <f>[7]С2.5!$H$11</f>
        <v>0.04</v>
      </c>
    </row>
    <row r="147" spans="1:3" x14ac:dyDescent="0.2">
      <c r="A147" s="105"/>
      <c r="B147" s="114">
        <f t="shared" si="0"/>
        <v>2024</v>
      </c>
      <c r="C147" s="115">
        <f>[7]С2.5!$I$11</f>
        <v>0.121</v>
      </c>
    </row>
    <row r="148" spans="1:3" x14ac:dyDescent="0.2">
      <c r="A148" s="105"/>
      <c r="B148" s="110">
        <f t="shared" si="0"/>
        <v>2025</v>
      </c>
      <c r="C148" s="111">
        <f>[7]С2.5!$J$11</f>
        <v>0.03</v>
      </c>
    </row>
    <row r="149" spans="1:3" x14ac:dyDescent="0.2">
      <c r="A149" s="105"/>
      <c r="B149" s="110">
        <f t="shared" si="0"/>
        <v>2026</v>
      </c>
      <c r="C149" s="111">
        <f>[7]С2.5!$K$11</f>
        <v>6.0999999999999999E-2</v>
      </c>
    </row>
    <row r="150" spans="1:3" hidden="1" x14ac:dyDescent="0.2">
      <c r="A150" s="105"/>
      <c r="B150" s="110">
        <f t="shared" si="0"/>
        <v>2027</v>
      </c>
      <c r="C150" s="111">
        <f>[7]С2.5!$L$11</f>
        <v>3.2682303599220003E-2</v>
      </c>
    </row>
    <row r="151" spans="1:3" hidden="1" x14ac:dyDescent="0.2">
      <c r="A151" s="105"/>
      <c r="B151" s="110">
        <f t="shared" si="0"/>
        <v>2028</v>
      </c>
      <c r="C151" s="111">
        <f>[7]С2.5!$M$11</f>
        <v>0</v>
      </c>
    </row>
    <row r="152" spans="1:3" hidden="1" x14ac:dyDescent="0.2">
      <c r="A152" s="105"/>
      <c r="B152" s="110">
        <f t="shared" si="0"/>
        <v>2029</v>
      </c>
      <c r="C152" s="111">
        <f>[7]С2.5!$N$11</f>
        <v>0</v>
      </c>
    </row>
    <row r="153" spans="1:3" hidden="1" x14ac:dyDescent="0.2">
      <c r="A153" s="105"/>
      <c r="B153" s="110">
        <f t="shared" si="0"/>
        <v>2030</v>
      </c>
      <c r="C153" s="111">
        <f>[7]С2.5!$O$11</f>
        <v>0</v>
      </c>
    </row>
    <row r="154" spans="1:3" hidden="1" x14ac:dyDescent="0.2">
      <c r="A154" s="105"/>
      <c r="B154" s="110">
        <f t="shared" si="0"/>
        <v>2031</v>
      </c>
      <c r="C154" s="111">
        <f>[7]С2.5!$P$11</f>
        <v>0</v>
      </c>
    </row>
    <row r="155" spans="1:3" hidden="1" x14ac:dyDescent="0.2">
      <c r="A155" s="89"/>
      <c r="B155" s="110">
        <f t="shared" si="0"/>
        <v>2032</v>
      </c>
      <c r="C155" s="111">
        <f>[7]С2.5!$Q$11</f>
        <v>0</v>
      </c>
    </row>
    <row r="156" spans="1:3" hidden="1" x14ac:dyDescent="0.2">
      <c r="A156" s="89"/>
      <c r="B156" s="110">
        <f t="shared" si="0"/>
        <v>2033</v>
      </c>
      <c r="C156" s="111">
        <f>[7]С2.5!$R$11</f>
        <v>0</v>
      </c>
    </row>
    <row r="157" spans="1:3" hidden="1" x14ac:dyDescent="0.2">
      <c r="B157" s="110">
        <f t="shared" si="0"/>
        <v>2034</v>
      </c>
      <c r="C157" s="111">
        <f>[7]С2.5!$S$11</f>
        <v>0</v>
      </c>
    </row>
    <row r="158" spans="1:3" hidden="1" x14ac:dyDescent="0.2">
      <c r="B158" s="110">
        <f t="shared" si="0"/>
        <v>2035</v>
      </c>
      <c r="C158" s="111">
        <f>[7]С2.5!$T$11</f>
        <v>0</v>
      </c>
    </row>
    <row r="159" spans="1:3" hidden="1" x14ac:dyDescent="0.2">
      <c r="B159" s="110">
        <f t="shared" si="0"/>
        <v>2036</v>
      </c>
      <c r="C159" s="111">
        <f>[7]С2.5!$U$11</f>
        <v>0</v>
      </c>
    </row>
    <row r="160" spans="1:3" hidden="1" x14ac:dyDescent="0.2">
      <c r="B160" s="110">
        <f t="shared" si="0"/>
        <v>2037</v>
      </c>
      <c r="C160" s="111">
        <f>[7]С2.5!$V$11</f>
        <v>0</v>
      </c>
    </row>
    <row r="161" spans="2:3" hidden="1" x14ac:dyDescent="0.2">
      <c r="B161" s="110">
        <f t="shared" si="0"/>
        <v>2038</v>
      </c>
      <c r="C161" s="111">
        <f>[7]С2.5!$W$11</f>
        <v>0</v>
      </c>
    </row>
    <row r="162" spans="2:3" hidden="1" x14ac:dyDescent="0.2">
      <c r="B162" s="110">
        <f t="shared" si="0"/>
        <v>2039</v>
      </c>
      <c r="C162" s="111">
        <f>[7]С2.5!$X$11</f>
        <v>0</v>
      </c>
    </row>
    <row r="163" spans="2:3" hidden="1" x14ac:dyDescent="0.2">
      <c r="B163" s="110">
        <f t="shared" si="0"/>
        <v>2040</v>
      </c>
      <c r="C163" s="111">
        <f>[7]С2.5!$Y$11</f>
        <v>0</v>
      </c>
    </row>
    <row r="164" spans="2:3" hidden="1" x14ac:dyDescent="0.2">
      <c r="B164" s="110">
        <f t="shared" si="0"/>
        <v>2041</v>
      </c>
      <c r="C164" s="111">
        <f>[7]С2.5!$Z$11</f>
        <v>0</v>
      </c>
    </row>
    <row r="165" spans="2:3" hidden="1" x14ac:dyDescent="0.2">
      <c r="B165" s="110">
        <f t="shared" si="0"/>
        <v>2042</v>
      </c>
      <c r="C165" s="111">
        <f>[7]С2.5!$AA$11</f>
        <v>0</v>
      </c>
    </row>
    <row r="166" spans="2:3" hidden="1" x14ac:dyDescent="0.2">
      <c r="B166" s="110">
        <f t="shared" si="0"/>
        <v>2043</v>
      </c>
      <c r="C166" s="111">
        <f>[7]С2.5!$AB$11</f>
        <v>0</v>
      </c>
    </row>
    <row r="167" spans="2:3" hidden="1" x14ac:dyDescent="0.2">
      <c r="B167" s="110">
        <f t="shared" si="0"/>
        <v>2044</v>
      </c>
      <c r="C167" s="111">
        <f>[7]С2.5!$AC$11</f>
        <v>0</v>
      </c>
    </row>
    <row r="168" spans="2:3" hidden="1" x14ac:dyDescent="0.2">
      <c r="B168" s="110">
        <f t="shared" si="0"/>
        <v>2045</v>
      </c>
      <c r="C168" s="111">
        <f>[7]С2.5!$AD$11</f>
        <v>0</v>
      </c>
    </row>
    <row r="169" spans="2:3" hidden="1" x14ac:dyDescent="0.2">
      <c r="B169" s="110">
        <f t="shared" si="0"/>
        <v>2046</v>
      </c>
      <c r="C169" s="111">
        <f>[7]С2.5!$AE$11</f>
        <v>0</v>
      </c>
    </row>
    <row r="170" spans="2:3" hidden="1" x14ac:dyDescent="0.2">
      <c r="B170" s="110">
        <f t="shared" si="0"/>
        <v>2047</v>
      </c>
      <c r="C170" s="111">
        <f>[7]С2.5!$AF$11</f>
        <v>0</v>
      </c>
    </row>
    <row r="171" spans="2:3" hidden="1" x14ac:dyDescent="0.2">
      <c r="B171" s="110">
        <f t="shared" si="0"/>
        <v>2048</v>
      </c>
      <c r="C171" s="111">
        <f>[7]С2.5!$AG$11</f>
        <v>0</v>
      </c>
    </row>
    <row r="172" spans="2:3" hidden="1" x14ac:dyDescent="0.2">
      <c r="B172" s="110">
        <f t="shared" si="0"/>
        <v>2049</v>
      </c>
      <c r="C172" s="111">
        <f>[7]С2.5!$AH$11</f>
        <v>0</v>
      </c>
    </row>
    <row r="173" spans="2:3" hidden="1" x14ac:dyDescent="0.2">
      <c r="B173" s="110">
        <f t="shared" si="0"/>
        <v>2050</v>
      </c>
      <c r="C173" s="111">
        <f>[7]С2.5!$AI$11</f>
        <v>0</v>
      </c>
    </row>
    <row r="174" spans="2:3" hidden="1" x14ac:dyDescent="0.2">
      <c r="B174" s="110">
        <f t="shared" si="0"/>
        <v>2051</v>
      </c>
      <c r="C174" s="111">
        <f>[7]С2.5!$AJ$11</f>
        <v>0</v>
      </c>
    </row>
    <row r="175" spans="2:3" hidden="1" x14ac:dyDescent="0.2">
      <c r="B175" s="110">
        <f t="shared" si="0"/>
        <v>2052</v>
      </c>
      <c r="C175" s="111">
        <f>[7]С2.5!$AK$11</f>
        <v>0</v>
      </c>
    </row>
    <row r="176" spans="2:3" hidden="1" x14ac:dyDescent="0.2">
      <c r="B176" s="110">
        <f t="shared" si="0"/>
        <v>2053</v>
      </c>
      <c r="C176" s="111">
        <f>[7]С2.5!$AL$11</f>
        <v>0</v>
      </c>
    </row>
    <row r="177" spans="2:3" hidden="1" x14ac:dyDescent="0.2">
      <c r="B177" s="110">
        <f t="shared" si="0"/>
        <v>2054</v>
      </c>
      <c r="C177" s="111">
        <f>[7]С2.5!$AM$11</f>
        <v>0</v>
      </c>
    </row>
    <row r="178" spans="2:3" hidden="1" x14ac:dyDescent="0.2">
      <c r="B178" s="110">
        <f t="shared" si="0"/>
        <v>2055</v>
      </c>
      <c r="C178" s="111">
        <f>[7]С2.5!$AN$11</f>
        <v>0</v>
      </c>
    </row>
    <row r="179" spans="2:3" hidden="1" x14ac:dyDescent="0.2">
      <c r="B179" s="110">
        <f t="shared" si="0"/>
        <v>2056</v>
      </c>
      <c r="C179" s="111">
        <f>[7]С2.5!$AO$11</f>
        <v>0</v>
      </c>
    </row>
    <row r="180" spans="2:3" hidden="1" x14ac:dyDescent="0.2">
      <c r="B180" s="110">
        <f t="shared" si="0"/>
        <v>2057</v>
      </c>
      <c r="C180" s="111">
        <f>[7]С2.5!$AP$11</f>
        <v>0</v>
      </c>
    </row>
    <row r="181" spans="2:3" hidden="1" x14ac:dyDescent="0.2">
      <c r="B181" s="110">
        <f t="shared" si="0"/>
        <v>2058</v>
      </c>
      <c r="C181" s="111">
        <f>[7]С2.5!$AQ$11</f>
        <v>0</v>
      </c>
    </row>
    <row r="182" spans="2:3" hidden="1" x14ac:dyDescent="0.2">
      <c r="B182" s="110">
        <f t="shared" si="0"/>
        <v>2059</v>
      </c>
      <c r="C182" s="111">
        <f>[7]С2.5!$AR$11</f>
        <v>0</v>
      </c>
    </row>
    <row r="183" spans="2:3" hidden="1" x14ac:dyDescent="0.2">
      <c r="B183" s="110">
        <f t="shared" si="0"/>
        <v>2060</v>
      </c>
      <c r="C183" s="111">
        <f>[7]С2.5!$AS$11</f>
        <v>0</v>
      </c>
    </row>
    <row r="184" spans="2:3" hidden="1" x14ac:dyDescent="0.2">
      <c r="B184" s="110">
        <f t="shared" si="0"/>
        <v>2061</v>
      </c>
      <c r="C184" s="111">
        <f>[7]С2.5!$AT$11</f>
        <v>0</v>
      </c>
    </row>
    <row r="185" spans="2:3" hidden="1" x14ac:dyDescent="0.2">
      <c r="B185" s="110">
        <f t="shared" si="0"/>
        <v>2062</v>
      </c>
      <c r="C185" s="111">
        <f>[7]С2.5!$AU$11</f>
        <v>0</v>
      </c>
    </row>
    <row r="186" spans="2:3" hidden="1" x14ac:dyDescent="0.2">
      <c r="B186" s="110">
        <f t="shared" si="0"/>
        <v>2063</v>
      </c>
      <c r="C186" s="111">
        <f>[7]С2.5!$AV$11</f>
        <v>0</v>
      </c>
    </row>
    <row r="187" spans="2:3" hidden="1" x14ac:dyDescent="0.2">
      <c r="B187" s="110">
        <f t="shared" si="0"/>
        <v>2064</v>
      </c>
      <c r="C187" s="111">
        <f>[7]С2.5!$AW$11</f>
        <v>0</v>
      </c>
    </row>
    <row r="188" spans="2:3" hidden="1" x14ac:dyDescent="0.2">
      <c r="B188" s="110">
        <f t="shared" si="0"/>
        <v>2065</v>
      </c>
      <c r="C188" s="111">
        <f>[7]С2.5!$AX$11</f>
        <v>0</v>
      </c>
    </row>
    <row r="189" spans="2:3" hidden="1" x14ac:dyDescent="0.2">
      <c r="B189" s="110">
        <f t="shared" si="0"/>
        <v>2066</v>
      </c>
      <c r="C189" s="111">
        <f>[7]С2.5!$AY$11</f>
        <v>0</v>
      </c>
    </row>
    <row r="190" spans="2:3" hidden="1" x14ac:dyDescent="0.2">
      <c r="B190" s="110">
        <f t="shared" si="0"/>
        <v>2067</v>
      </c>
      <c r="C190" s="111">
        <f>[7]С2.5!$AZ$11</f>
        <v>0</v>
      </c>
    </row>
    <row r="191" spans="2:3" hidden="1" x14ac:dyDescent="0.2">
      <c r="B191" s="110">
        <f t="shared" si="0"/>
        <v>2068</v>
      </c>
      <c r="C191" s="111">
        <f>[7]С2.5!$BA$11</f>
        <v>0</v>
      </c>
    </row>
    <row r="192" spans="2:3" hidden="1" x14ac:dyDescent="0.2">
      <c r="B192" s="110">
        <f t="shared" si="0"/>
        <v>2069</v>
      </c>
      <c r="C192" s="111">
        <f>[7]С2.5!$BB$11</f>
        <v>0</v>
      </c>
    </row>
    <row r="193" spans="2:3" hidden="1" x14ac:dyDescent="0.2">
      <c r="B193" s="110">
        <f t="shared" si="0"/>
        <v>2070</v>
      </c>
      <c r="C193" s="111">
        <f>[7]С2.5!$BC$11</f>
        <v>0</v>
      </c>
    </row>
    <row r="194" spans="2:3" hidden="1" x14ac:dyDescent="0.2">
      <c r="B194" s="110">
        <f t="shared" si="0"/>
        <v>2071</v>
      </c>
      <c r="C194" s="111">
        <f>[7]С2.5!$BD$11</f>
        <v>0</v>
      </c>
    </row>
    <row r="195" spans="2:3" hidden="1" x14ac:dyDescent="0.2">
      <c r="B195" s="110">
        <f t="shared" si="0"/>
        <v>2072</v>
      </c>
      <c r="C195" s="111">
        <f>[7]С2.5!$BE$11</f>
        <v>0</v>
      </c>
    </row>
    <row r="196" spans="2:3" hidden="1" x14ac:dyDescent="0.2">
      <c r="B196" s="110">
        <f t="shared" si="0"/>
        <v>2073</v>
      </c>
      <c r="C196" s="111">
        <f>[7]С2.5!$BF$11</f>
        <v>0</v>
      </c>
    </row>
    <row r="197" spans="2:3" hidden="1" x14ac:dyDescent="0.2">
      <c r="B197" s="110">
        <f t="shared" si="0"/>
        <v>2074</v>
      </c>
      <c r="C197" s="111">
        <f>[7]С2.5!$BG$11</f>
        <v>0</v>
      </c>
    </row>
    <row r="198" spans="2:3" hidden="1" x14ac:dyDescent="0.2">
      <c r="B198" s="110">
        <f t="shared" si="0"/>
        <v>2075</v>
      </c>
      <c r="C198" s="111">
        <f>[7]С2.5!$BH$11</f>
        <v>0</v>
      </c>
    </row>
    <row r="199" spans="2:3" hidden="1" x14ac:dyDescent="0.2">
      <c r="B199" s="110">
        <f t="shared" si="0"/>
        <v>2076</v>
      </c>
      <c r="C199" s="111">
        <f>[7]С2.5!$BI$11</f>
        <v>0</v>
      </c>
    </row>
    <row r="200" spans="2:3" hidden="1" x14ac:dyDescent="0.2">
      <c r="B200" s="110">
        <f t="shared" si="0"/>
        <v>2077</v>
      </c>
      <c r="C200" s="111">
        <f>[7]С2.5!$BJ$11</f>
        <v>0</v>
      </c>
    </row>
    <row r="201" spans="2:3" hidden="1" x14ac:dyDescent="0.2">
      <c r="B201" s="110">
        <f t="shared" si="0"/>
        <v>2078</v>
      </c>
      <c r="C201" s="111">
        <f>[7]С2.5!$BK$11</f>
        <v>0</v>
      </c>
    </row>
    <row r="202" spans="2:3" hidden="1" x14ac:dyDescent="0.2">
      <c r="B202" s="110">
        <f t="shared" si="0"/>
        <v>2079</v>
      </c>
      <c r="C202" s="111">
        <f>[7]С2.5!$BL$11</f>
        <v>0</v>
      </c>
    </row>
    <row r="203" spans="2:3" hidden="1" x14ac:dyDescent="0.2">
      <c r="B203" s="110">
        <f t="shared" si="0"/>
        <v>2080</v>
      </c>
      <c r="C203" s="111">
        <f>[7]С2.5!$BM$11</f>
        <v>0</v>
      </c>
    </row>
    <row r="204" spans="2:3" hidden="1" x14ac:dyDescent="0.2">
      <c r="B204" s="110">
        <f t="shared" si="0"/>
        <v>2081</v>
      </c>
      <c r="C204" s="111">
        <f>[7]С2.5!$BN$11</f>
        <v>0</v>
      </c>
    </row>
    <row r="205" spans="2:3" hidden="1" x14ac:dyDescent="0.2">
      <c r="B205" s="110">
        <f t="shared" si="0"/>
        <v>2082</v>
      </c>
      <c r="C205" s="111">
        <f>[7]С2.5!$BO$11</f>
        <v>0</v>
      </c>
    </row>
    <row r="206" spans="2:3" hidden="1" x14ac:dyDescent="0.2">
      <c r="B206" s="110">
        <f t="shared" si="0"/>
        <v>2083</v>
      </c>
      <c r="C206" s="111">
        <f>[7]С2.5!$BP$11</f>
        <v>0</v>
      </c>
    </row>
    <row r="207" spans="2:3" hidden="1" x14ac:dyDescent="0.2">
      <c r="B207" s="110">
        <f t="shared" si="0"/>
        <v>2084</v>
      </c>
      <c r="C207" s="111">
        <f>[7]С2.5!$BQ$11</f>
        <v>0</v>
      </c>
    </row>
    <row r="208" spans="2:3" hidden="1" x14ac:dyDescent="0.2">
      <c r="B208" s="110">
        <f t="shared" si="0"/>
        <v>2085</v>
      </c>
      <c r="C208" s="111">
        <f>[7]С2.5!$BR$11</f>
        <v>0</v>
      </c>
    </row>
    <row r="209" spans="2:3" hidden="1" x14ac:dyDescent="0.2">
      <c r="B209" s="110">
        <f t="shared" ref="B209:B223" si="1">B208+1</f>
        <v>2086</v>
      </c>
      <c r="C209" s="111">
        <f>[7]С2.5!$BS$11</f>
        <v>0</v>
      </c>
    </row>
    <row r="210" spans="2:3" hidden="1" x14ac:dyDescent="0.2">
      <c r="B210" s="110">
        <f t="shared" si="1"/>
        <v>2087</v>
      </c>
      <c r="C210" s="111">
        <f>[7]С2.5!$BT$11</f>
        <v>0</v>
      </c>
    </row>
    <row r="211" spans="2:3" hidden="1" x14ac:dyDescent="0.2">
      <c r="B211" s="110">
        <f t="shared" si="1"/>
        <v>2088</v>
      </c>
      <c r="C211" s="111">
        <f>[7]С2.5!$BU$11</f>
        <v>0</v>
      </c>
    </row>
    <row r="212" spans="2:3" hidden="1" x14ac:dyDescent="0.2">
      <c r="B212" s="110">
        <f t="shared" si="1"/>
        <v>2089</v>
      </c>
      <c r="C212" s="111">
        <f>[7]С2.5!$BV$11</f>
        <v>0</v>
      </c>
    </row>
    <row r="213" spans="2:3" hidden="1" x14ac:dyDescent="0.2">
      <c r="B213" s="110">
        <f t="shared" si="1"/>
        <v>2090</v>
      </c>
      <c r="C213" s="111">
        <f>[7]С2.5!$BW$11</f>
        <v>0</v>
      </c>
    </row>
    <row r="214" spans="2:3" hidden="1" x14ac:dyDescent="0.2">
      <c r="B214" s="110">
        <f t="shared" si="1"/>
        <v>2091</v>
      </c>
      <c r="C214" s="111">
        <f>[7]С2.5!$BX$11</f>
        <v>0</v>
      </c>
    </row>
    <row r="215" spans="2:3" hidden="1" x14ac:dyDescent="0.2">
      <c r="B215" s="110">
        <f t="shared" si="1"/>
        <v>2092</v>
      </c>
      <c r="C215" s="111">
        <f>[7]С2.5!$BY$11</f>
        <v>0</v>
      </c>
    </row>
    <row r="216" spans="2:3" hidden="1" x14ac:dyDescent="0.2">
      <c r="B216" s="110">
        <f t="shared" si="1"/>
        <v>2093</v>
      </c>
      <c r="C216" s="111">
        <f>[7]С2.5!$BZ$11</f>
        <v>0</v>
      </c>
    </row>
    <row r="217" spans="2:3" hidden="1" x14ac:dyDescent="0.2">
      <c r="B217" s="110">
        <f t="shared" si="1"/>
        <v>2094</v>
      </c>
      <c r="C217" s="111">
        <f>[7]С2.5!$CA$11</f>
        <v>0</v>
      </c>
    </row>
    <row r="218" spans="2:3" hidden="1" x14ac:dyDescent="0.2">
      <c r="B218" s="110">
        <f t="shared" si="1"/>
        <v>2095</v>
      </c>
      <c r="C218" s="111">
        <f>[7]С2.5!$CB$11</f>
        <v>0</v>
      </c>
    </row>
    <row r="219" spans="2:3" hidden="1" x14ac:dyDescent="0.2">
      <c r="B219" s="110">
        <f t="shared" si="1"/>
        <v>2096</v>
      </c>
      <c r="C219" s="111">
        <f>[7]С2.5!$CC$11</f>
        <v>0</v>
      </c>
    </row>
    <row r="220" spans="2:3" hidden="1" x14ac:dyDescent="0.2">
      <c r="B220" s="110">
        <f t="shared" si="1"/>
        <v>2097</v>
      </c>
      <c r="C220" s="111">
        <f>[7]С2.5!$CD$11</f>
        <v>0</v>
      </c>
    </row>
    <row r="221" spans="2:3" hidden="1" x14ac:dyDescent="0.2">
      <c r="B221" s="110">
        <f t="shared" si="1"/>
        <v>2098</v>
      </c>
      <c r="C221" s="111">
        <f>[7]С2.5!$CE$11</f>
        <v>0</v>
      </c>
    </row>
    <row r="222" spans="2:3" hidden="1" x14ac:dyDescent="0.2">
      <c r="B222" s="110">
        <f t="shared" si="1"/>
        <v>2099</v>
      </c>
      <c r="C222" s="111">
        <f>[7]С2.5!$CF$11</f>
        <v>0</v>
      </c>
    </row>
    <row r="223" spans="2:3" ht="13.5" hidden="1" thickBot="1" x14ac:dyDescent="0.25">
      <c r="B223" s="112">
        <f t="shared" si="1"/>
        <v>2100</v>
      </c>
      <c r="C223" s="113">
        <f>[7]С2.5!$CG$11</f>
        <v>0</v>
      </c>
    </row>
    <row r="224" spans="2:3" hidden="1" x14ac:dyDescent="0.2">
      <c r="C224" s="116"/>
    </row>
    <row r="225" spans="3:3" hidden="1" x14ac:dyDescent="0.2">
      <c r="C225" s="116"/>
    </row>
    <row r="226" spans="3:3" x14ac:dyDescent="0.2">
      <c r="C226" s="116"/>
    </row>
  </sheetData>
  <mergeCells count="9">
    <mergeCell ref="B141:C141"/>
    <mergeCell ref="A14:C14"/>
    <mergeCell ref="B1:C1"/>
    <mergeCell ref="B27:C27"/>
    <mergeCell ref="B40:C40"/>
    <mergeCell ref="B84:C84"/>
    <mergeCell ref="B95:C95"/>
    <mergeCell ref="B124:C124"/>
    <mergeCell ref="B127:C127"/>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26"/>
  <sheetViews>
    <sheetView workbookViewId="0">
      <selection activeCell="C7" sqref="C7"/>
    </sheetView>
  </sheetViews>
  <sheetFormatPr defaultRowHeight="12.75" x14ac:dyDescent="0.2"/>
  <cols>
    <col min="1" max="1" width="9.140625" style="2" customWidth="1"/>
    <col min="2" max="2" width="100.5703125" style="2" customWidth="1"/>
    <col min="3" max="3" width="20.85546875" style="7" customWidth="1"/>
    <col min="4" max="243" width="9.140625" style="2"/>
    <col min="244" max="244" width="3.5703125" style="2" customWidth="1"/>
    <col min="245" max="245" width="96.85546875" style="2" customWidth="1"/>
    <col min="246" max="246" width="30.85546875" style="2" customWidth="1"/>
    <col min="247" max="247" width="12.5703125" style="2" customWidth="1"/>
    <col min="248" max="248" width="5.140625" style="2" customWidth="1"/>
    <col min="249" max="249" width="9.140625" style="2"/>
    <col min="250" max="250" width="4.85546875" style="2" customWidth="1"/>
    <col min="251" max="251" width="30.5703125" style="2" customWidth="1"/>
    <col min="252" max="252" width="33.85546875" style="2" customWidth="1"/>
    <col min="253" max="253" width="5.140625" style="2" customWidth="1"/>
    <col min="254" max="255" width="17.5703125" style="2" customWidth="1"/>
    <col min="256" max="499" width="9.140625" style="2"/>
    <col min="500" max="500" width="3.5703125" style="2" customWidth="1"/>
    <col min="501" max="501" width="96.85546875" style="2" customWidth="1"/>
    <col min="502" max="502" width="30.85546875" style="2" customWidth="1"/>
    <col min="503" max="503" width="12.5703125" style="2" customWidth="1"/>
    <col min="504" max="504" width="5.140625" style="2" customWidth="1"/>
    <col min="505" max="505" width="9.140625" style="2"/>
    <col min="506" max="506" width="4.85546875" style="2" customWidth="1"/>
    <col min="507" max="507" width="30.5703125" style="2" customWidth="1"/>
    <col min="508" max="508" width="33.85546875" style="2" customWidth="1"/>
    <col min="509" max="509" width="5.140625" style="2" customWidth="1"/>
    <col min="510" max="511" width="17.5703125" style="2" customWidth="1"/>
    <col min="512" max="755" width="9.140625" style="2"/>
    <col min="756" max="756" width="3.5703125" style="2" customWidth="1"/>
    <col min="757" max="757" width="96.85546875" style="2" customWidth="1"/>
    <col min="758" max="758" width="30.85546875" style="2" customWidth="1"/>
    <col min="759" max="759" width="12.5703125" style="2" customWidth="1"/>
    <col min="760" max="760" width="5.140625" style="2" customWidth="1"/>
    <col min="761" max="761" width="9.140625" style="2"/>
    <col min="762" max="762" width="4.85546875" style="2" customWidth="1"/>
    <col min="763" max="763" width="30.5703125" style="2" customWidth="1"/>
    <col min="764" max="764" width="33.85546875" style="2" customWidth="1"/>
    <col min="765" max="765" width="5.140625" style="2" customWidth="1"/>
    <col min="766" max="767" width="17.5703125" style="2" customWidth="1"/>
    <col min="768" max="1011" width="9.140625" style="2"/>
    <col min="1012" max="1012" width="3.5703125" style="2" customWidth="1"/>
    <col min="1013" max="1013" width="96.85546875" style="2" customWidth="1"/>
    <col min="1014" max="1014" width="30.85546875" style="2" customWidth="1"/>
    <col min="1015" max="1015" width="12.5703125" style="2" customWidth="1"/>
    <col min="1016" max="1016" width="5.140625" style="2" customWidth="1"/>
    <col min="1017" max="1017" width="9.140625" style="2"/>
    <col min="1018" max="1018" width="4.85546875" style="2" customWidth="1"/>
    <col min="1019" max="1019" width="30.5703125" style="2" customWidth="1"/>
    <col min="1020" max="1020" width="33.85546875" style="2" customWidth="1"/>
    <col min="1021" max="1021" width="5.140625" style="2" customWidth="1"/>
    <col min="1022" max="1023" width="17.5703125" style="2" customWidth="1"/>
    <col min="1024" max="1267" width="9.140625" style="2"/>
    <col min="1268" max="1268" width="3.5703125" style="2" customWidth="1"/>
    <col min="1269" max="1269" width="96.85546875" style="2" customWidth="1"/>
    <col min="1270" max="1270" width="30.85546875" style="2" customWidth="1"/>
    <col min="1271" max="1271" width="12.5703125" style="2" customWidth="1"/>
    <col min="1272" max="1272" width="5.140625" style="2" customWidth="1"/>
    <col min="1273" max="1273" width="9.140625" style="2"/>
    <col min="1274" max="1274" width="4.85546875" style="2" customWidth="1"/>
    <col min="1275" max="1275" width="30.5703125" style="2" customWidth="1"/>
    <col min="1276" max="1276" width="33.85546875" style="2" customWidth="1"/>
    <col min="1277" max="1277" width="5.140625" style="2" customWidth="1"/>
    <col min="1278" max="1279" width="17.5703125" style="2" customWidth="1"/>
    <col min="1280" max="1523" width="9.140625" style="2"/>
    <col min="1524" max="1524" width="3.5703125" style="2" customWidth="1"/>
    <col min="1525" max="1525" width="96.85546875" style="2" customWidth="1"/>
    <col min="1526" max="1526" width="30.85546875" style="2" customWidth="1"/>
    <col min="1527" max="1527" width="12.5703125" style="2" customWidth="1"/>
    <col min="1528" max="1528" width="5.140625" style="2" customWidth="1"/>
    <col min="1529" max="1529" width="9.140625" style="2"/>
    <col min="1530" max="1530" width="4.85546875" style="2" customWidth="1"/>
    <col min="1531" max="1531" width="30.5703125" style="2" customWidth="1"/>
    <col min="1532" max="1532" width="33.85546875" style="2" customWidth="1"/>
    <col min="1533" max="1533" width="5.140625" style="2" customWidth="1"/>
    <col min="1534" max="1535" width="17.5703125" style="2" customWidth="1"/>
    <col min="1536" max="1779" width="9.140625" style="2"/>
    <col min="1780" max="1780" width="3.5703125" style="2" customWidth="1"/>
    <col min="1781" max="1781" width="96.85546875" style="2" customWidth="1"/>
    <col min="1782" max="1782" width="30.85546875" style="2" customWidth="1"/>
    <col min="1783" max="1783" width="12.5703125" style="2" customWidth="1"/>
    <col min="1784" max="1784" width="5.140625" style="2" customWidth="1"/>
    <col min="1785" max="1785" width="9.140625" style="2"/>
    <col min="1786" max="1786" width="4.85546875" style="2" customWidth="1"/>
    <col min="1787" max="1787" width="30.5703125" style="2" customWidth="1"/>
    <col min="1788" max="1788" width="33.85546875" style="2" customWidth="1"/>
    <col min="1789" max="1789" width="5.140625" style="2" customWidth="1"/>
    <col min="1790" max="1791" width="17.5703125" style="2" customWidth="1"/>
    <col min="1792" max="2035" width="9.140625" style="2"/>
    <col min="2036" max="2036" width="3.5703125" style="2" customWidth="1"/>
    <col min="2037" max="2037" width="96.85546875" style="2" customWidth="1"/>
    <col min="2038" max="2038" width="30.85546875" style="2" customWidth="1"/>
    <col min="2039" max="2039" width="12.5703125" style="2" customWidth="1"/>
    <col min="2040" max="2040" width="5.140625" style="2" customWidth="1"/>
    <col min="2041" max="2041" width="9.140625" style="2"/>
    <col min="2042" max="2042" width="4.85546875" style="2" customWidth="1"/>
    <col min="2043" max="2043" width="30.5703125" style="2" customWidth="1"/>
    <col min="2044" max="2044" width="33.85546875" style="2" customWidth="1"/>
    <col min="2045" max="2045" width="5.140625" style="2" customWidth="1"/>
    <col min="2046" max="2047" width="17.5703125" style="2" customWidth="1"/>
    <col min="2048" max="2291" width="9.140625" style="2"/>
    <col min="2292" max="2292" width="3.5703125" style="2" customWidth="1"/>
    <col min="2293" max="2293" width="96.85546875" style="2" customWidth="1"/>
    <col min="2294" max="2294" width="30.85546875" style="2" customWidth="1"/>
    <col min="2295" max="2295" width="12.5703125" style="2" customWidth="1"/>
    <col min="2296" max="2296" width="5.140625" style="2" customWidth="1"/>
    <col min="2297" max="2297" width="9.140625" style="2"/>
    <col min="2298" max="2298" width="4.85546875" style="2" customWidth="1"/>
    <col min="2299" max="2299" width="30.5703125" style="2" customWidth="1"/>
    <col min="2300" max="2300" width="33.85546875" style="2" customWidth="1"/>
    <col min="2301" max="2301" width="5.140625" style="2" customWidth="1"/>
    <col min="2302" max="2303" width="17.5703125" style="2" customWidth="1"/>
    <col min="2304" max="2547" width="9.140625" style="2"/>
    <col min="2548" max="2548" width="3.5703125" style="2" customWidth="1"/>
    <col min="2549" max="2549" width="96.85546875" style="2" customWidth="1"/>
    <col min="2550" max="2550" width="30.85546875" style="2" customWidth="1"/>
    <col min="2551" max="2551" width="12.5703125" style="2" customWidth="1"/>
    <col min="2552" max="2552" width="5.140625" style="2" customWidth="1"/>
    <col min="2553" max="2553" width="9.140625" style="2"/>
    <col min="2554" max="2554" width="4.85546875" style="2" customWidth="1"/>
    <col min="2555" max="2555" width="30.5703125" style="2" customWidth="1"/>
    <col min="2556" max="2556" width="33.85546875" style="2" customWidth="1"/>
    <col min="2557" max="2557" width="5.140625" style="2" customWidth="1"/>
    <col min="2558" max="2559" width="17.5703125" style="2" customWidth="1"/>
    <col min="2560" max="2803" width="9.140625" style="2"/>
    <col min="2804" max="2804" width="3.5703125" style="2" customWidth="1"/>
    <col min="2805" max="2805" width="96.85546875" style="2" customWidth="1"/>
    <col min="2806" max="2806" width="30.85546875" style="2" customWidth="1"/>
    <col min="2807" max="2807" width="12.5703125" style="2" customWidth="1"/>
    <col min="2808" max="2808" width="5.140625" style="2" customWidth="1"/>
    <col min="2809" max="2809" width="9.140625" style="2"/>
    <col min="2810" max="2810" width="4.85546875" style="2" customWidth="1"/>
    <col min="2811" max="2811" width="30.5703125" style="2" customWidth="1"/>
    <col min="2812" max="2812" width="33.85546875" style="2" customWidth="1"/>
    <col min="2813" max="2813" width="5.140625" style="2" customWidth="1"/>
    <col min="2814" max="2815" width="17.5703125" style="2" customWidth="1"/>
    <col min="2816" max="3059" width="9.140625" style="2"/>
    <col min="3060" max="3060" width="3.5703125" style="2" customWidth="1"/>
    <col min="3061" max="3061" width="96.85546875" style="2" customWidth="1"/>
    <col min="3062" max="3062" width="30.85546875" style="2" customWidth="1"/>
    <col min="3063" max="3063" width="12.5703125" style="2" customWidth="1"/>
    <col min="3064" max="3064" width="5.140625" style="2" customWidth="1"/>
    <col min="3065" max="3065" width="9.140625" style="2"/>
    <col min="3066" max="3066" width="4.85546875" style="2" customWidth="1"/>
    <col min="3067" max="3067" width="30.5703125" style="2" customWidth="1"/>
    <col min="3068" max="3068" width="33.85546875" style="2" customWidth="1"/>
    <col min="3069" max="3069" width="5.140625" style="2" customWidth="1"/>
    <col min="3070" max="3071" width="17.5703125" style="2" customWidth="1"/>
    <col min="3072" max="3315" width="9.140625" style="2"/>
    <col min="3316" max="3316" width="3.5703125" style="2" customWidth="1"/>
    <col min="3317" max="3317" width="96.85546875" style="2" customWidth="1"/>
    <col min="3318" max="3318" width="30.85546875" style="2" customWidth="1"/>
    <col min="3319" max="3319" width="12.5703125" style="2" customWidth="1"/>
    <col min="3320" max="3320" width="5.140625" style="2" customWidth="1"/>
    <col min="3321" max="3321" width="9.140625" style="2"/>
    <col min="3322" max="3322" width="4.85546875" style="2" customWidth="1"/>
    <col min="3323" max="3323" width="30.5703125" style="2" customWidth="1"/>
    <col min="3324" max="3324" width="33.85546875" style="2" customWidth="1"/>
    <col min="3325" max="3325" width="5.140625" style="2" customWidth="1"/>
    <col min="3326" max="3327" width="17.5703125" style="2" customWidth="1"/>
    <col min="3328" max="3571" width="9.140625" style="2"/>
    <col min="3572" max="3572" width="3.5703125" style="2" customWidth="1"/>
    <col min="3573" max="3573" width="96.85546875" style="2" customWidth="1"/>
    <col min="3574" max="3574" width="30.85546875" style="2" customWidth="1"/>
    <col min="3575" max="3575" width="12.5703125" style="2" customWidth="1"/>
    <col min="3576" max="3576" width="5.140625" style="2" customWidth="1"/>
    <col min="3577" max="3577" width="9.140625" style="2"/>
    <col min="3578" max="3578" width="4.85546875" style="2" customWidth="1"/>
    <col min="3579" max="3579" width="30.5703125" style="2" customWidth="1"/>
    <col min="3580" max="3580" width="33.85546875" style="2" customWidth="1"/>
    <col min="3581" max="3581" width="5.140625" style="2" customWidth="1"/>
    <col min="3582" max="3583" width="17.5703125" style="2" customWidth="1"/>
    <col min="3584" max="3827" width="9.140625" style="2"/>
    <col min="3828" max="3828" width="3.5703125" style="2" customWidth="1"/>
    <col min="3829" max="3829" width="96.85546875" style="2" customWidth="1"/>
    <col min="3830" max="3830" width="30.85546875" style="2" customWidth="1"/>
    <col min="3831" max="3831" width="12.5703125" style="2" customWidth="1"/>
    <col min="3832" max="3832" width="5.140625" style="2" customWidth="1"/>
    <col min="3833" max="3833" width="9.140625" style="2"/>
    <col min="3834" max="3834" width="4.85546875" style="2" customWidth="1"/>
    <col min="3835" max="3835" width="30.5703125" style="2" customWidth="1"/>
    <col min="3836" max="3836" width="33.85546875" style="2" customWidth="1"/>
    <col min="3837" max="3837" width="5.140625" style="2" customWidth="1"/>
    <col min="3838" max="3839" width="17.5703125" style="2" customWidth="1"/>
    <col min="3840" max="4083" width="9.140625" style="2"/>
    <col min="4084" max="4084" width="3.5703125" style="2" customWidth="1"/>
    <col min="4085" max="4085" width="96.85546875" style="2" customWidth="1"/>
    <col min="4086" max="4086" width="30.85546875" style="2" customWidth="1"/>
    <col min="4087" max="4087" width="12.5703125" style="2" customWidth="1"/>
    <col min="4088" max="4088" width="5.140625" style="2" customWidth="1"/>
    <col min="4089" max="4089" width="9.140625" style="2"/>
    <col min="4090" max="4090" width="4.85546875" style="2" customWidth="1"/>
    <col min="4091" max="4091" width="30.5703125" style="2" customWidth="1"/>
    <col min="4092" max="4092" width="33.85546875" style="2" customWidth="1"/>
    <col min="4093" max="4093" width="5.140625" style="2" customWidth="1"/>
    <col min="4094" max="4095" width="17.5703125" style="2" customWidth="1"/>
    <col min="4096" max="4339" width="9.140625" style="2"/>
    <col min="4340" max="4340" width="3.5703125" style="2" customWidth="1"/>
    <col min="4341" max="4341" width="96.85546875" style="2" customWidth="1"/>
    <col min="4342" max="4342" width="30.85546875" style="2" customWidth="1"/>
    <col min="4343" max="4343" width="12.5703125" style="2" customWidth="1"/>
    <col min="4344" max="4344" width="5.140625" style="2" customWidth="1"/>
    <col min="4345" max="4345" width="9.140625" style="2"/>
    <col min="4346" max="4346" width="4.85546875" style="2" customWidth="1"/>
    <col min="4347" max="4347" width="30.5703125" style="2" customWidth="1"/>
    <col min="4348" max="4348" width="33.85546875" style="2" customWidth="1"/>
    <col min="4349" max="4349" width="5.140625" style="2" customWidth="1"/>
    <col min="4350" max="4351" width="17.5703125" style="2" customWidth="1"/>
    <col min="4352" max="4595" width="9.140625" style="2"/>
    <col min="4596" max="4596" width="3.5703125" style="2" customWidth="1"/>
    <col min="4597" max="4597" width="96.85546875" style="2" customWidth="1"/>
    <col min="4598" max="4598" width="30.85546875" style="2" customWidth="1"/>
    <col min="4599" max="4599" width="12.5703125" style="2" customWidth="1"/>
    <col min="4600" max="4600" width="5.140625" style="2" customWidth="1"/>
    <col min="4601" max="4601" width="9.140625" style="2"/>
    <col min="4602" max="4602" width="4.85546875" style="2" customWidth="1"/>
    <col min="4603" max="4603" width="30.5703125" style="2" customWidth="1"/>
    <col min="4604" max="4604" width="33.85546875" style="2" customWidth="1"/>
    <col min="4605" max="4605" width="5.140625" style="2" customWidth="1"/>
    <col min="4606" max="4607" width="17.5703125" style="2" customWidth="1"/>
    <col min="4608" max="4851" width="9.140625" style="2"/>
    <col min="4852" max="4852" width="3.5703125" style="2" customWidth="1"/>
    <col min="4853" max="4853" width="96.85546875" style="2" customWidth="1"/>
    <col min="4854" max="4854" width="30.85546875" style="2" customWidth="1"/>
    <col min="4855" max="4855" width="12.5703125" style="2" customWidth="1"/>
    <col min="4856" max="4856" width="5.140625" style="2" customWidth="1"/>
    <col min="4857" max="4857" width="9.140625" style="2"/>
    <col min="4858" max="4858" width="4.85546875" style="2" customWidth="1"/>
    <col min="4859" max="4859" width="30.5703125" style="2" customWidth="1"/>
    <col min="4860" max="4860" width="33.85546875" style="2" customWidth="1"/>
    <col min="4861" max="4861" width="5.140625" style="2" customWidth="1"/>
    <col min="4862" max="4863" width="17.5703125" style="2" customWidth="1"/>
    <col min="4864" max="5107" width="9.140625" style="2"/>
    <col min="5108" max="5108" width="3.5703125" style="2" customWidth="1"/>
    <col min="5109" max="5109" width="96.85546875" style="2" customWidth="1"/>
    <col min="5110" max="5110" width="30.85546875" style="2" customWidth="1"/>
    <col min="5111" max="5111" width="12.5703125" style="2" customWidth="1"/>
    <col min="5112" max="5112" width="5.140625" style="2" customWidth="1"/>
    <col min="5113" max="5113" width="9.140625" style="2"/>
    <col min="5114" max="5114" width="4.85546875" style="2" customWidth="1"/>
    <col min="5115" max="5115" width="30.5703125" style="2" customWidth="1"/>
    <col min="5116" max="5116" width="33.85546875" style="2" customWidth="1"/>
    <col min="5117" max="5117" width="5.140625" style="2" customWidth="1"/>
    <col min="5118" max="5119" width="17.5703125" style="2" customWidth="1"/>
    <col min="5120" max="5363" width="9.140625" style="2"/>
    <col min="5364" max="5364" width="3.5703125" style="2" customWidth="1"/>
    <col min="5365" max="5365" width="96.85546875" style="2" customWidth="1"/>
    <col min="5366" max="5366" width="30.85546875" style="2" customWidth="1"/>
    <col min="5367" max="5367" width="12.5703125" style="2" customWidth="1"/>
    <col min="5368" max="5368" width="5.140625" style="2" customWidth="1"/>
    <col min="5369" max="5369" width="9.140625" style="2"/>
    <col min="5370" max="5370" width="4.85546875" style="2" customWidth="1"/>
    <col min="5371" max="5371" width="30.5703125" style="2" customWidth="1"/>
    <col min="5372" max="5372" width="33.85546875" style="2" customWidth="1"/>
    <col min="5373" max="5373" width="5.140625" style="2" customWidth="1"/>
    <col min="5374" max="5375" width="17.5703125" style="2" customWidth="1"/>
    <col min="5376" max="5619" width="9.140625" style="2"/>
    <col min="5620" max="5620" width="3.5703125" style="2" customWidth="1"/>
    <col min="5621" max="5621" width="96.85546875" style="2" customWidth="1"/>
    <col min="5622" max="5622" width="30.85546875" style="2" customWidth="1"/>
    <col min="5623" max="5623" width="12.5703125" style="2" customWidth="1"/>
    <col min="5624" max="5624" width="5.140625" style="2" customWidth="1"/>
    <col min="5625" max="5625" width="9.140625" style="2"/>
    <col min="5626" max="5626" width="4.85546875" style="2" customWidth="1"/>
    <col min="5627" max="5627" width="30.5703125" style="2" customWidth="1"/>
    <col min="5628" max="5628" width="33.85546875" style="2" customWidth="1"/>
    <col min="5629" max="5629" width="5.140625" style="2" customWidth="1"/>
    <col min="5630" max="5631" width="17.5703125" style="2" customWidth="1"/>
    <col min="5632" max="5875" width="9.140625" style="2"/>
    <col min="5876" max="5876" width="3.5703125" style="2" customWidth="1"/>
    <col min="5877" max="5877" width="96.85546875" style="2" customWidth="1"/>
    <col min="5878" max="5878" width="30.85546875" style="2" customWidth="1"/>
    <col min="5879" max="5879" width="12.5703125" style="2" customWidth="1"/>
    <col min="5880" max="5880" width="5.140625" style="2" customWidth="1"/>
    <col min="5881" max="5881" width="9.140625" style="2"/>
    <col min="5882" max="5882" width="4.85546875" style="2" customWidth="1"/>
    <col min="5883" max="5883" width="30.5703125" style="2" customWidth="1"/>
    <col min="5884" max="5884" width="33.85546875" style="2" customWidth="1"/>
    <col min="5885" max="5885" width="5.140625" style="2" customWidth="1"/>
    <col min="5886" max="5887" width="17.5703125" style="2" customWidth="1"/>
    <col min="5888" max="6131" width="9.140625" style="2"/>
    <col min="6132" max="6132" width="3.5703125" style="2" customWidth="1"/>
    <col min="6133" max="6133" width="96.85546875" style="2" customWidth="1"/>
    <col min="6134" max="6134" width="30.85546875" style="2" customWidth="1"/>
    <col min="6135" max="6135" width="12.5703125" style="2" customWidth="1"/>
    <col min="6136" max="6136" width="5.140625" style="2" customWidth="1"/>
    <col min="6137" max="6137" width="9.140625" style="2"/>
    <col min="6138" max="6138" width="4.85546875" style="2" customWidth="1"/>
    <col min="6139" max="6139" width="30.5703125" style="2" customWidth="1"/>
    <col min="6140" max="6140" width="33.85546875" style="2" customWidth="1"/>
    <col min="6141" max="6141" width="5.140625" style="2" customWidth="1"/>
    <col min="6142" max="6143" width="17.5703125" style="2" customWidth="1"/>
    <col min="6144" max="6387" width="9.140625" style="2"/>
    <col min="6388" max="6388" width="3.5703125" style="2" customWidth="1"/>
    <col min="6389" max="6389" width="96.85546875" style="2" customWidth="1"/>
    <col min="6390" max="6390" width="30.85546875" style="2" customWidth="1"/>
    <col min="6391" max="6391" width="12.5703125" style="2" customWidth="1"/>
    <col min="6392" max="6392" width="5.140625" style="2" customWidth="1"/>
    <col min="6393" max="6393" width="9.140625" style="2"/>
    <col min="6394" max="6394" width="4.85546875" style="2" customWidth="1"/>
    <col min="6395" max="6395" width="30.5703125" style="2" customWidth="1"/>
    <col min="6396" max="6396" width="33.85546875" style="2" customWidth="1"/>
    <col min="6397" max="6397" width="5.140625" style="2" customWidth="1"/>
    <col min="6398" max="6399" width="17.5703125" style="2" customWidth="1"/>
    <col min="6400" max="6643" width="9.140625" style="2"/>
    <col min="6644" max="6644" width="3.5703125" style="2" customWidth="1"/>
    <col min="6645" max="6645" width="96.85546875" style="2" customWidth="1"/>
    <col min="6646" max="6646" width="30.85546875" style="2" customWidth="1"/>
    <col min="6647" max="6647" width="12.5703125" style="2" customWidth="1"/>
    <col min="6648" max="6648" width="5.140625" style="2" customWidth="1"/>
    <col min="6649" max="6649" width="9.140625" style="2"/>
    <col min="6650" max="6650" width="4.85546875" style="2" customWidth="1"/>
    <col min="6651" max="6651" width="30.5703125" style="2" customWidth="1"/>
    <col min="6652" max="6652" width="33.85546875" style="2" customWidth="1"/>
    <col min="6653" max="6653" width="5.140625" style="2" customWidth="1"/>
    <col min="6654" max="6655" width="17.5703125" style="2" customWidth="1"/>
    <col min="6656" max="6899" width="9.140625" style="2"/>
    <col min="6900" max="6900" width="3.5703125" style="2" customWidth="1"/>
    <col min="6901" max="6901" width="96.85546875" style="2" customWidth="1"/>
    <col min="6902" max="6902" width="30.85546875" style="2" customWidth="1"/>
    <col min="6903" max="6903" width="12.5703125" style="2" customWidth="1"/>
    <col min="6904" max="6904" width="5.140625" style="2" customWidth="1"/>
    <col min="6905" max="6905" width="9.140625" style="2"/>
    <col min="6906" max="6906" width="4.85546875" style="2" customWidth="1"/>
    <col min="6907" max="6907" width="30.5703125" style="2" customWidth="1"/>
    <col min="6908" max="6908" width="33.85546875" style="2" customWidth="1"/>
    <col min="6909" max="6909" width="5.140625" style="2" customWidth="1"/>
    <col min="6910" max="6911" width="17.5703125" style="2" customWidth="1"/>
    <col min="6912" max="7155" width="9.140625" style="2"/>
    <col min="7156" max="7156" width="3.5703125" style="2" customWidth="1"/>
    <col min="7157" max="7157" width="96.85546875" style="2" customWidth="1"/>
    <col min="7158" max="7158" width="30.85546875" style="2" customWidth="1"/>
    <col min="7159" max="7159" width="12.5703125" style="2" customWidth="1"/>
    <col min="7160" max="7160" width="5.140625" style="2" customWidth="1"/>
    <col min="7161" max="7161" width="9.140625" style="2"/>
    <col min="7162" max="7162" width="4.85546875" style="2" customWidth="1"/>
    <col min="7163" max="7163" width="30.5703125" style="2" customWidth="1"/>
    <col min="7164" max="7164" width="33.85546875" style="2" customWidth="1"/>
    <col min="7165" max="7165" width="5.140625" style="2" customWidth="1"/>
    <col min="7166" max="7167" width="17.5703125" style="2" customWidth="1"/>
    <col min="7168" max="7411" width="9.140625" style="2"/>
    <col min="7412" max="7412" width="3.5703125" style="2" customWidth="1"/>
    <col min="7413" max="7413" width="96.85546875" style="2" customWidth="1"/>
    <col min="7414" max="7414" width="30.85546875" style="2" customWidth="1"/>
    <col min="7415" max="7415" width="12.5703125" style="2" customWidth="1"/>
    <col min="7416" max="7416" width="5.140625" style="2" customWidth="1"/>
    <col min="7417" max="7417" width="9.140625" style="2"/>
    <col min="7418" max="7418" width="4.85546875" style="2" customWidth="1"/>
    <col min="7419" max="7419" width="30.5703125" style="2" customWidth="1"/>
    <col min="7420" max="7420" width="33.85546875" style="2" customWidth="1"/>
    <col min="7421" max="7421" width="5.140625" style="2" customWidth="1"/>
    <col min="7422" max="7423" width="17.5703125" style="2" customWidth="1"/>
    <col min="7424" max="7667" width="9.140625" style="2"/>
    <col min="7668" max="7668" width="3.5703125" style="2" customWidth="1"/>
    <col min="7669" max="7669" width="96.85546875" style="2" customWidth="1"/>
    <col min="7670" max="7670" width="30.85546875" style="2" customWidth="1"/>
    <col min="7671" max="7671" width="12.5703125" style="2" customWidth="1"/>
    <col min="7672" max="7672" width="5.140625" style="2" customWidth="1"/>
    <col min="7673" max="7673" width="9.140625" style="2"/>
    <col min="7674" max="7674" width="4.85546875" style="2" customWidth="1"/>
    <col min="7675" max="7675" width="30.5703125" style="2" customWidth="1"/>
    <col min="7676" max="7676" width="33.85546875" style="2" customWidth="1"/>
    <col min="7677" max="7677" width="5.140625" style="2" customWidth="1"/>
    <col min="7678" max="7679" width="17.5703125" style="2" customWidth="1"/>
    <col min="7680" max="7923" width="9.140625" style="2"/>
    <col min="7924" max="7924" width="3.5703125" style="2" customWidth="1"/>
    <col min="7925" max="7925" width="96.85546875" style="2" customWidth="1"/>
    <col min="7926" max="7926" width="30.85546875" style="2" customWidth="1"/>
    <col min="7927" max="7927" width="12.5703125" style="2" customWidth="1"/>
    <col min="7928" max="7928" width="5.140625" style="2" customWidth="1"/>
    <col min="7929" max="7929" width="9.140625" style="2"/>
    <col min="7930" max="7930" width="4.85546875" style="2" customWidth="1"/>
    <col min="7931" max="7931" width="30.5703125" style="2" customWidth="1"/>
    <col min="7932" max="7932" width="33.85546875" style="2" customWidth="1"/>
    <col min="7933" max="7933" width="5.140625" style="2" customWidth="1"/>
    <col min="7934" max="7935" width="17.5703125" style="2" customWidth="1"/>
    <col min="7936" max="8179" width="9.140625" style="2"/>
    <col min="8180" max="8180" width="3.5703125" style="2" customWidth="1"/>
    <col min="8181" max="8181" width="96.85546875" style="2" customWidth="1"/>
    <col min="8182" max="8182" width="30.85546875" style="2" customWidth="1"/>
    <col min="8183" max="8183" width="12.5703125" style="2" customWidth="1"/>
    <col min="8184" max="8184" width="5.140625" style="2" customWidth="1"/>
    <col min="8185" max="8185" width="9.140625" style="2"/>
    <col min="8186" max="8186" width="4.85546875" style="2" customWidth="1"/>
    <col min="8187" max="8187" width="30.5703125" style="2" customWidth="1"/>
    <col min="8188" max="8188" width="33.85546875" style="2" customWidth="1"/>
    <col min="8189" max="8189" width="5.140625" style="2" customWidth="1"/>
    <col min="8190" max="8191" width="17.5703125" style="2" customWidth="1"/>
    <col min="8192" max="8435" width="9.140625" style="2"/>
    <col min="8436" max="8436" width="3.5703125" style="2" customWidth="1"/>
    <col min="8437" max="8437" width="96.85546875" style="2" customWidth="1"/>
    <col min="8438" max="8438" width="30.85546875" style="2" customWidth="1"/>
    <col min="8439" max="8439" width="12.5703125" style="2" customWidth="1"/>
    <col min="8440" max="8440" width="5.140625" style="2" customWidth="1"/>
    <col min="8441" max="8441" width="9.140625" style="2"/>
    <col min="8442" max="8442" width="4.85546875" style="2" customWidth="1"/>
    <col min="8443" max="8443" width="30.5703125" style="2" customWidth="1"/>
    <col min="8444" max="8444" width="33.85546875" style="2" customWidth="1"/>
    <col min="8445" max="8445" width="5.140625" style="2" customWidth="1"/>
    <col min="8446" max="8447" width="17.5703125" style="2" customWidth="1"/>
    <col min="8448" max="8691" width="9.140625" style="2"/>
    <col min="8692" max="8692" width="3.5703125" style="2" customWidth="1"/>
    <col min="8693" max="8693" width="96.85546875" style="2" customWidth="1"/>
    <col min="8694" max="8694" width="30.85546875" style="2" customWidth="1"/>
    <col min="8695" max="8695" width="12.5703125" style="2" customWidth="1"/>
    <col min="8696" max="8696" width="5.140625" style="2" customWidth="1"/>
    <col min="8697" max="8697" width="9.140625" style="2"/>
    <col min="8698" max="8698" width="4.85546875" style="2" customWidth="1"/>
    <col min="8699" max="8699" width="30.5703125" style="2" customWidth="1"/>
    <col min="8700" max="8700" width="33.85546875" style="2" customWidth="1"/>
    <col min="8701" max="8701" width="5.140625" style="2" customWidth="1"/>
    <col min="8702" max="8703" width="17.5703125" style="2" customWidth="1"/>
    <col min="8704" max="8947" width="9.140625" style="2"/>
    <col min="8948" max="8948" width="3.5703125" style="2" customWidth="1"/>
    <col min="8949" max="8949" width="96.85546875" style="2" customWidth="1"/>
    <col min="8950" max="8950" width="30.85546875" style="2" customWidth="1"/>
    <col min="8951" max="8951" width="12.5703125" style="2" customWidth="1"/>
    <col min="8952" max="8952" width="5.140625" style="2" customWidth="1"/>
    <col min="8953" max="8953" width="9.140625" style="2"/>
    <col min="8954" max="8954" width="4.85546875" style="2" customWidth="1"/>
    <col min="8955" max="8955" width="30.5703125" style="2" customWidth="1"/>
    <col min="8956" max="8956" width="33.85546875" style="2" customWidth="1"/>
    <col min="8957" max="8957" width="5.140625" style="2" customWidth="1"/>
    <col min="8958" max="8959" width="17.5703125" style="2" customWidth="1"/>
    <col min="8960" max="9203" width="9.140625" style="2"/>
    <col min="9204" max="9204" width="3.5703125" style="2" customWidth="1"/>
    <col min="9205" max="9205" width="96.85546875" style="2" customWidth="1"/>
    <col min="9206" max="9206" width="30.85546875" style="2" customWidth="1"/>
    <col min="9207" max="9207" width="12.5703125" style="2" customWidth="1"/>
    <col min="9208" max="9208" width="5.140625" style="2" customWidth="1"/>
    <col min="9209" max="9209" width="9.140625" style="2"/>
    <col min="9210" max="9210" width="4.85546875" style="2" customWidth="1"/>
    <col min="9211" max="9211" width="30.5703125" style="2" customWidth="1"/>
    <col min="9212" max="9212" width="33.85546875" style="2" customWidth="1"/>
    <col min="9213" max="9213" width="5.140625" style="2" customWidth="1"/>
    <col min="9214" max="9215" width="17.5703125" style="2" customWidth="1"/>
    <col min="9216" max="9459" width="9.140625" style="2"/>
    <col min="9460" max="9460" width="3.5703125" style="2" customWidth="1"/>
    <col min="9461" max="9461" width="96.85546875" style="2" customWidth="1"/>
    <col min="9462" max="9462" width="30.85546875" style="2" customWidth="1"/>
    <col min="9463" max="9463" width="12.5703125" style="2" customWidth="1"/>
    <col min="9464" max="9464" width="5.140625" style="2" customWidth="1"/>
    <col min="9465" max="9465" width="9.140625" style="2"/>
    <col min="9466" max="9466" width="4.85546875" style="2" customWidth="1"/>
    <col min="9467" max="9467" width="30.5703125" style="2" customWidth="1"/>
    <col min="9468" max="9468" width="33.85546875" style="2" customWidth="1"/>
    <col min="9469" max="9469" width="5.140625" style="2" customWidth="1"/>
    <col min="9470" max="9471" width="17.5703125" style="2" customWidth="1"/>
    <col min="9472" max="9715" width="9.140625" style="2"/>
    <col min="9716" max="9716" width="3.5703125" style="2" customWidth="1"/>
    <col min="9717" max="9717" width="96.85546875" style="2" customWidth="1"/>
    <col min="9718" max="9718" width="30.85546875" style="2" customWidth="1"/>
    <col min="9719" max="9719" width="12.5703125" style="2" customWidth="1"/>
    <col min="9720" max="9720" width="5.140625" style="2" customWidth="1"/>
    <col min="9721" max="9721" width="9.140625" style="2"/>
    <col min="9722" max="9722" width="4.85546875" style="2" customWidth="1"/>
    <col min="9723" max="9723" width="30.5703125" style="2" customWidth="1"/>
    <col min="9724" max="9724" width="33.85546875" style="2" customWidth="1"/>
    <col min="9725" max="9725" width="5.140625" style="2" customWidth="1"/>
    <col min="9726" max="9727" width="17.5703125" style="2" customWidth="1"/>
    <col min="9728" max="9971" width="9.140625" style="2"/>
    <col min="9972" max="9972" width="3.5703125" style="2" customWidth="1"/>
    <col min="9973" max="9973" width="96.85546875" style="2" customWidth="1"/>
    <col min="9974" max="9974" width="30.85546875" style="2" customWidth="1"/>
    <col min="9975" max="9975" width="12.5703125" style="2" customWidth="1"/>
    <col min="9976" max="9976" width="5.140625" style="2" customWidth="1"/>
    <col min="9977" max="9977" width="9.140625" style="2"/>
    <col min="9978" max="9978" width="4.85546875" style="2" customWidth="1"/>
    <col min="9979" max="9979" width="30.5703125" style="2" customWidth="1"/>
    <col min="9980" max="9980" width="33.85546875" style="2" customWidth="1"/>
    <col min="9981" max="9981" width="5.140625" style="2" customWidth="1"/>
    <col min="9982" max="9983" width="17.5703125" style="2" customWidth="1"/>
    <col min="9984" max="10227" width="9.140625" style="2"/>
    <col min="10228" max="10228" width="3.5703125" style="2" customWidth="1"/>
    <col min="10229" max="10229" width="96.85546875" style="2" customWidth="1"/>
    <col min="10230" max="10230" width="30.85546875" style="2" customWidth="1"/>
    <col min="10231" max="10231" width="12.5703125" style="2" customWidth="1"/>
    <col min="10232" max="10232" width="5.140625" style="2" customWidth="1"/>
    <col min="10233" max="10233" width="9.140625" style="2"/>
    <col min="10234" max="10234" width="4.85546875" style="2" customWidth="1"/>
    <col min="10235" max="10235" width="30.5703125" style="2" customWidth="1"/>
    <col min="10236" max="10236" width="33.85546875" style="2" customWidth="1"/>
    <col min="10237" max="10237" width="5.140625" style="2" customWidth="1"/>
    <col min="10238" max="10239" width="17.5703125" style="2" customWidth="1"/>
    <col min="10240" max="10483" width="9.140625" style="2"/>
    <col min="10484" max="10484" width="3.5703125" style="2" customWidth="1"/>
    <col min="10485" max="10485" width="96.85546875" style="2" customWidth="1"/>
    <col min="10486" max="10486" width="30.85546875" style="2" customWidth="1"/>
    <col min="10487" max="10487" width="12.5703125" style="2" customWidth="1"/>
    <col min="10488" max="10488" width="5.140625" style="2" customWidth="1"/>
    <col min="10489" max="10489" width="9.140625" style="2"/>
    <col min="10490" max="10490" width="4.85546875" style="2" customWidth="1"/>
    <col min="10491" max="10491" width="30.5703125" style="2" customWidth="1"/>
    <col min="10492" max="10492" width="33.85546875" style="2" customWidth="1"/>
    <col min="10493" max="10493" width="5.140625" style="2" customWidth="1"/>
    <col min="10494" max="10495" width="17.5703125" style="2" customWidth="1"/>
    <col min="10496" max="10739" width="9.140625" style="2"/>
    <col min="10740" max="10740" width="3.5703125" style="2" customWidth="1"/>
    <col min="10741" max="10741" width="96.85546875" style="2" customWidth="1"/>
    <col min="10742" max="10742" width="30.85546875" style="2" customWidth="1"/>
    <col min="10743" max="10743" width="12.5703125" style="2" customWidth="1"/>
    <col min="10744" max="10744" width="5.140625" style="2" customWidth="1"/>
    <col min="10745" max="10745" width="9.140625" style="2"/>
    <col min="10746" max="10746" width="4.85546875" style="2" customWidth="1"/>
    <col min="10747" max="10747" width="30.5703125" style="2" customWidth="1"/>
    <col min="10748" max="10748" width="33.85546875" style="2" customWidth="1"/>
    <col min="10749" max="10749" width="5.140625" style="2" customWidth="1"/>
    <col min="10750" max="10751" width="17.5703125" style="2" customWidth="1"/>
    <col min="10752" max="10995" width="9.140625" style="2"/>
    <col min="10996" max="10996" width="3.5703125" style="2" customWidth="1"/>
    <col min="10997" max="10997" width="96.85546875" style="2" customWidth="1"/>
    <col min="10998" max="10998" width="30.85546875" style="2" customWidth="1"/>
    <col min="10999" max="10999" width="12.5703125" style="2" customWidth="1"/>
    <col min="11000" max="11000" width="5.140625" style="2" customWidth="1"/>
    <col min="11001" max="11001" width="9.140625" style="2"/>
    <col min="11002" max="11002" width="4.85546875" style="2" customWidth="1"/>
    <col min="11003" max="11003" width="30.5703125" style="2" customWidth="1"/>
    <col min="11004" max="11004" width="33.85546875" style="2" customWidth="1"/>
    <col min="11005" max="11005" width="5.140625" style="2" customWidth="1"/>
    <col min="11006" max="11007" width="17.5703125" style="2" customWidth="1"/>
    <col min="11008" max="11251" width="9.140625" style="2"/>
    <col min="11252" max="11252" width="3.5703125" style="2" customWidth="1"/>
    <col min="11253" max="11253" width="96.85546875" style="2" customWidth="1"/>
    <col min="11254" max="11254" width="30.85546875" style="2" customWidth="1"/>
    <col min="11255" max="11255" width="12.5703125" style="2" customWidth="1"/>
    <col min="11256" max="11256" width="5.140625" style="2" customWidth="1"/>
    <col min="11257" max="11257" width="9.140625" style="2"/>
    <col min="11258" max="11258" width="4.85546875" style="2" customWidth="1"/>
    <col min="11259" max="11259" width="30.5703125" style="2" customWidth="1"/>
    <col min="11260" max="11260" width="33.85546875" style="2" customWidth="1"/>
    <col min="11261" max="11261" width="5.140625" style="2" customWidth="1"/>
    <col min="11262" max="11263" width="17.5703125" style="2" customWidth="1"/>
    <col min="11264" max="11507" width="9.140625" style="2"/>
    <col min="11508" max="11508" width="3.5703125" style="2" customWidth="1"/>
    <col min="11509" max="11509" width="96.85546875" style="2" customWidth="1"/>
    <col min="11510" max="11510" width="30.85546875" style="2" customWidth="1"/>
    <col min="11511" max="11511" width="12.5703125" style="2" customWidth="1"/>
    <col min="11512" max="11512" width="5.140625" style="2" customWidth="1"/>
    <col min="11513" max="11513" width="9.140625" style="2"/>
    <col min="11514" max="11514" width="4.85546875" style="2" customWidth="1"/>
    <col min="11515" max="11515" width="30.5703125" style="2" customWidth="1"/>
    <col min="11516" max="11516" width="33.85546875" style="2" customWidth="1"/>
    <col min="11517" max="11517" width="5.140625" style="2" customWidth="1"/>
    <col min="11518" max="11519" width="17.5703125" style="2" customWidth="1"/>
    <col min="11520" max="11763" width="9.140625" style="2"/>
    <col min="11764" max="11764" width="3.5703125" style="2" customWidth="1"/>
    <col min="11765" max="11765" width="96.85546875" style="2" customWidth="1"/>
    <col min="11766" max="11766" width="30.85546875" style="2" customWidth="1"/>
    <col min="11767" max="11767" width="12.5703125" style="2" customWidth="1"/>
    <col min="11768" max="11768" width="5.140625" style="2" customWidth="1"/>
    <col min="11769" max="11769" width="9.140625" style="2"/>
    <col min="11770" max="11770" width="4.85546875" style="2" customWidth="1"/>
    <col min="11771" max="11771" width="30.5703125" style="2" customWidth="1"/>
    <col min="11772" max="11772" width="33.85546875" style="2" customWidth="1"/>
    <col min="11773" max="11773" width="5.140625" style="2" customWidth="1"/>
    <col min="11774" max="11775" width="17.5703125" style="2" customWidth="1"/>
    <col min="11776" max="12019" width="9.140625" style="2"/>
    <col min="12020" max="12020" width="3.5703125" style="2" customWidth="1"/>
    <col min="12021" max="12021" width="96.85546875" style="2" customWidth="1"/>
    <col min="12022" max="12022" width="30.85546875" style="2" customWidth="1"/>
    <col min="12023" max="12023" width="12.5703125" style="2" customWidth="1"/>
    <col min="12024" max="12024" width="5.140625" style="2" customWidth="1"/>
    <col min="12025" max="12025" width="9.140625" style="2"/>
    <col min="12026" max="12026" width="4.85546875" style="2" customWidth="1"/>
    <col min="12027" max="12027" width="30.5703125" style="2" customWidth="1"/>
    <col min="12028" max="12028" width="33.85546875" style="2" customWidth="1"/>
    <col min="12029" max="12029" width="5.140625" style="2" customWidth="1"/>
    <col min="12030" max="12031" width="17.5703125" style="2" customWidth="1"/>
    <col min="12032" max="12275" width="9.140625" style="2"/>
    <col min="12276" max="12276" width="3.5703125" style="2" customWidth="1"/>
    <col min="12277" max="12277" width="96.85546875" style="2" customWidth="1"/>
    <col min="12278" max="12278" width="30.85546875" style="2" customWidth="1"/>
    <col min="12279" max="12279" width="12.5703125" style="2" customWidth="1"/>
    <col min="12280" max="12280" width="5.140625" style="2" customWidth="1"/>
    <col min="12281" max="12281" width="9.140625" style="2"/>
    <col min="12282" max="12282" width="4.85546875" style="2" customWidth="1"/>
    <col min="12283" max="12283" width="30.5703125" style="2" customWidth="1"/>
    <col min="12284" max="12284" width="33.85546875" style="2" customWidth="1"/>
    <col min="12285" max="12285" width="5.140625" style="2" customWidth="1"/>
    <col min="12286" max="12287" width="17.5703125" style="2" customWidth="1"/>
    <col min="12288" max="12531" width="9.140625" style="2"/>
    <col min="12532" max="12532" width="3.5703125" style="2" customWidth="1"/>
    <col min="12533" max="12533" width="96.85546875" style="2" customWidth="1"/>
    <col min="12534" max="12534" width="30.85546875" style="2" customWidth="1"/>
    <col min="12535" max="12535" width="12.5703125" style="2" customWidth="1"/>
    <col min="12536" max="12536" width="5.140625" style="2" customWidth="1"/>
    <col min="12537" max="12537" width="9.140625" style="2"/>
    <col min="12538" max="12538" width="4.85546875" style="2" customWidth="1"/>
    <col min="12539" max="12539" width="30.5703125" style="2" customWidth="1"/>
    <col min="12540" max="12540" width="33.85546875" style="2" customWidth="1"/>
    <col min="12541" max="12541" width="5.140625" style="2" customWidth="1"/>
    <col min="12542" max="12543" width="17.5703125" style="2" customWidth="1"/>
    <col min="12544" max="12787" width="9.140625" style="2"/>
    <col min="12788" max="12788" width="3.5703125" style="2" customWidth="1"/>
    <col min="12789" max="12789" width="96.85546875" style="2" customWidth="1"/>
    <col min="12790" max="12790" width="30.85546875" style="2" customWidth="1"/>
    <col min="12791" max="12791" width="12.5703125" style="2" customWidth="1"/>
    <col min="12792" max="12792" width="5.140625" style="2" customWidth="1"/>
    <col min="12793" max="12793" width="9.140625" style="2"/>
    <col min="12794" max="12794" width="4.85546875" style="2" customWidth="1"/>
    <col min="12795" max="12795" width="30.5703125" style="2" customWidth="1"/>
    <col min="12796" max="12796" width="33.85546875" style="2" customWidth="1"/>
    <col min="12797" max="12797" width="5.140625" style="2" customWidth="1"/>
    <col min="12798" max="12799" width="17.5703125" style="2" customWidth="1"/>
    <col min="12800" max="13043" width="9.140625" style="2"/>
    <col min="13044" max="13044" width="3.5703125" style="2" customWidth="1"/>
    <col min="13045" max="13045" width="96.85546875" style="2" customWidth="1"/>
    <col min="13046" max="13046" width="30.85546875" style="2" customWidth="1"/>
    <col min="13047" max="13047" width="12.5703125" style="2" customWidth="1"/>
    <col min="13048" max="13048" width="5.140625" style="2" customWidth="1"/>
    <col min="13049" max="13049" width="9.140625" style="2"/>
    <col min="13050" max="13050" width="4.85546875" style="2" customWidth="1"/>
    <col min="13051" max="13051" width="30.5703125" style="2" customWidth="1"/>
    <col min="13052" max="13052" width="33.85546875" style="2" customWidth="1"/>
    <col min="13053" max="13053" width="5.140625" style="2" customWidth="1"/>
    <col min="13054" max="13055" width="17.5703125" style="2" customWidth="1"/>
    <col min="13056" max="13299" width="9.140625" style="2"/>
    <col min="13300" max="13300" width="3.5703125" style="2" customWidth="1"/>
    <col min="13301" max="13301" width="96.85546875" style="2" customWidth="1"/>
    <col min="13302" max="13302" width="30.85546875" style="2" customWidth="1"/>
    <col min="13303" max="13303" width="12.5703125" style="2" customWidth="1"/>
    <col min="13304" max="13304" width="5.140625" style="2" customWidth="1"/>
    <col min="13305" max="13305" width="9.140625" style="2"/>
    <col min="13306" max="13306" width="4.85546875" style="2" customWidth="1"/>
    <col min="13307" max="13307" width="30.5703125" style="2" customWidth="1"/>
    <col min="13308" max="13308" width="33.85546875" style="2" customWidth="1"/>
    <col min="13309" max="13309" width="5.140625" style="2" customWidth="1"/>
    <col min="13310" max="13311" width="17.5703125" style="2" customWidth="1"/>
    <col min="13312" max="13555" width="9.140625" style="2"/>
    <col min="13556" max="13556" width="3.5703125" style="2" customWidth="1"/>
    <col min="13557" max="13557" width="96.85546875" style="2" customWidth="1"/>
    <col min="13558" max="13558" width="30.85546875" style="2" customWidth="1"/>
    <col min="13559" max="13559" width="12.5703125" style="2" customWidth="1"/>
    <col min="13560" max="13560" width="5.140625" style="2" customWidth="1"/>
    <col min="13561" max="13561" width="9.140625" style="2"/>
    <col min="13562" max="13562" width="4.85546875" style="2" customWidth="1"/>
    <col min="13563" max="13563" width="30.5703125" style="2" customWidth="1"/>
    <col min="13564" max="13564" width="33.85546875" style="2" customWidth="1"/>
    <col min="13565" max="13565" width="5.140625" style="2" customWidth="1"/>
    <col min="13566" max="13567" width="17.5703125" style="2" customWidth="1"/>
    <col min="13568" max="13811" width="9.140625" style="2"/>
    <col min="13812" max="13812" width="3.5703125" style="2" customWidth="1"/>
    <col min="13813" max="13813" width="96.85546875" style="2" customWidth="1"/>
    <col min="13814" max="13814" width="30.85546875" style="2" customWidth="1"/>
    <col min="13815" max="13815" width="12.5703125" style="2" customWidth="1"/>
    <col min="13816" max="13816" width="5.140625" style="2" customWidth="1"/>
    <col min="13817" max="13817" width="9.140625" style="2"/>
    <col min="13818" max="13818" width="4.85546875" style="2" customWidth="1"/>
    <col min="13819" max="13819" width="30.5703125" style="2" customWidth="1"/>
    <col min="13820" max="13820" width="33.85546875" style="2" customWidth="1"/>
    <col min="13821" max="13821" width="5.140625" style="2" customWidth="1"/>
    <col min="13822" max="13823" width="17.5703125" style="2" customWidth="1"/>
    <col min="13824" max="14067" width="9.140625" style="2"/>
    <col min="14068" max="14068" width="3.5703125" style="2" customWidth="1"/>
    <col min="14069" max="14069" width="96.85546875" style="2" customWidth="1"/>
    <col min="14070" max="14070" width="30.85546875" style="2" customWidth="1"/>
    <col min="14071" max="14071" width="12.5703125" style="2" customWidth="1"/>
    <col min="14072" max="14072" width="5.140625" style="2" customWidth="1"/>
    <col min="14073" max="14073" width="9.140625" style="2"/>
    <col min="14074" max="14074" width="4.85546875" style="2" customWidth="1"/>
    <col min="14075" max="14075" width="30.5703125" style="2" customWidth="1"/>
    <col min="14076" max="14076" width="33.85546875" style="2" customWidth="1"/>
    <col min="14077" max="14077" width="5.140625" style="2" customWidth="1"/>
    <col min="14078" max="14079" width="17.5703125" style="2" customWidth="1"/>
    <col min="14080" max="14323" width="9.140625" style="2"/>
    <col min="14324" max="14324" width="3.5703125" style="2" customWidth="1"/>
    <col min="14325" max="14325" width="96.85546875" style="2" customWidth="1"/>
    <col min="14326" max="14326" width="30.85546875" style="2" customWidth="1"/>
    <col min="14327" max="14327" width="12.5703125" style="2" customWidth="1"/>
    <col min="14328" max="14328" width="5.140625" style="2" customWidth="1"/>
    <col min="14329" max="14329" width="9.140625" style="2"/>
    <col min="14330" max="14330" width="4.85546875" style="2" customWidth="1"/>
    <col min="14331" max="14331" width="30.5703125" style="2" customWidth="1"/>
    <col min="14332" max="14332" width="33.85546875" style="2" customWidth="1"/>
    <col min="14333" max="14333" width="5.140625" style="2" customWidth="1"/>
    <col min="14334" max="14335" width="17.5703125" style="2" customWidth="1"/>
    <col min="14336" max="14579" width="9.140625" style="2"/>
    <col min="14580" max="14580" width="3.5703125" style="2" customWidth="1"/>
    <col min="14581" max="14581" width="96.85546875" style="2" customWidth="1"/>
    <col min="14582" max="14582" width="30.85546875" style="2" customWidth="1"/>
    <col min="14583" max="14583" width="12.5703125" style="2" customWidth="1"/>
    <col min="14584" max="14584" width="5.140625" style="2" customWidth="1"/>
    <col min="14585" max="14585" width="9.140625" style="2"/>
    <col min="14586" max="14586" width="4.85546875" style="2" customWidth="1"/>
    <col min="14587" max="14587" width="30.5703125" style="2" customWidth="1"/>
    <col min="14588" max="14588" width="33.85546875" style="2" customWidth="1"/>
    <col min="14589" max="14589" width="5.140625" style="2" customWidth="1"/>
    <col min="14590" max="14591" width="17.5703125" style="2" customWidth="1"/>
    <col min="14592" max="14835" width="9.140625" style="2"/>
    <col min="14836" max="14836" width="3.5703125" style="2" customWidth="1"/>
    <col min="14837" max="14837" width="96.85546875" style="2" customWidth="1"/>
    <col min="14838" max="14838" width="30.85546875" style="2" customWidth="1"/>
    <col min="14839" max="14839" width="12.5703125" style="2" customWidth="1"/>
    <col min="14840" max="14840" width="5.140625" style="2" customWidth="1"/>
    <col min="14841" max="14841" width="9.140625" style="2"/>
    <col min="14842" max="14842" width="4.85546875" style="2" customWidth="1"/>
    <col min="14843" max="14843" width="30.5703125" style="2" customWidth="1"/>
    <col min="14844" max="14844" width="33.85546875" style="2" customWidth="1"/>
    <col min="14845" max="14845" width="5.140625" style="2" customWidth="1"/>
    <col min="14846" max="14847" width="17.5703125" style="2" customWidth="1"/>
    <col min="14848" max="15091" width="9.140625" style="2"/>
    <col min="15092" max="15092" width="3.5703125" style="2" customWidth="1"/>
    <col min="15093" max="15093" width="96.85546875" style="2" customWidth="1"/>
    <col min="15094" max="15094" width="30.85546875" style="2" customWidth="1"/>
    <col min="15095" max="15095" width="12.5703125" style="2" customWidth="1"/>
    <col min="15096" max="15096" width="5.140625" style="2" customWidth="1"/>
    <col min="15097" max="15097" width="9.140625" style="2"/>
    <col min="15098" max="15098" width="4.85546875" style="2" customWidth="1"/>
    <col min="15099" max="15099" width="30.5703125" style="2" customWidth="1"/>
    <col min="15100" max="15100" width="33.85546875" style="2" customWidth="1"/>
    <col min="15101" max="15101" width="5.140625" style="2" customWidth="1"/>
    <col min="15102" max="15103" width="17.5703125" style="2" customWidth="1"/>
    <col min="15104" max="15347" width="9.140625" style="2"/>
    <col min="15348" max="15348" width="3.5703125" style="2" customWidth="1"/>
    <col min="15349" max="15349" width="96.85546875" style="2" customWidth="1"/>
    <col min="15350" max="15350" width="30.85546875" style="2" customWidth="1"/>
    <col min="15351" max="15351" width="12.5703125" style="2" customWidth="1"/>
    <col min="15352" max="15352" width="5.140625" style="2" customWidth="1"/>
    <col min="15353" max="15353" width="9.140625" style="2"/>
    <col min="15354" max="15354" width="4.85546875" style="2" customWidth="1"/>
    <col min="15355" max="15355" width="30.5703125" style="2" customWidth="1"/>
    <col min="15356" max="15356" width="33.85546875" style="2" customWidth="1"/>
    <col min="15357" max="15357" width="5.140625" style="2" customWidth="1"/>
    <col min="15358" max="15359" width="17.5703125" style="2" customWidth="1"/>
    <col min="15360" max="15603" width="9.140625" style="2"/>
    <col min="15604" max="15604" width="3.5703125" style="2" customWidth="1"/>
    <col min="15605" max="15605" width="96.85546875" style="2" customWidth="1"/>
    <col min="15606" max="15606" width="30.85546875" style="2" customWidth="1"/>
    <col min="15607" max="15607" width="12.5703125" style="2" customWidth="1"/>
    <col min="15608" max="15608" width="5.140625" style="2" customWidth="1"/>
    <col min="15609" max="15609" width="9.140625" style="2"/>
    <col min="15610" max="15610" width="4.85546875" style="2" customWidth="1"/>
    <col min="15611" max="15611" width="30.5703125" style="2" customWidth="1"/>
    <col min="15612" max="15612" width="33.85546875" style="2" customWidth="1"/>
    <col min="15613" max="15613" width="5.140625" style="2" customWidth="1"/>
    <col min="15614" max="15615" width="17.5703125" style="2" customWidth="1"/>
    <col min="15616" max="15859" width="9.140625" style="2"/>
    <col min="15860" max="15860" width="3.5703125" style="2" customWidth="1"/>
    <col min="15861" max="15861" width="96.85546875" style="2" customWidth="1"/>
    <col min="15862" max="15862" width="30.85546875" style="2" customWidth="1"/>
    <col min="15863" max="15863" width="12.5703125" style="2" customWidth="1"/>
    <col min="15864" max="15864" width="5.140625" style="2" customWidth="1"/>
    <col min="15865" max="15865" width="9.140625" style="2"/>
    <col min="15866" max="15866" width="4.85546875" style="2" customWidth="1"/>
    <col min="15867" max="15867" width="30.5703125" style="2" customWidth="1"/>
    <col min="15868" max="15868" width="33.85546875" style="2" customWidth="1"/>
    <col min="15869" max="15869" width="5.140625" style="2" customWidth="1"/>
    <col min="15870" max="15871" width="17.5703125" style="2" customWidth="1"/>
    <col min="15872" max="16115" width="9.140625" style="2"/>
    <col min="16116" max="16116" width="3.5703125" style="2" customWidth="1"/>
    <col min="16117" max="16117" width="96.85546875" style="2" customWidth="1"/>
    <col min="16118" max="16118" width="30.85546875" style="2" customWidth="1"/>
    <col min="16119" max="16119" width="12.5703125" style="2" customWidth="1"/>
    <col min="16120" max="16120" width="5.140625" style="2" customWidth="1"/>
    <col min="16121" max="16121" width="9.140625" style="2"/>
    <col min="16122" max="16122" width="4.85546875" style="2" customWidth="1"/>
    <col min="16123" max="16123" width="30.5703125" style="2" customWidth="1"/>
    <col min="16124" max="16124" width="33.85546875" style="2" customWidth="1"/>
    <col min="16125" max="16125" width="5.140625" style="2" customWidth="1"/>
    <col min="16126" max="16127" width="17.5703125" style="2" customWidth="1"/>
    <col min="16128" max="16384" width="9.140625" style="2"/>
  </cols>
  <sheetData>
    <row r="1" spans="1:3" ht="48" customHeight="1" x14ac:dyDescent="0.2">
      <c r="A1" s="1"/>
      <c r="B1" s="143" t="s">
        <v>0</v>
      </c>
      <c r="C1" s="143"/>
    </row>
    <row r="2" spans="1:3" x14ac:dyDescent="0.2">
      <c r="A2" s="3"/>
      <c r="B2" s="4" t="s">
        <v>1</v>
      </c>
      <c r="C2" s="5">
        <v>46052</v>
      </c>
    </row>
    <row r="3" spans="1:3" x14ac:dyDescent="0.2">
      <c r="A3" s="3"/>
      <c r="B3" s="6" t="s">
        <v>2</v>
      </c>
    </row>
    <row r="4" spans="1:3" ht="25.5" x14ac:dyDescent="0.2">
      <c r="A4" s="8"/>
      <c r="B4" s="9" t="str">
        <f>[9]И1!D13</f>
        <v>Субъект Российской Федерации</v>
      </c>
      <c r="C4" s="10" t="str">
        <f>[9]И1!E13</f>
        <v>Новосибирская область</v>
      </c>
    </row>
    <row r="5" spans="1:3" ht="51.75" customHeight="1" x14ac:dyDescent="0.2">
      <c r="A5" s="8"/>
      <c r="B5" s="9" t="str">
        <f>[9]И1!D14</f>
        <v>Тип муниципального образования (выберите из списка)</v>
      </c>
      <c r="C5" s="10" t="str">
        <f>[10]И1!E14</f>
        <v xml:space="preserve">село Гусельниково, Искитимский муниципальный район </v>
      </c>
    </row>
    <row r="6" spans="1:3" x14ac:dyDescent="0.2">
      <c r="A6" s="8"/>
      <c r="B6" s="9" t="str">
        <f>IF([9]И1!E15="","",[9]И1!D15)</f>
        <v/>
      </c>
      <c r="C6" s="10">
        <f>IF([9]И1!E15="","",[9]И1!E15)</f>
        <v>0</v>
      </c>
    </row>
    <row r="7" spans="1:3" x14ac:dyDescent="0.2">
      <c r="A7" s="8"/>
      <c r="B7" s="9" t="str">
        <f>[9]И1!D16</f>
        <v>Код ОКТМО</v>
      </c>
      <c r="C7" s="11" t="str">
        <f>[10]И1!E16</f>
        <v>(50615410101)</v>
      </c>
    </row>
    <row r="8" spans="1:3" x14ac:dyDescent="0.2">
      <c r="A8" s="8"/>
      <c r="B8" s="12" t="str">
        <f>[9]И1!D17</f>
        <v>Система теплоснабжения</v>
      </c>
      <c r="C8" s="13">
        <f>[9]И1!E17</f>
        <v>0</v>
      </c>
    </row>
    <row r="9" spans="1:3" x14ac:dyDescent="0.2">
      <c r="A9" s="8"/>
      <c r="B9" s="9" t="str">
        <f>[9]И1!D8</f>
        <v>Период регулирования (i)-й</v>
      </c>
      <c r="C9" s="14">
        <f>[9]И1!E8</f>
        <v>2026</v>
      </c>
    </row>
    <row r="10" spans="1:3" x14ac:dyDescent="0.2">
      <c r="A10" s="8"/>
      <c r="B10" s="9" t="str">
        <f>[9]И1!D9</f>
        <v>Период регулирования (i-1)-й</v>
      </c>
      <c r="C10" s="14">
        <f>[9]И1!E9</f>
        <v>2025</v>
      </c>
    </row>
    <row r="11" spans="1:3" x14ac:dyDescent="0.2">
      <c r="A11" s="8"/>
      <c r="B11" s="9" t="str">
        <f>[9]И1!D10</f>
        <v>Период регулирования (i-2)-й</v>
      </c>
      <c r="C11" s="14">
        <f>[9]И1!E10</f>
        <v>2024</v>
      </c>
    </row>
    <row r="12" spans="1:3" x14ac:dyDescent="0.2">
      <c r="A12" s="8"/>
      <c r="B12" s="9" t="str">
        <f>[9]И1!D11</f>
        <v>Базовый год (б)</v>
      </c>
      <c r="C12" s="14">
        <f>[9]И1!E11</f>
        <v>2019</v>
      </c>
    </row>
    <row r="13" spans="1:3" x14ac:dyDescent="0.2">
      <c r="A13" s="8"/>
      <c r="B13" s="9" t="str">
        <f>[9]И1!D18</f>
        <v>Вид топлива, использование которого преобладает в системе теплоснабжения</v>
      </c>
      <c r="C13" s="15" t="str">
        <f>[9]С1.1!E13</f>
        <v>каменный уголь</v>
      </c>
    </row>
    <row r="14" spans="1:3" ht="31.7" customHeight="1" thickBot="1" x14ac:dyDescent="0.25">
      <c r="A14" s="142" t="s">
        <v>3</v>
      </c>
      <c r="B14" s="142"/>
      <c r="C14" s="142"/>
    </row>
    <row r="15" spans="1:3" x14ac:dyDescent="0.2">
      <c r="A15" s="16" t="s">
        <v>4</v>
      </c>
      <c r="B15" s="17" t="s">
        <v>5</v>
      </c>
      <c r="C15" s="18" t="s">
        <v>6</v>
      </c>
    </row>
    <row r="16" spans="1:3" x14ac:dyDescent="0.2">
      <c r="A16" s="19">
        <v>1</v>
      </c>
      <c r="B16" s="20">
        <v>2</v>
      </c>
      <c r="C16" s="21">
        <v>3</v>
      </c>
    </row>
    <row r="17" spans="1:3" x14ac:dyDescent="0.2">
      <c r="A17" s="22">
        <v>1</v>
      </c>
      <c r="B17" s="23" t="s">
        <v>7</v>
      </c>
      <c r="C17" s="24">
        <f>SUM(C18:C22)</f>
        <v>5383.6810456216408</v>
      </c>
    </row>
    <row r="18" spans="1:3" ht="42.75" x14ac:dyDescent="0.2">
      <c r="A18" s="22" t="s">
        <v>8</v>
      </c>
      <c r="B18" s="25" t="s">
        <v>9</v>
      </c>
      <c r="C18" s="26">
        <f>[9]С1!F12</f>
        <v>720.34893333841308</v>
      </c>
    </row>
    <row r="19" spans="1:3" ht="42.75" x14ac:dyDescent="0.2">
      <c r="A19" s="22" t="s">
        <v>10</v>
      </c>
      <c r="B19" s="25" t="s">
        <v>11</v>
      </c>
      <c r="C19" s="26">
        <f>[9]С2!F12</f>
        <v>3097.7824122172187</v>
      </c>
    </row>
    <row r="20" spans="1:3" ht="30" x14ac:dyDescent="0.2">
      <c r="A20" s="22" t="s">
        <v>12</v>
      </c>
      <c r="B20" s="25" t="s">
        <v>13</v>
      </c>
      <c r="C20" s="26">
        <f>[9]С3!F12</f>
        <v>940.47266370947932</v>
      </c>
    </row>
    <row r="21" spans="1:3" ht="42.75" x14ac:dyDescent="0.2">
      <c r="A21" s="22" t="s">
        <v>14</v>
      </c>
      <c r="B21" s="25" t="s">
        <v>15</v>
      </c>
      <c r="C21" s="26">
        <f>[9]С4!F12</f>
        <v>519.51466291296811</v>
      </c>
    </row>
    <row r="22" spans="1:3" ht="30" x14ac:dyDescent="0.2">
      <c r="A22" s="22" t="s">
        <v>16</v>
      </c>
      <c r="B22" s="25" t="s">
        <v>17</v>
      </c>
      <c r="C22" s="26">
        <f>[9]С5!F12</f>
        <v>105.5623734435616</v>
      </c>
    </row>
    <row r="23" spans="1:3" ht="43.5" thickBot="1" x14ac:dyDescent="0.25">
      <c r="A23" s="27" t="s">
        <v>18</v>
      </c>
      <c r="B23" s="140" t="s">
        <v>19</v>
      </c>
      <c r="C23" s="28" t="str">
        <f>[9]С6!F12</f>
        <v>-</v>
      </c>
    </row>
    <row r="24" spans="1:3" ht="13.5" thickBot="1" x14ac:dyDescent="0.25">
      <c r="A24" s="3"/>
    </row>
    <row r="25" spans="1:3" x14ac:dyDescent="0.2">
      <c r="A25" s="16" t="s">
        <v>4</v>
      </c>
      <c r="B25" s="29" t="s">
        <v>5</v>
      </c>
      <c r="C25" s="30" t="s">
        <v>6</v>
      </c>
    </row>
    <row r="26" spans="1:3" x14ac:dyDescent="0.2">
      <c r="A26" s="19">
        <v>1</v>
      </c>
      <c r="B26" s="31">
        <v>2</v>
      </c>
      <c r="C26" s="32">
        <v>3</v>
      </c>
    </row>
    <row r="27" spans="1:3" ht="39.75" customHeight="1" x14ac:dyDescent="0.2">
      <c r="A27" s="22">
        <v>1</v>
      </c>
      <c r="B27" s="144" t="s">
        <v>20</v>
      </c>
      <c r="C27" s="144"/>
    </row>
    <row r="28" spans="1:3" ht="128.25" customHeight="1" x14ac:dyDescent="0.2">
      <c r="A28" s="22" t="s">
        <v>8</v>
      </c>
      <c r="B28" s="33" t="s">
        <v>21</v>
      </c>
      <c r="C28" s="34">
        <f>[9]С1.1!E16</f>
        <v>5100</v>
      </c>
    </row>
    <row r="29" spans="1:3" ht="57.75" customHeight="1" x14ac:dyDescent="0.2">
      <c r="A29" s="22" t="s">
        <v>10</v>
      </c>
      <c r="B29" s="33" t="s">
        <v>22</v>
      </c>
      <c r="C29" s="34">
        <f>[9]С1.1!E27</f>
        <v>3098</v>
      </c>
    </row>
    <row r="30" spans="1:3" ht="261.75" customHeight="1" x14ac:dyDescent="0.2">
      <c r="A30" s="22" t="s">
        <v>12</v>
      </c>
      <c r="B30" s="33" t="s">
        <v>23</v>
      </c>
      <c r="C30" s="35">
        <f>[9]С1.1!E19</f>
        <v>-0.11899999999999999</v>
      </c>
    </row>
    <row r="31" spans="1:3" ht="17.25" x14ac:dyDescent="0.2">
      <c r="A31" s="22" t="s">
        <v>14</v>
      </c>
      <c r="B31" s="33" t="s">
        <v>24</v>
      </c>
      <c r="C31" s="35">
        <f>[9]С1.1!E20</f>
        <v>4.0000000000000001E-3</v>
      </c>
    </row>
    <row r="32" spans="1:3" ht="30" x14ac:dyDescent="0.2">
      <c r="A32" s="22" t="s">
        <v>16</v>
      </c>
      <c r="B32" s="36" t="s">
        <v>25</v>
      </c>
      <c r="C32" s="37">
        <f>[9]С1!F13</f>
        <v>176.4</v>
      </c>
    </row>
    <row r="33" spans="1:3" x14ac:dyDescent="0.2">
      <c r="A33" s="22" t="s">
        <v>18</v>
      </c>
      <c r="B33" s="36" t="s">
        <v>26</v>
      </c>
      <c r="C33" s="38">
        <f>[9]С1!F16</f>
        <v>7000</v>
      </c>
    </row>
    <row r="34" spans="1:3" ht="14.25" x14ac:dyDescent="0.2">
      <c r="A34" s="22" t="s">
        <v>27</v>
      </c>
      <c r="B34" s="39" t="s">
        <v>28</v>
      </c>
      <c r="C34" s="40">
        <f>[9]С1!F17</f>
        <v>0.72857142857142854</v>
      </c>
    </row>
    <row r="35" spans="1:3" ht="15.75" x14ac:dyDescent="0.2">
      <c r="A35" s="41" t="s">
        <v>29</v>
      </c>
      <c r="B35" s="42" t="s">
        <v>30</v>
      </c>
      <c r="C35" s="40">
        <f>[9]С1!F20</f>
        <v>21.588411179999994</v>
      </c>
    </row>
    <row r="36" spans="1:3" ht="15.75" x14ac:dyDescent="0.2">
      <c r="A36" s="41" t="s">
        <v>31</v>
      </c>
      <c r="B36" s="43" t="s">
        <v>32</v>
      </c>
      <c r="C36" s="40">
        <f>[9]С1!F21</f>
        <v>20.818139999999996</v>
      </c>
    </row>
    <row r="37" spans="1:3" ht="14.25" x14ac:dyDescent="0.2">
      <c r="A37" s="41" t="s">
        <v>33</v>
      </c>
      <c r="B37" s="44" t="s">
        <v>34</v>
      </c>
      <c r="C37" s="40">
        <f>[9]С1!F22</f>
        <v>1.0369999999999999</v>
      </c>
    </row>
    <row r="38" spans="1:3" ht="53.25" thickBot="1" x14ac:dyDescent="0.25">
      <c r="A38" s="27" t="s">
        <v>35</v>
      </c>
      <c r="B38" s="45" t="s">
        <v>36</v>
      </c>
      <c r="C38" s="46">
        <f>[9]С1!F23</f>
        <v>1.0469999999999999</v>
      </c>
    </row>
    <row r="39" spans="1:3" ht="13.5" thickBot="1" x14ac:dyDescent="0.25">
      <c r="A39" s="47"/>
      <c r="B39" s="48"/>
      <c r="C39" s="49"/>
    </row>
    <row r="40" spans="1:3" ht="30" customHeight="1" x14ac:dyDescent="0.2">
      <c r="A40" s="50" t="s">
        <v>37</v>
      </c>
      <c r="B40" s="145" t="s">
        <v>38</v>
      </c>
      <c r="C40" s="145"/>
    </row>
    <row r="41" spans="1:3" ht="25.5" x14ac:dyDescent="0.2">
      <c r="A41" s="22" t="s">
        <v>39</v>
      </c>
      <c r="B41" s="36" t="s">
        <v>40</v>
      </c>
      <c r="C41" s="51" t="str">
        <f>[9]С2.1!E12</f>
        <v>V</v>
      </c>
    </row>
    <row r="42" spans="1:3" ht="233.25" customHeight="1" x14ac:dyDescent="0.2">
      <c r="A42" s="22" t="s">
        <v>41</v>
      </c>
      <c r="B42" s="33" t="s">
        <v>42</v>
      </c>
      <c r="C42" s="51" t="str">
        <f>[9]С2.1!E13</f>
        <v>6 и менее баллов</v>
      </c>
    </row>
    <row r="43" spans="1:3" ht="144.75" customHeight="1" x14ac:dyDescent="0.2">
      <c r="A43" s="22" t="s">
        <v>43</v>
      </c>
      <c r="B43" s="33" t="s">
        <v>44</v>
      </c>
      <c r="C43" s="51" t="str">
        <f>[9]С2.1!E14</f>
        <v>от 200 до 500</v>
      </c>
    </row>
    <row r="44" spans="1:3" ht="25.5" x14ac:dyDescent="0.2">
      <c r="A44" s="22" t="s">
        <v>45</v>
      </c>
      <c r="B44" s="33" t="s">
        <v>46</v>
      </c>
      <c r="C44" s="52" t="str">
        <f>[9]С2.1!E15</f>
        <v>нет</v>
      </c>
    </row>
    <row r="45" spans="1:3" ht="30" x14ac:dyDescent="0.2">
      <c r="A45" s="22" t="s">
        <v>47</v>
      </c>
      <c r="B45" s="33" t="s">
        <v>48</v>
      </c>
      <c r="C45" s="34">
        <f>[9]С2!F18</f>
        <v>40220.845230503684</v>
      </c>
    </row>
    <row r="46" spans="1:3" ht="30" x14ac:dyDescent="0.2">
      <c r="A46" s="22" t="s">
        <v>49</v>
      </c>
      <c r="B46" s="53" t="s">
        <v>50</v>
      </c>
      <c r="C46" s="34">
        <f>IF([9]С2!F19&gt;0,[9]С2!F19,[9]С2!F20)</f>
        <v>23441.524932855718</v>
      </c>
    </row>
    <row r="47" spans="1:3" ht="46.5" customHeight="1" x14ac:dyDescent="0.2">
      <c r="A47" s="22" t="s">
        <v>51</v>
      </c>
      <c r="B47" s="54" t="s">
        <v>52</v>
      </c>
      <c r="C47" s="34">
        <f>[9]С2.1!E19</f>
        <v>-38</v>
      </c>
    </row>
    <row r="48" spans="1:3" ht="25.5" x14ac:dyDescent="0.2">
      <c r="A48" s="22" t="s">
        <v>53</v>
      </c>
      <c r="B48" s="54" t="s">
        <v>54</v>
      </c>
      <c r="C48" s="34" t="str">
        <f>[9]С2.1!E22</f>
        <v>нет</v>
      </c>
    </row>
    <row r="49" spans="1:3" ht="38.25" x14ac:dyDescent="0.2">
      <c r="A49" s="22" t="s">
        <v>55</v>
      </c>
      <c r="B49" s="55" t="s">
        <v>56</v>
      </c>
      <c r="C49" s="34">
        <f>[9]С2.2!E10</f>
        <v>1287</v>
      </c>
    </row>
    <row r="50" spans="1:3" ht="25.5" x14ac:dyDescent="0.2">
      <c r="A50" s="22" t="s">
        <v>57</v>
      </c>
      <c r="B50" s="56" t="s">
        <v>58</v>
      </c>
      <c r="C50" s="34">
        <f>[9]С2.2!E12</f>
        <v>5.97</v>
      </c>
    </row>
    <row r="51" spans="1:3" ht="52.5" x14ac:dyDescent="0.2">
      <c r="A51" s="22" t="s">
        <v>59</v>
      </c>
      <c r="B51" s="57" t="s">
        <v>60</v>
      </c>
      <c r="C51" s="34">
        <f>[9]С2.2!E13</f>
        <v>1</v>
      </c>
    </row>
    <row r="52" spans="1:3" ht="27.75" x14ac:dyDescent="0.2">
      <c r="A52" s="22" t="s">
        <v>61</v>
      </c>
      <c r="B52" s="56" t="s">
        <v>62</v>
      </c>
      <c r="C52" s="34">
        <f>[9]С2.2!E14</f>
        <v>12104</v>
      </c>
    </row>
    <row r="53" spans="1:3" ht="79.5" customHeight="1" x14ac:dyDescent="0.2">
      <c r="A53" s="22" t="s">
        <v>63</v>
      </c>
      <c r="B53" s="57" t="s">
        <v>64</v>
      </c>
      <c r="C53" s="35">
        <f>[9]С2.2!E15</f>
        <v>4.8000000000000001E-2</v>
      </c>
    </row>
    <row r="54" spans="1:3" x14ac:dyDescent="0.2">
      <c r="A54" s="22" t="s">
        <v>65</v>
      </c>
      <c r="B54" s="57" t="s">
        <v>66</v>
      </c>
      <c r="C54" s="34">
        <f>[9]С2.2!E16</f>
        <v>1</v>
      </c>
    </row>
    <row r="55" spans="1:3" ht="15.75" x14ac:dyDescent="0.2">
      <c r="A55" s="22" t="s">
        <v>67</v>
      </c>
      <c r="B55" s="58" t="s">
        <v>68</v>
      </c>
      <c r="C55" s="34">
        <f>[9]С2!F21</f>
        <v>1</v>
      </c>
    </row>
    <row r="56" spans="1:3" ht="30" x14ac:dyDescent="0.2">
      <c r="A56" s="59" t="s">
        <v>69</v>
      </c>
      <c r="B56" s="33" t="s">
        <v>70</v>
      </c>
      <c r="C56" s="34">
        <f>[9]С2!F13</f>
        <v>210571.60987470482</v>
      </c>
    </row>
    <row r="57" spans="1:3" ht="30" x14ac:dyDescent="0.2">
      <c r="A57" s="59" t="s">
        <v>71</v>
      </c>
      <c r="B57" s="58" t="s">
        <v>72</v>
      </c>
      <c r="C57" s="34">
        <f>[9]С2!F14</f>
        <v>113455</v>
      </c>
    </row>
    <row r="58" spans="1:3" ht="15.75" x14ac:dyDescent="0.2">
      <c r="A58" s="59" t="s">
        <v>73</v>
      </c>
      <c r="B58" s="60" t="s">
        <v>74</v>
      </c>
      <c r="C58" s="40">
        <f>[9]С2!F15</f>
        <v>1.071</v>
      </c>
    </row>
    <row r="59" spans="1:3" ht="15.75" x14ac:dyDescent="0.2">
      <c r="A59" s="59" t="s">
        <v>75</v>
      </c>
      <c r="B59" s="60" t="s">
        <v>76</v>
      </c>
      <c r="C59" s="40">
        <f>[9]С2!F16</f>
        <v>1</v>
      </c>
    </row>
    <row r="60" spans="1:3" ht="17.25" x14ac:dyDescent="0.2">
      <c r="A60" s="59" t="s">
        <v>77</v>
      </c>
      <c r="B60" s="58" t="s">
        <v>78</v>
      </c>
      <c r="C60" s="34">
        <f>[9]С2!F17</f>
        <v>1.01</v>
      </c>
    </row>
    <row r="61" spans="1:3" s="63" customFormat="1" ht="14.25" x14ac:dyDescent="0.2">
      <c r="A61" s="59" t="s">
        <v>79</v>
      </c>
      <c r="B61" s="61" t="s">
        <v>80</v>
      </c>
      <c r="C61" s="62">
        <f>[9]С2!F33</f>
        <v>10</v>
      </c>
    </row>
    <row r="62" spans="1:3" ht="30" x14ac:dyDescent="0.2">
      <c r="A62" s="59" t="s">
        <v>81</v>
      </c>
      <c r="B62" s="64" t="s">
        <v>82</v>
      </c>
      <c r="C62" s="34">
        <f>[9]С2!F26</f>
        <v>3185.880383940208</v>
      </c>
    </row>
    <row r="63" spans="1:3" ht="168" customHeight="1" x14ac:dyDescent="0.2">
      <c r="A63" s="59" t="s">
        <v>83</v>
      </c>
      <c r="B63" s="53" t="s">
        <v>84</v>
      </c>
      <c r="C63" s="34">
        <f>[9]С2!F27</f>
        <v>0.44209422600000003</v>
      </c>
    </row>
    <row r="64" spans="1:3" ht="17.25" x14ac:dyDescent="0.2">
      <c r="A64" s="59" t="s">
        <v>85</v>
      </c>
      <c r="B64" s="58" t="s">
        <v>86</v>
      </c>
      <c r="C64" s="62">
        <f>[9]С2!F28</f>
        <v>4200</v>
      </c>
    </row>
    <row r="65" spans="1:3" ht="42.75" x14ac:dyDescent="0.2">
      <c r="A65" s="59" t="s">
        <v>87</v>
      </c>
      <c r="B65" s="33" t="s">
        <v>88</v>
      </c>
      <c r="C65" s="34">
        <f>[9]С2!F22</f>
        <v>4298.6978080550834</v>
      </c>
    </row>
    <row r="66" spans="1:3" ht="30" x14ac:dyDescent="0.2">
      <c r="A66" s="59" t="s">
        <v>89</v>
      </c>
      <c r="B66" s="60" t="s">
        <v>90</v>
      </c>
      <c r="C66" s="34">
        <f>[9]С2!F23</f>
        <v>1990</v>
      </c>
    </row>
    <row r="67" spans="1:3" ht="30" x14ac:dyDescent="0.2">
      <c r="A67" s="59" t="s">
        <v>91</v>
      </c>
      <c r="B67" s="53" t="s">
        <v>92</v>
      </c>
      <c r="C67" s="34">
        <f>[9]С2.1!E27</f>
        <v>246.24401</v>
      </c>
    </row>
    <row r="68" spans="1:3" ht="73.5" customHeight="1" x14ac:dyDescent="0.2">
      <c r="A68" s="59" t="s">
        <v>93</v>
      </c>
      <c r="B68" s="65" t="s">
        <v>94</v>
      </c>
      <c r="C68" s="52" t="str">
        <f>[9]С2.3!E21</f>
        <v>Муниципальное унитарное предприятие города Куйбышева Куйбышевского района Новосибирской области "Горводоканал"</v>
      </c>
    </row>
    <row r="69" spans="1:3" ht="25.5" x14ac:dyDescent="0.2">
      <c r="A69" s="59" t="s">
        <v>95</v>
      </c>
      <c r="B69" s="66" t="s">
        <v>96</v>
      </c>
      <c r="C69" s="67">
        <f>[9]С2.3!E11</f>
        <v>9.89</v>
      </c>
    </row>
    <row r="70" spans="1:3" ht="25.5" x14ac:dyDescent="0.2">
      <c r="A70" s="59" t="s">
        <v>97</v>
      </c>
      <c r="B70" s="66" t="s">
        <v>98</v>
      </c>
      <c r="C70" s="62">
        <f>[9]С2.3!E13</f>
        <v>300</v>
      </c>
    </row>
    <row r="71" spans="1:3" ht="192.75" customHeight="1" x14ac:dyDescent="0.2">
      <c r="A71" s="59" t="s">
        <v>99</v>
      </c>
      <c r="B71" s="65" t="s">
        <v>100</v>
      </c>
      <c r="C71" s="68">
        <f>IF([9]С2.3!E22&gt;0,[9]С2.3!E22,[9]С2.3!E14)</f>
        <v>8809</v>
      </c>
    </row>
    <row r="72" spans="1:3" ht="192.75" customHeight="1" x14ac:dyDescent="0.2">
      <c r="A72" s="59" t="s">
        <v>101</v>
      </c>
      <c r="B72" s="65" t="s">
        <v>102</v>
      </c>
      <c r="C72" s="68">
        <f>IF([9]С2.3!E23&gt;0,[9]С2.3!E23,[9]С2.3!E15)</f>
        <v>530.41</v>
      </c>
    </row>
    <row r="73" spans="1:3" ht="30" x14ac:dyDescent="0.2">
      <c r="A73" s="59" t="s">
        <v>103</v>
      </c>
      <c r="B73" s="53" t="s">
        <v>104</v>
      </c>
      <c r="C73" s="34">
        <f>[9]С2.1!E28</f>
        <v>269.12432000000001</v>
      </c>
    </row>
    <row r="74" spans="1:3" ht="87" customHeight="1" x14ac:dyDescent="0.2">
      <c r="A74" s="59" t="s">
        <v>105</v>
      </c>
      <c r="B74" s="65" t="s">
        <v>106</v>
      </c>
      <c r="C74" s="52" t="str">
        <f>[9]С2.3!E25</f>
        <v>Муниципальное унитарное предприятие города Куйбышева Куйбышевского района Новосибирской области "Геострой"</v>
      </c>
    </row>
    <row r="75" spans="1:3" ht="25.5" x14ac:dyDescent="0.2">
      <c r="A75" s="59" t="s">
        <v>107</v>
      </c>
      <c r="B75" s="66" t="s">
        <v>108</v>
      </c>
      <c r="C75" s="67">
        <f>[9]С2.3!E12</f>
        <v>0.56000000000000005</v>
      </c>
    </row>
    <row r="76" spans="1:3" ht="25.5" x14ac:dyDescent="0.2">
      <c r="A76" s="59" t="s">
        <v>109</v>
      </c>
      <c r="B76" s="66" t="s">
        <v>98</v>
      </c>
      <c r="C76" s="62">
        <f>[9]С2.3!E13</f>
        <v>300</v>
      </c>
    </row>
    <row r="77" spans="1:3" ht="183" customHeight="1" x14ac:dyDescent="0.2">
      <c r="A77" s="59" t="s">
        <v>110</v>
      </c>
      <c r="B77" s="69" t="s">
        <v>111</v>
      </c>
      <c r="C77" s="68">
        <f>IF([9]С2.3!E26&gt;0,[9]С2.3!E26,[9]С2.3!E16)</f>
        <v>21397</v>
      </c>
    </row>
    <row r="78" spans="1:3" ht="186.75" customHeight="1" x14ac:dyDescent="0.2">
      <c r="A78" s="59" t="s">
        <v>112</v>
      </c>
      <c r="B78" s="69" t="s">
        <v>113</v>
      </c>
      <c r="C78" s="68">
        <f>IF([9]С2.3!E27&gt;0,[9]С2.3!E27,[9]С2.3!E17)</f>
        <v>857.14</v>
      </c>
    </row>
    <row r="79" spans="1:3" ht="17.25" x14ac:dyDescent="0.2">
      <c r="A79" s="59" t="s">
        <v>114</v>
      </c>
      <c r="B79" s="33" t="s">
        <v>115</v>
      </c>
      <c r="C79" s="35">
        <f>[9]С2!F29</f>
        <v>0.21369165990259753</v>
      </c>
    </row>
    <row r="80" spans="1:3" ht="30" x14ac:dyDescent="0.2">
      <c r="A80" s="59" t="s">
        <v>116</v>
      </c>
      <c r="B80" s="53" t="s">
        <v>117</v>
      </c>
      <c r="C80" s="70">
        <f>[9]С2!F30</f>
        <v>0.20047619047619047</v>
      </c>
    </row>
    <row r="81" spans="1:3" ht="17.25" x14ac:dyDescent="0.2">
      <c r="A81" s="59" t="s">
        <v>118</v>
      </c>
      <c r="B81" s="71" t="s">
        <v>119</v>
      </c>
      <c r="C81" s="35">
        <f>[9]С2!F31</f>
        <v>0.13880000000000001</v>
      </c>
    </row>
    <row r="82" spans="1:3" s="63" customFormat="1" ht="18" thickBot="1" x14ac:dyDescent="0.25">
      <c r="A82" s="72" t="s">
        <v>120</v>
      </c>
      <c r="B82" s="73" t="s">
        <v>121</v>
      </c>
      <c r="C82" s="74">
        <f>[9]С2!F32</f>
        <v>0.12640000000000001</v>
      </c>
    </row>
    <row r="83" spans="1:3" ht="13.5" thickBot="1" x14ac:dyDescent="0.25">
      <c r="A83" s="47"/>
      <c r="B83" s="75"/>
      <c r="C83" s="15"/>
    </row>
    <row r="84" spans="1:3" s="63" customFormat="1" ht="30" customHeight="1" x14ac:dyDescent="0.2">
      <c r="A84" s="76" t="s">
        <v>122</v>
      </c>
      <c r="B84" s="145" t="s">
        <v>123</v>
      </c>
      <c r="C84" s="145"/>
    </row>
    <row r="85" spans="1:3" s="63" customFormat="1" ht="30" x14ac:dyDescent="0.2">
      <c r="A85" s="77" t="s">
        <v>124</v>
      </c>
      <c r="B85" s="33" t="s">
        <v>125</v>
      </c>
      <c r="C85" s="34">
        <f>[9]С3!F14</f>
        <v>15827.997028730506</v>
      </c>
    </row>
    <row r="86" spans="1:3" s="63" customFormat="1" ht="42.75" x14ac:dyDescent="0.2">
      <c r="A86" s="77" t="s">
        <v>126</v>
      </c>
      <c r="B86" s="53" t="s">
        <v>127</v>
      </c>
      <c r="C86" s="78">
        <f>[9]С3!F15</f>
        <v>0.25</v>
      </c>
    </row>
    <row r="87" spans="1:3" s="63" customFormat="1" ht="14.25" x14ac:dyDescent="0.2">
      <c r="A87" s="77" t="s">
        <v>128</v>
      </c>
      <c r="B87" s="79" t="s">
        <v>129</v>
      </c>
      <c r="C87" s="62">
        <f>[9]С3!F18</f>
        <v>15</v>
      </c>
    </row>
    <row r="88" spans="1:3" s="63" customFormat="1" ht="17.25" x14ac:dyDescent="0.2">
      <c r="A88" s="77" t="s">
        <v>130</v>
      </c>
      <c r="B88" s="33" t="s">
        <v>131</v>
      </c>
      <c r="C88" s="34">
        <f>[9]С3!F19</f>
        <v>3741.3369093945325</v>
      </c>
    </row>
    <row r="89" spans="1:3" s="63" customFormat="1" ht="55.5" x14ac:dyDescent="0.2">
      <c r="A89" s="77" t="s">
        <v>132</v>
      </c>
      <c r="B89" s="53" t="s">
        <v>133</v>
      </c>
      <c r="C89" s="80">
        <f>[9]С3!F20</f>
        <v>2.1999999999999999E-2</v>
      </c>
    </row>
    <row r="90" spans="1:3" s="63" customFormat="1" ht="14.25" x14ac:dyDescent="0.2">
      <c r="A90" s="77" t="s">
        <v>134</v>
      </c>
      <c r="B90" s="58" t="s">
        <v>80</v>
      </c>
      <c r="C90" s="62">
        <f>[9]С3!F21</f>
        <v>10</v>
      </c>
    </row>
    <row r="91" spans="1:3" s="63" customFormat="1" ht="17.25" x14ac:dyDescent="0.2">
      <c r="A91" s="77" t="s">
        <v>135</v>
      </c>
      <c r="B91" s="33" t="s">
        <v>136</v>
      </c>
      <c r="C91" s="34">
        <f>[9]С3!F22</f>
        <v>9.5576411518206239</v>
      </c>
    </row>
    <row r="92" spans="1:3" s="63" customFormat="1" ht="57" customHeight="1" x14ac:dyDescent="0.2">
      <c r="A92" s="77" t="s">
        <v>137</v>
      </c>
      <c r="B92" s="53" t="s">
        <v>138</v>
      </c>
      <c r="C92" s="80">
        <f>[9]С3!F23</f>
        <v>3.0000000000000001E-3</v>
      </c>
    </row>
    <row r="93" spans="1:3" s="63" customFormat="1" ht="27.75" thickBot="1" x14ac:dyDescent="0.25">
      <c r="A93" s="81" t="s">
        <v>139</v>
      </c>
      <c r="B93" s="82" t="s">
        <v>140</v>
      </c>
      <c r="C93" s="83">
        <f>[9]С3!F24</f>
        <v>3185.880383940208</v>
      </c>
    </row>
    <row r="94" spans="1:3" ht="13.5" thickBot="1" x14ac:dyDescent="0.25">
      <c r="A94" s="47"/>
      <c r="B94" s="75"/>
      <c r="C94" s="15"/>
    </row>
    <row r="95" spans="1:3" ht="30" customHeight="1" x14ac:dyDescent="0.2">
      <c r="A95" s="84" t="s">
        <v>141</v>
      </c>
      <c r="B95" s="145" t="s">
        <v>142</v>
      </c>
      <c r="C95" s="145"/>
    </row>
    <row r="96" spans="1:3" ht="30" x14ac:dyDescent="0.2">
      <c r="A96" s="59" t="s">
        <v>143</v>
      </c>
      <c r="B96" s="33" t="s">
        <v>144</v>
      </c>
      <c r="C96" s="34">
        <f>[9]С4!F16</f>
        <v>1652.5</v>
      </c>
    </row>
    <row r="97" spans="1:3" ht="30" x14ac:dyDescent="0.2">
      <c r="A97" s="59" t="s">
        <v>145</v>
      </c>
      <c r="B97" s="58" t="s">
        <v>146</v>
      </c>
      <c r="C97" s="34">
        <f>[9]С4!F17</f>
        <v>73547</v>
      </c>
    </row>
    <row r="98" spans="1:3" ht="17.25" x14ac:dyDescent="0.2">
      <c r="A98" s="59" t="s">
        <v>147</v>
      </c>
      <c r="B98" s="58" t="s">
        <v>148</v>
      </c>
      <c r="C98" s="40">
        <f>[9]С4!F18</f>
        <v>0.02</v>
      </c>
    </row>
    <row r="99" spans="1:3" ht="30" x14ac:dyDescent="0.2">
      <c r="A99" s="59" t="s">
        <v>149</v>
      </c>
      <c r="B99" s="58" t="s">
        <v>150</v>
      </c>
      <c r="C99" s="34">
        <f>[9]С4!F19</f>
        <v>12104</v>
      </c>
    </row>
    <row r="100" spans="1:3" ht="31.5" x14ac:dyDescent="0.2">
      <c r="A100" s="59" t="s">
        <v>151</v>
      </c>
      <c r="B100" s="58" t="s">
        <v>152</v>
      </c>
      <c r="C100" s="40">
        <f>[9]С4!F20</f>
        <v>1.4999999999999999E-2</v>
      </c>
    </row>
    <row r="101" spans="1:3" ht="30" x14ac:dyDescent="0.2">
      <c r="A101" s="59" t="s">
        <v>153</v>
      </c>
      <c r="B101" s="33" t="s">
        <v>154</v>
      </c>
      <c r="C101" s="34">
        <f>[9]С4!F21</f>
        <v>1933.1949342509995</v>
      </c>
    </row>
    <row r="102" spans="1:3" ht="35.25" customHeight="1" x14ac:dyDescent="0.2">
      <c r="A102" s="59" t="s">
        <v>155</v>
      </c>
      <c r="B102" s="53" t="s">
        <v>156</v>
      </c>
      <c r="C102" s="85" t="str">
        <f>IF([9]С4.2!F8="да",[9]С4.2!D21,[9]С4.2!D15)</f>
        <v>АО "Новосибирскэнергосбыт"</v>
      </c>
    </row>
    <row r="103" spans="1:3" ht="68.25" x14ac:dyDescent="0.2">
      <c r="A103" s="59" t="s">
        <v>157</v>
      </c>
      <c r="B103" s="53" t="s">
        <v>158</v>
      </c>
      <c r="C103" s="34">
        <f>[9]С4!F22</f>
        <v>3.6112641666666665</v>
      </c>
    </row>
    <row r="104" spans="1:3" ht="30" x14ac:dyDescent="0.2">
      <c r="A104" s="59" t="s">
        <v>159</v>
      </c>
      <c r="B104" s="58" t="s">
        <v>160</v>
      </c>
      <c r="C104" s="34">
        <f>[9]С4!F23</f>
        <v>180</v>
      </c>
    </row>
    <row r="105" spans="1:3" ht="14.25" x14ac:dyDescent="0.2">
      <c r="A105" s="59" t="s">
        <v>161</v>
      </c>
      <c r="B105" s="53" t="s">
        <v>162</v>
      </c>
      <c r="C105" s="34">
        <f>[9]С4!F24</f>
        <v>8497.1999999999989</v>
      </c>
    </row>
    <row r="106" spans="1:3" ht="14.25" x14ac:dyDescent="0.2">
      <c r="A106" s="59" t="s">
        <v>163</v>
      </c>
      <c r="B106" s="58" t="s">
        <v>164</v>
      </c>
      <c r="C106" s="40">
        <f>[9]С4!F25</f>
        <v>0.35</v>
      </c>
    </row>
    <row r="107" spans="1:3" ht="17.25" x14ac:dyDescent="0.2">
      <c r="A107" s="59" t="s">
        <v>165</v>
      </c>
      <c r="B107" s="33" t="s">
        <v>166</v>
      </c>
      <c r="C107" s="34">
        <f>[9]С4!F26</f>
        <v>81.757919999999999</v>
      </c>
    </row>
    <row r="108" spans="1:3" ht="75.75" customHeight="1" x14ac:dyDescent="0.2">
      <c r="A108" s="59" t="s">
        <v>167</v>
      </c>
      <c r="B108" s="53" t="s">
        <v>94</v>
      </c>
      <c r="C108" s="85">
        <f>[9]С4.3!E16</f>
        <v>0</v>
      </c>
    </row>
    <row r="109" spans="1:3" ht="25.5" x14ac:dyDescent="0.2">
      <c r="A109" s="59" t="s">
        <v>168</v>
      </c>
      <c r="B109" s="53" t="s">
        <v>169</v>
      </c>
      <c r="C109" s="34">
        <f>[9]С4.3!E17</f>
        <v>21.52</v>
      </c>
    </row>
    <row r="110" spans="1:3" ht="79.5" customHeight="1" x14ac:dyDescent="0.2">
      <c r="A110" s="59" t="s">
        <v>170</v>
      </c>
      <c r="B110" s="53" t="s">
        <v>106</v>
      </c>
      <c r="C110" s="85">
        <f>[9]С4.3!E18</f>
        <v>0</v>
      </c>
    </row>
    <row r="111" spans="1:3" x14ac:dyDescent="0.2">
      <c r="A111" s="59" t="s">
        <v>171</v>
      </c>
      <c r="B111" s="53" t="s">
        <v>172</v>
      </c>
      <c r="C111" s="34">
        <f>[9]С4.3!E19</f>
        <v>30.82</v>
      </c>
    </row>
    <row r="112" spans="1:3" x14ac:dyDescent="0.2">
      <c r="A112" s="59" t="s">
        <v>173</v>
      </c>
      <c r="B112" s="58" t="s">
        <v>174</v>
      </c>
      <c r="C112" s="34">
        <f>[9]С4.3!E11</f>
        <v>1871</v>
      </c>
    </row>
    <row r="113" spans="1:3" x14ac:dyDescent="0.2">
      <c r="A113" s="59" t="s">
        <v>175</v>
      </c>
      <c r="B113" s="58" t="s">
        <v>176</v>
      </c>
      <c r="C113" s="52">
        <f>[9]С4.3!E12</f>
        <v>1636</v>
      </c>
    </row>
    <row r="114" spans="1:3" x14ac:dyDescent="0.2">
      <c r="A114" s="59" t="s">
        <v>177</v>
      </c>
      <c r="B114" s="58" t="s">
        <v>178</v>
      </c>
      <c r="C114" s="52">
        <f>[9]С4.3!E13</f>
        <v>204</v>
      </c>
    </row>
    <row r="115" spans="1:3" ht="30" x14ac:dyDescent="0.2">
      <c r="A115" s="59" t="s">
        <v>179</v>
      </c>
      <c r="B115" s="33" t="s">
        <v>180</v>
      </c>
      <c r="C115" s="34">
        <f>[9]С4!F27</f>
        <v>1291.2863994686898</v>
      </c>
    </row>
    <row r="116" spans="1:3" ht="25.5" x14ac:dyDescent="0.2">
      <c r="A116" s="59" t="s">
        <v>181</v>
      </c>
      <c r="B116" s="53" t="s">
        <v>182</v>
      </c>
      <c r="C116" s="34">
        <f>[9]С4!F28</f>
        <v>991.77142816335618</v>
      </c>
    </row>
    <row r="117" spans="1:3" ht="42.75" x14ac:dyDescent="0.2">
      <c r="A117" s="59" t="s">
        <v>183</v>
      </c>
      <c r="B117" s="53" t="s">
        <v>184</v>
      </c>
      <c r="C117" s="34">
        <f>[9]С4!F29</f>
        <v>299.51497130533357</v>
      </c>
    </row>
    <row r="118" spans="1:3" ht="30" x14ac:dyDescent="0.2">
      <c r="A118" s="59" t="s">
        <v>185</v>
      </c>
      <c r="B118" s="39" t="s">
        <v>186</v>
      </c>
      <c r="C118" s="34">
        <f>[9]С4!F30</f>
        <v>2307.1502447720632</v>
      </c>
    </row>
    <row r="119" spans="1:3" ht="42.75" x14ac:dyDescent="0.2">
      <c r="A119" s="59" t="s">
        <v>187</v>
      </c>
      <c r="B119" s="86" t="s">
        <v>188</v>
      </c>
      <c r="C119" s="34">
        <f>[9]С4!F33</f>
        <v>1068.6450140162826</v>
      </c>
    </row>
    <row r="120" spans="1:3" ht="30" x14ac:dyDescent="0.2">
      <c r="A120" s="59" t="s">
        <v>189</v>
      </c>
      <c r="B120" s="87" t="s">
        <v>190</v>
      </c>
      <c r="C120" s="34">
        <f>[9]С4!F35</f>
        <v>18.902267999999999</v>
      </c>
    </row>
    <row r="121" spans="1:3" ht="14.25" x14ac:dyDescent="0.2">
      <c r="A121" s="59" t="s">
        <v>191</v>
      </c>
      <c r="B121" s="56" t="s">
        <v>192</v>
      </c>
      <c r="C121" s="34">
        <f>[9]С4!F36</f>
        <v>14319.9</v>
      </c>
    </row>
    <row r="122" spans="1:3" ht="43.5" customHeight="1" thickBot="1" x14ac:dyDescent="0.25">
      <c r="A122" s="72" t="s">
        <v>193</v>
      </c>
      <c r="B122" s="88" t="s">
        <v>194</v>
      </c>
      <c r="C122" s="83">
        <f>[9]С4!F37</f>
        <v>1.32</v>
      </c>
    </row>
    <row r="123" spans="1:3" s="89" customFormat="1" ht="13.5" thickBot="1" x14ac:dyDescent="0.25">
      <c r="A123" s="47"/>
      <c r="B123" s="75"/>
      <c r="C123" s="15"/>
    </row>
    <row r="124" spans="1:3" s="63" customFormat="1" ht="30" customHeight="1" x14ac:dyDescent="0.2">
      <c r="A124" s="76" t="s">
        <v>195</v>
      </c>
      <c r="B124" s="145" t="s">
        <v>196</v>
      </c>
      <c r="C124" s="145"/>
    </row>
    <row r="125" spans="1:3" ht="16.5" thickBot="1" x14ac:dyDescent="0.25">
      <c r="A125" s="27" t="s">
        <v>197</v>
      </c>
      <c r="B125" s="90" t="s">
        <v>198</v>
      </c>
      <c r="C125" s="83">
        <f>[9]С5!F17</f>
        <v>0.02</v>
      </c>
    </row>
    <row r="126" spans="1:3" s="89" customFormat="1" ht="13.5" thickBot="1" x14ac:dyDescent="0.25">
      <c r="A126" s="47"/>
      <c r="B126" s="75"/>
      <c r="C126" s="15"/>
    </row>
    <row r="127" spans="1:3" ht="42.75" customHeight="1" x14ac:dyDescent="0.2">
      <c r="A127" s="84" t="s">
        <v>199</v>
      </c>
      <c r="B127" s="146" t="s">
        <v>200</v>
      </c>
      <c r="C127" s="146"/>
    </row>
    <row r="128" spans="1:3" ht="68.25" x14ac:dyDescent="0.2">
      <c r="A128" s="59" t="s">
        <v>201</v>
      </c>
      <c r="B128" s="91" t="s">
        <v>202</v>
      </c>
      <c r="C128" s="34" t="s">
        <v>203</v>
      </c>
    </row>
    <row r="129" spans="1:3" ht="42.75" hidden="1" x14ac:dyDescent="0.2">
      <c r="A129" s="59" t="s">
        <v>204</v>
      </c>
      <c r="B129" s="86" t="s">
        <v>205</v>
      </c>
      <c r="C129" s="92"/>
    </row>
    <row r="130" spans="1:3" ht="69" thickBot="1" x14ac:dyDescent="0.25">
      <c r="A130" s="72" t="s">
        <v>206</v>
      </c>
      <c r="B130" s="93" t="s">
        <v>207</v>
      </c>
      <c r="C130" s="94" t="s">
        <v>203</v>
      </c>
    </row>
    <row r="131" spans="1:3" ht="62.25" hidden="1" customHeight="1" x14ac:dyDescent="0.2">
      <c r="A131" s="95" t="s">
        <v>208</v>
      </c>
      <c r="B131" s="96" t="s">
        <v>209</v>
      </c>
      <c r="C131" s="97"/>
    </row>
    <row r="132" spans="1:3" ht="68.25" hidden="1" x14ac:dyDescent="0.2">
      <c r="A132" s="59" t="s">
        <v>210</v>
      </c>
      <c r="B132" s="86" t="s">
        <v>211</v>
      </c>
      <c r="C132" s="35"/>
    </row>
    <row r="133" spans="1:3" ht="69" hidden="1" thickBot="1" x14ac:dyDescent="0.25">
      <c r="A133" s="72" t="s">
        <v>212</v>
      </c>
      <c r="B133" s="98" t="s">
        <v>213</v>
      </c>
      <c r="C133" s="74"/>
    </row>
    <row r="134" spans="1:3" s="89" customFormat="1" ht="13.5" thickBot="1" x14ac:dyDescent="0.25">
      <c r="A134" s="47"/>
      <c r="B134" s="75"/>
      <c r="C134" s="15"/>
    </row>
    <row r="135" spans="1:3" ht="26.25" customHeight="1" x14ac:dyDescent="0.2">
      <c r="A135" s="84" t="s">
        <v>214</v>
      </c>
      <c r="B135" s="99" t="s">
        <v>215</v>
      </c>
      <c r="C135" s="100">
        <f>[9]С2!F37</f>
        <v>20.818139999999996</v>
      </c>
    </row>
    <row r="136" spans="1:3" ht="14.25" x14ac:dyDescent="0.2">
      <c r="A136" s="59" t="s">
        <v>216</v>
      </c>
      <c r="B136" s="101" t="s">
        <v>217</v>
      </c>
      <c r="C136" s="34">
        <f>[9]С2!F38</f>
        <v>7</v>
      </c>
    </row>
    <row r="137" spans="1:3" ht="17.25" x14ac:dyDescent="0.2">
      <c r="A137" s="59" t="s">
        <v>218</v>
      </c>
      <c r="B137" s="101" t="s">
        <v>219</v>
      </c>
      <c r="C137" s="34">
        <f>[9]С2!F40</f>
        <v>0.97</v>
      </c>
    </row>
    <row r="138" spans="1:3" ht="15" thickBot="1" x14ac:dyDescent="0.25">
      <c r="A138" s="72" t="s">
        <v>220</v>
      </c>
      <c r="B138" s="102" t="s">
        <v>221</v>
      </c>
      <c r="C138" s="46">
        <f>[9]С2!F42</f>
        <v>0.35</v>
      </c>
    </row>
    <row r="139" spans="1:3" s="89" customFormat="1" ht="13.5" thickBot="1" x14ac:dyDescent="0.25">
      <c r="A139" s="47"/>
      <c r="B139" s="75"/>
      <c r="C139" s="15"/>
    </row>
    <row r="140" spans="1:3" ht="30" x14ac:dyDescent="0.2">
      <c r="A140" s="84" t="s">
        <v>222</v>
      </c>
      <c r="B140" s="103" t="s">
        <v>223</v>
      </c>
      <c r="C140" s="104">
        <f>[9]С2!F35</f>
        <v>1.7157947422665329</v>
      </c>
    </row>
    <row r="141" spans="1:3" ht="22.7" customHeight="1" thickBot="1" x14ac:dyDescent="0.25">
      <c r="A141" s="72" t="s">
        <v>224</v>
      </c>
      <c r="B141" s="141" t="s">
        <v>225</v>
      </c>
      <c r="C141" s="141"/>
    </row>
    <row r="142" spans="1:3" ht="13.5" thickBot="1" x14ac:dyDescent="0.25">
      <c r="A142" s="105"/>
      <c r="B142" s="106" t="s">
        <v>226</v>
      </c>
      <c r="C142" s="107"/>
    </row>
    <row r="143" spans="1:3" x14ac:dyDescent="0.2">
      <c r="A143" s="105"/>
      <c r="B143" s="108">
        <v>2020</v>
      </c>
      <c r="C143" s="109">
        <f>[9]С2.5!$E$11</f>
        <v>-2.9000000000000026E-2</v>
      </c>
    </row>
    <row r="144" spans="1:3" x14ac:dyDescent="0.2">
      <c r="A144" s="105"/>
      <c r="B144" s="110">
        <f>B143+1</f>
        <v>2021</v>
      </c>
      <c r="C144" s="111">
        <f>[9]С2.5!$F$11</f>
        <v>0.245</v>
      </c>
    </row>
    <row r="145" spans="1:3" x14ac:dyDescent="0.2">
      <c r="A145" s="105"/>
      <c r="B145" s="110">
        <f t="shared" ref="B145:B208" si="0">B144+1</f>
        <v>2022</v>
      </c>
      <c r="C145" s="111">
        <f>[9]С2.5!$G$11</f>
        <v>0.114</v>
      </c>
    </row>
    <row r="146" spans="1:3" ht="13.5" thickBot="1" x14ac:dyDescent="0.25">
      <c r="A146" s="105"/>
      <c r="B146" s="112">
        <f t="shared" si="0"/>
        <v>2023</v>
      </c>
      <c r="C146" s="113">
        <f>[9]С2.5!$H$11</f>
        <v>0.04</v>
      </c>
    </row>
    <row r="147" spans="1:3" x14ac:dyDescent="0.2">
      <c r="A147" s="105"/>
      <c r="B147" s="114">
        <f t="shared" si="0"/>
        <v>2024</v>
      </c>
      <c r="C147" s="115">
        <f>[9]С2.5!$I$11</f>
        <v>0.121</v>
      </c>
    </row>
    <row r="148" spans="1:3" x14ac:dyDescent="0.2">
      <c r="A148" s="105"/>
      <c r="B148" s="110">
        <f t="shared" si="0"/>
        <v>2025</v>
      </c>
      <c r="C148" s="111">
        <f>[9]С2.5!$J$11</f>
        <v>0.03</v>
      </c>
    </row>
    <row r="149" spans="1:3" x14ac:dyDescent="0.2">
      <c r="A149" s="105"/>
      <c r="B149" s="110">
        <f t="shared" si="0"/>
        <v>2026</v>
      </c>
      <c r="C149" s="111">
        <f>[9]С2.5!$K$11</f>
        <v>6.0999999999999999E-2</v>
      </c>
    </row>
    <row r="150" spans="1:3" hidden="1" x14ac:dyDescent="0.2">
      <c r="A150" s="105"/>
      <c r="B150" s="110">
        <f t="shared" si="0"/>
        <v>2027</v>
      </c>
      <c r="C150" s="111">
        <f>[9]С2.5!$L$11</f>
        <v>3.2682303599220003E-2</v>
      </c>
    </row>
    <row r="151" spans="1:3" hidden="1" x14ac:dyDescent="0.2">
      <c r="A151" s="105"/>
      <c r="B151" s="110">
        <f t="shared" si="0"/>
        <v>2028</v>
      </c>
      <c r="C151" s="111">
        <f>[9]С2.5!$M$11</f>
        <v>0</v>
      </c>
    </row>
    <row r="152" spans="1:3" hidden="1" x14ac:dyDescent="0.2">
      <c r="A152" s="105"/>
      <c r="B152" s="110">
        <f t="shared" si="0"/>
        <v>2029</v>
      </c>
      <c r="C152" s="111">
        <f>[9]С2.5!$N$11</f>
        <v>0</v>
      </c>
    </row>
    <row r="153" spans="1:3" hidden="1" x14ac:dyDescent="0.2">
      <c r="A153" s="105"/>
      <c r="B153" s="110">
        <f t="shared" si="0"/>
        <v>2030</v>
      </c>
      <c r="C153" s="111">
        <f>[9]С2.5!$O$11</f>
        <v>0</v>
      </c>
    </row>
    <row r="154" spans="1:3" hidden="1" x14ac:dyDescent="0.2">
      <c r="A154" s="105"/>
      <c r="B154" s="110">
        <f t="shared" si="0"/>
        <v>2031</v>
      </c>
      <c r="C154" s="111">
        <f>[9]С2.5!$P$11</f>
        <v>0</v>
      </c>
    </row>
    <row r="155" spans="1:3" hidden="1" x14ac:dyDescent="0.2">
      <c r="A155" s="89"/>
      <c r="B155" s="110">
        <f t="shared" si="0"/>
        <v>2032</v>
      </c>
      <c r="C155" s="111">
        <f>[9]С2.5!$Q$11</f>
        <v>0</v>
      </c>
    </row>
    <row r="156" spans="1:3" hidden="1" x14ac:dyDescent="0.2">
      <c r="A156" s="89"/>
      <c r="B156" s="110">
        <f t="shared" si="0"/>
        <v>2033</v>
      </c>
      <c r="C156" s="111">
        <f>[9]С2.5!$R$11</f>
        <v>0</v>
      </c>
    </row>
    <row r="157" spans="1:3" hidden="1" x14ac:dyDescent="0.2">
      <c r="B157" s="110">
        <f t="shared" si="0"/>
        <v>2034</v>
      </c>
      <c r="C157" s="111">
        <f>[9]С2.5!$S$11</f>
        <v>0</v>
      </c>
    </row>
    <row r="158" spans="1:3" hidden="1" x14ac:dyDescent="0.2">
      <c r="B158" s="110">
        <f t="shared" si="0"/>
        <v>2035</v>
      </c>
      <c r="C158" s="111">
        <f>[9]С2.5!$T$11</f>
        <v>0</v>
      </c>
    </row>
    <row r="159" spans="1:3" hidden="1" x14ac:dyDescent="0.2">
      <c r="B159" s="110">
        <f t="shared" si="0"/>
        <v>2036</v>
      </c>
      <c r="C159" s="111">
        <f>[9]С2.5!$U$11</f>
        <v>0</v>
      </c>
    </row>
    <row r="160" spans="1:3" hidden="1" x14ac:dyDescent="0.2">
      <c r="B160" s="110">
        <f t="shared" si="0"/>
        <v>2037</v>
      </c>
      <c r="C160" s="111">
        <f>[9]С2.5!$V$11</f>
        <v>0</v>
      </c>
    </row>
    <row r="161" spans="2:3" hidden="1" x14ac:dyDescent="0.2">
      <c r="B161" s="110">
        <f t="shared" si="0"/>
        <v>2038</v>
      </c>
      <c r="C161" s="111">
        <f>[9]С2.5!$W$11</f>
        <v>0</v>
      </c>
    </row>
    <row r="162" spans="2:3" hidden="1" x14ac:dyDescent="0.2">
      <c r="B162" s="110">
        <f t="shared" si="0"/>
        <v>2039</v>
      </c>
      <c r="C162" s="111">
        <f>[9]С2.5!$X$11</f>
        <v>0</v>
      </c>
    </row>
    <row r="163" spans="2:3" hidden="1" x14ac:dyDescent="0.2">
      <c r="B163" s="110">
        <f t="shared" si="0"/>
        <v>2040</v>
      </c>
      <c r="C163" s="111">
        <f>[9]С2.5!$Y$11</f>
        <v>0</v>
      </c>
    </row>
    <row r="164" spans="2:3" hidden="1" x14ac:dyDescent="0.2">
      <c r="B164" s="110">
        <f t="shared" si="0"/>
        <v>2041</v>
      </c>
      <c r="C164" s="111">
        <f>[9]С2.5!$Z$11</f>
        <v>0</v>
      </c>
    </row>
    <row r="165" spans="2:3" hidden="1" x14ac:dyDescent="0.2">
      <c r="B165" s="110">
        <f t="shared" si="0"/>
        <v>2042</v>
      </c>
      <c r="C165" s="111">
        <f>[9]С2.5!$AA$11</f>
        <v>0</v>
      </c>
    </row>
    <row r="166" spans="2:3" hidden="1" x14ac:dyDescent="0.2">
      <c r="B166" s="110">
        <f t="shared" si="0"/>
        <v>2043</v>
      </c>
      <c r="C166" s="111">
        <f>[9]С2.5!$AB$11</f>
        <v>0</v>
      </c>
    </row>
    <row r="167" spans="2:3" hidden="1" x14ac:dyDescent="0.2">
      <c r="B167" s="110">
        <f t="shared" si="0"/>
        <v>2044</v>
      </c>
      <c r="C167" s="111">
        <f>[9]С2.5!$AC$11</f>
        <v>0</v>
      </c>
    </row>
    <row r="168" spans="2:3" hidden="1" x14ac:dyDescent="0.2">
      <c r="B168" s="110">
        <f t="shared" si="0"/>
        <v>2045</v>
      </c>
      <c r="C168" s="111">
        <f>[9]С2.5!$AD$11</f>
        <v>0</v>
      </c>
    </row>
    <row r="169" spans="2:3" hidden="1" x14ac:dyDescent="0.2">
      <c r="B169" s="110">
        <f t="shared" si="0"/>
        <v>2046</v>
      </c>
      <c r="C169" s="111">
        <f>[9]С2.5!$AE$11</f>
        <v>0</v>
      </c>
    </row>
    <row r="170" spans="2:3" hidden="1" x14ac:dyDescent="0.2">
      <c r="B170" s="110">
        <f t="shared" si="0"/>
        <v>2047</v>
      </c>
      <c r="C170" s="111">
        <f>[9]С2.5!$AF$11</f>
        <v>0</v>
      </c>
    </row>
    <row r="171" spans="2:3" hidden="1" x14ac:dyDescent="0.2">
      <c r="B171" s="110">
        <f t="shared" si="0"/>
        <v>2048</v>
      </c>
      <c r="C171" s="111">
        <f>[9]С2.5!$AG$11</f>
        <v>0</v>
      </c>
    </row>
    <row r="172" spans="2:3" hidden="1" x14ac:dyDescent="0.2">
      <c r="B172" s="110">
        <f t="shared" si="0"/>
        <v>2049</v>
      </c>
      <c r="C172" s="111">
        <f>[9]С2.5!$AH$11</f>
        <v>0</v>
      </c>
    </row>
    <row r="173" spans="2:3" hidden="1" x14ac:dyDescent="0.2">
      <c r="B173" s="110">
        <f t="shared" si="0"/>
        <v>2050</v>
      </c>
      <c r="C173" s="111">
        <f>[9]С2.5!$AI$11</f>
        <v>0</v>
      </c>
    </row>
    <row r="174" spans="2:3" hidden="1" x14ac:dyDescent="0.2">
      <c r="B174" s="110">
        <f t="shared" si="0"/>
        <v>2051</v>
      </c>
      <c r="C174" s="111">
        <f>[9]С2.5!$AJ$11</f>
        <v>0</v>
      </c>
    </row>
    <row r="175" spans="2:3" hidden="1" x14ac:dyDescent="0.2">
      <c r="B175" s="110">
        <f t="shared" si="0"/>
        <v>2052</v>
      </c>
      <c r="C175" s="111">
        <f>[9]С2.5!$AK$11</f>
        <v>0</v>
      </c>
    </row>
    <row r="176" spans="2:3" hidden="1" x14ac:dyDescent="0.2">
      <c r="B176" s="110">
        <f t="shared" si="0"/>
        <v>2053</v>
      </c>
      <c r="C176" s="111">
        <f>[9]С2.5!$AL$11</f>
        <v>0</v>
      </c>
    </row>
    <row r="177" spans="2:3" hidden="1" x14ac:dyDescent="0.2">
      <c r="B177" s="110">
        <f t="shared" si="0"/>
        <v>2054</v>
      </c>
      <c r="C177" s="111">
        <f>[9]С2.5!$AM$11</f>
        <v>0</v>
      </c>
    </row>
    <row r="178" spans="2:3" hidden="1" x14ac:dyDescent="0.2">
      <c r="B178" s="110">
        <f t="shared" si="0"/>
        <v>2055</v>
      </c>
      <c r="C178" s="111">
        <f>[9]С2.5!$AN$11</f>
        <v>0</v>
      </c>
    </row>
    <row r="179" spans="2:3" hidden="1" x14ac:dyDescent="0.2">
      <c r="B179" s="110">
        <f t="shared" si="0"/>
        <v>2056</v>
      </c>
      <c r="C179" s="111">
        <f>[9]С2.5!$AO$11</f>
        <v>0</v>
      </c>
    </row>
    <row r="180" spans="2:3" hidden="1" x14ac:dyDescent="0.2">
      <c r="B180" s="110">
        <f t="shared" si="0"/>
        <v>2057</v>
      </c>
      <c r="C180" s="111">
        <f>[9]С2.5!$AP$11</f>
        <v>0</v>
      </c>
    </row>
    <row r="181" spans="2:3" hidden="1" x14ac:dyDescent="0.2">
      <c r="B181" s="110">
        <f t="shared" si="0"/>
        <v>2058</v>
      </c>
      <c r="C181" s="111">
        <f>[9]С2.5!$AQ$11</f>
        <v>0</v>
      </c>
    </row>
    <row r="182" spans="2:3" hidden="1" x14ac:dyDescent="0.2">
      <c r="B182" s="110">
        <f t="shared" si="0"/>
        <v>2059</v>
      </c>
      <c r="C182" s="111">
        <f>[9]С2.5!$AR$11</f>
        <v>0</v>
      </c>
    </row>
    <row r="183" spans="2:3" hidden="1" x14ac:dyDescent="0.2">
      <c r="B183" s="110">
        <f t="shared" si="0"/>
        <v>2060</v>
      </c>
      <c r="C183" s="111">
        <f>[9]С2.5!$AS$11</f>
        <v>0</v>
      </c>
    </row>
    <row r="184" spans="2:3" hidden="1" x14ac:dyDescent="0.2">
      <c r="B184" s="110">
        <f t="shared" si="0"/>
        <v>2061</v>
      </c>
      <c r="C184" s="111">
        <f>[9]С2.5!$AT$11</f>
        <v>0</v>
      </c>
    </row>
    <row r="185" spans="2:3" hidden="1" x14ac:dyDescent="0.2">
      <c r="B185" s="110">
        <f t="shared" si="0"/>
        <v>2062</v>
      </c>
      <c r="C185" s="111">
        <f>[9]С2.5!$AU$11</f>
        <v>0</v>
      </c>
    </row>
    <row r="186" spans="2:3" hidden="1" x14ac:dyDescent="0.2">
      <c r="B186" s="110">
        <f t="shared" si="0"/>
        <v>2063</v>
      </c>
      <c r="C186" s="111">
        <f>[9]С2.5!$AV$11</f>
        <v>0</v>
      </c>
    </row>
    <row r="187" spans="2:3" hidden="1" x14ac:dyDescent="0.2">
      <c r="B187" s="110">
        <f t="shared" si="0"/>
        <v>2064</v>
      </c>
      <c r="C187" s="111">
        <f>[9]С2.5!$AW$11</f>
        <v>0</v>
      </c>
    </row>
    <row r="188" spans="2:3" hidden="1" x14ac:dyDescent="0.2">
      <c r="B188" s="110">
        <f t="shared" si="0"/>
        <v>2065</v>
      </c>
      <c r="C188" s="111">
        <f>[9]С2.5!$AX$11</f>
        <v>0</v>
      </c>
    </row>
    <row r="189" spans="2:3" hidden="1" x14ac:dyDescent="0.2">
      <c r="B189" s="110">
        <f t="shared" si="0"/>
        <v>2066</v>
      </c>
      <c r="C189" s="111">
        <f>[9]С2.5!$AY$11</f>
        <v>0</v>
      </c>
    </row>
    <row r="190" spans="2:3" hidden="1" x14ac:dyDescent="0.2">
      <c r="B190" s="110">
        <f t="shared" si="0"/>
        <v>2067</v>
      </c>
      <c r="C190" s="111">
        <f>[9]С2.5!$AZ$11</f>
        <v>0</v>
      </c>
    </row>
    <row r="191" spans="2:3" hidden="1" x14ac:dyDescent="0.2">
      <c r="B191" s="110">
        <f t="shared" si="0"/>
        <v>2068</v>
      </c>
      <c r="C191" s="111">
        <f>[9]С2.5!$BA$11</f>
        <v>0</v>
      </c>
    </row>
    <row r="192" spans="2:3" hidden="1" x14ac:dyDescent="0.2">
      <c r="B192" s="110">
        <f t="shared" si="0"/>
        <v>2069</v>
      </c>
      <c r="C192" s="111">
        <f>[9]С2.5!$BB$11</f>
        <v>0</v>
      </c>
    </row>
    <row r="193" spans="2:3" hidden="1" x14ac:dyDescent="0.2">
      <c r="B193" s="110">
        <f t="shared" si="0"/>
        <v>2070</v>
      </c>
      <c r="C193" s="111">
        <f>[9]С2.5!$BC$11</f>
        <v>0</v>
      </c>
    </row>
    <row r="194" spans="2:3" hidden="1" x14ac:dyDescent="0.2">
      <c r="B194" s="110">
        <f t="shared" si="0"/>
        <v>2071</v>
      </c>
      <c r="C194" s="111">
        <f>[9]С2.5!$BD$11</f>
        <v>0</v>
      </c>
    </row>
    <row r="195" spans="2:3" hidden="1" x14ac:dyDescent="0.2">
      <c r="B195" s="110">
        <f t="shared" si="0"/>
        <v>2072</v>
      </c>
      <c r="C195" s="111">
        <f>[9]С2.5!$BE$11</f>
        <v>0</v>
      </c>
    </row>
    <row r="196" spans="2:3" hidden="1" x14ac:dyDescent="0.2">
      <c r="B196" s="110">
        <f t="shared" si="0"/>
        <v>2073</v>
      </c>
      <c r="C196" s="111">
        <f>[9]С2.5!$BF$11</f>
        <v>0</v>
      </c>
    </row>
    <row r="197" spans="2:3" hidden="1" x14ac:dyDescent="0.2">
      <c r="B197" s="110">
        <f t="shared" si="0"/>
        <v>2074</v>
      </c>
      <c r="C197" s="111">
        <f>[9]С2.5!$BG$11</f>
        <v>0</v>
      </c>
    </row>
    <row r="198" spans="2:3" hidden="1" x14ac:dyDescent="0.2">
      <c r="B198" s="110">
        <f t="shared" si="0"/>
        <v>2075</v>
      </c>
      <c r="C198" s="111">
        <f>[9]С2.5!$BH$11</f>
        <v>0</v>
      </c>
    </row>
    <row r="199" spans="2:3" hidden="1" x14ac:dyDescent="0.2">
      <c r="B199" s="110">
        <f t="shared" si="0"/>
        <v>2076</v>
      </c>
      <c r="C199" s="111">
        <f>[9]С2.5!$BI$11</f>
        <v>0</v>
      </c>
    </row>
    <row r="200" spans="2:3" hidden="1" x14ac:dyDescent="0.2">
      <c r="B200" s="110">
        <f t="shared" si="0"/>
        <v>2077</v>
      </c>
      <c r="C200" s="111">
        <f>[9]С2.5!$BJ$11</f>
        <v>0</v>
      </c>
    </row>
    <row r="201" spans="2:3" hidden="1" x14ac:dyDescent="0.2">
      <c r="B201" s="110">
        <f t="shared" si="0"/>
        <v>2078</v>
      </c>
      <c r="C201" s="111">
        <f>[9]С2.5!$BK$11</f>
        <v>0</v>
      </c>
    </row>
    <row r="202" spans="2:3" hidden="1" x14ac:dyDescent="0.2">
      <c r="B202" s="110">
        <f t="shared" si="0"/>
        <v>2079</v>
      </c>
      <c r="C202" s="111">
        <f>[9]С2.5!$BL$11</f>
        <v>0</v>
      </c>
    </row>
    <row r="203" spans="2:3" hidden="1" x14ac:dyDescent="0.2">
      <c r="B203" s="110">
        <f t="shared" si="0"/>
        <v>2080</v>
      </c>
      <c r="C203" s="111">
        <f>[9]С2.5!$BM$11</f>
        <v>0</v>
      </c>
    </row>
    <row r="204" spans="2:3" hidden="1" x14ac:dyDescent="0.2">
      <c r="B204" s="110">
        <f t="shared" si="0"/>
        <v>2081</v>
      </c>
      <c r="C204" s="111">
        <f>[9]С2.5!$BN$11</f>
        <v>0</v>
      </c>
    </row>
    <row r="205" spans="2:3" hidden="1" x14ac:dyDescent="0.2">
      <c r="B205" s="110">
        <f t="shared" si="0"/>
        <v>2082</v>
      </c>
      <c r="C205" s="111">
        <f>[9]С2.5!$BO$11</f>
        <v>0</v>
      </c>
    </row>
    <row r="206" spans="2:3" hidden="1" x14ac:dyDescent="0.2">
      <c r="B206" s="110">
        <f t="shared" si="0"/>
        <v>2083</v>
      </c>
      <c r="C206" s="111">
        <f>[9]С2.5!$BP$11</f>
        <v>0</v>
      </c>
    </row>
    <row r="207" spans="2:3" hidden="1" x14ac:dyDescent="0.2">
      <c r="B207" s="110">
        <f t="shared" si="0"/>
        <v>2084</v>
      </c>
      <c r="C207" s="111">
        <f>[9]С2.5!$BQ$11</f>
        <v>0</v>
      </c>
    </row>
    <row r="208" spans="2:3" hidden="1" x14ac:dyDescent="0.2">
      <c r="B208" s="110">
        <f t="shared" si="0"/>
        <v>2085</v>
      </c>
      <c r="C208" s="111">
        <f>[9]С2.5!$BR$11</f>
        <v>0</v>
      </c>
    </row>
    <row r="209" spans="2:3" hidden="1" x14ac:dyDescent="0.2">
      <c r="B209" s="110">
        <f t="shared" ref="B209:B223" si="1">B208+1</f>
        <v>2086</v>
      </c>
      <c r="C209" s="111">
        <f>[9]С2.5!$BS$11</f>
        <v>0</v>
      </c>
    </row>
    <row r="210" spans="2:3" hidden="1" x14ac:dyDescent="0.2">
      <c r="B210" s="110">
        <f t="shared" si="1"/>
        <v>2087</v>
      </c>
      <c r="C210" s="111">
        <f>[9]С2.5!$BT$11</f>
        <v>0</v>
      </c>
    </row>
    <row r="211" spans="2:3" hidden="1" x14ac:dyDescent="0.2">
      <c r="B211" s="110">
        <f t="shared" si="1"/>
        <v>2088</v>
      </c>
      <c r="C211" s="111">
        <f>[9]С2.5!$BU$11</f>
        <v>0</v>
      </c>
    </row>
    <row r="212" spans="2:3" hidden="1" x14ac:dyDescent="0.2">
      <c r="B212" s="110">
        <f t="shared" si="1"/>
        <v>2089</v>
      </c>
      <c r="C212" s="111">
        <f>[9]С2.5!$BV$11</f>
        <v>0</v>
      </c>
    </row>
    <row r="213" spans="2:3" hidden="1" x14ac:dyDescent="0.2">
      <c r="B213" s="110">
        <f t="shared" si="1"/>
        <v>2090</v>
      </c>
      <c r="C213" s="111">
        <f>[9]С2.5!$BW$11</f>
        <v>0</v>
      </c>
    </row>
    <row r="214" spans="2:3" hidden="1" x14ac:dyDescent="0.2">
      <c r="B214" s="110">
        <f t="shared" si="1"/>
        <v>2091</v>
      </c>
      <c r="C214" s="111">
        <f>[9]С2.5!$BX$11</f>
        <v>0</v>
      </c>
    </row>
    <row r="215" spans="2:3" hidden="1" x14ac:dyDescent="0.2">
      <c r="B215" s="110">
        <f t="shared" si="1"/>
        <v>2092</v>
      </c>
      <c r="C215" s="111">
        <f>[9]С2.5!$BY$11</f>
        <v>0</v>
      </c>
    </row>
    <row r="216" spans="2:3" hidden="1" x14ac:dyDescent="0.2">
      <c r="B216" s="110">
        <f t="shared" si="1"/>
        <v>2093</v>
      </c>
      <c r="C216" s="111">
        <f>[9]С2.5!$BZ$11</f>
        <v>0</v>
      </c>
    </row>
    <row r="217" spans="2:3" hidden="1" x14ac:dyDescent="0.2">
      <c r="B217" s="110">
        <f t="shared" si="1"/>
        <v>2094</v>
      </c>
      <c r="C217" s="111">
        <f>[9]С2.5!$CA$11</f>
        <v>0</v>
      </c>
    </row>
    <row r="218" spans="2:3" hidden="1" x14ac:dyDescent="0.2">
      <c r="B218" s="110">
        <f t="shared" si="1"/>
        <v>2095</v>
      </c>
      <c r="C218" s="111">
        <f>[9]С2.5!$CB$11</f>
        <v>0</v>
      </c>
    </row>
    <row r="219" spans="2:3" hidden="1" x14ac:dyDescent="0.2">
      <c r="B219" s="110">
        <f t="shared" si="1"/>
        <v>2096</v>
      </c>
      <c r="C219" s="111">
        <f>[9]С2.5!$CC$11</f>
        <v>0</v>
      </c>
    </row>
    <row r="220" spans="2:3" hidden="1" x14ac:dyDescent="0.2">
      <c r="B220" s="110">
        <f t="shared" si="1"/>
        <v>2097</v>
      </c>
      <c r="C220" s="111">
        <f>[9]С2.5!$CD$11</f>
        <v>0</v>
      </c>
    </row>
    <row r="221" spans="2:3" hidden="1" x14ac:dyDescent="0.2">
      <c r="B221" s="110">
        <f t="shared" si="1"/>
        <v>2098</v>
      </c>
      <c r="C221" s="111">
        <f>[9]С2.5!$CE$11</f>
        <v>0</v>
      </c>
    </row>
    <row r="222" spans="2:3" hidden="1" x14ac:dyDescent="0.2">
      <c r="B222" s="110">
        <f t="shared" si="1"/>
        <v>2099</v>
      </c>
      <c r="C222" s="111">
        <f>[9]С2.5!$CF$11</f>
        <v>0</v>
      </c>
    </row>
    <row r="223" spans="2:3" ht="13.5" hidden="1" thickBot="1" x14ac:dyDescent="0.25">
      <c r="B223" s="112">
        <f t="shared" si="1"/>
        <v>2100</v>
      </c>
      <c r="C223" s="113">
        <f>[9]С2.5!$CG$11</f>
        <v>0</v>
      </c>
    </row>
    <row r="224" spans="2:3" hidden="1" x14ac:dyDescent="0.2">
      <c r="C224" s="116"/>
    </row>
    <row r="225" spans="3:3" hidden="1" x14ac:dyDescent="0.2">
      <c r="C225" s="116"/>
    </row>
    <row r="226" spans="3:3" x14ac:dyDescent="0.2">
      <c r="C226" s="116"/>
    </row>
  </sheetData>
  <mergeCells count="9">
    <mergeCell ref="B141:C141"/>
    <mergeCell ref="A14:C14"/>
    <mergeCell ref="B1:C1"/>
    <mergeCell ref="B27:C27"/>
    <mergeCell ref="B40:C40"/>
    <mergeCell ref="B84:C84"/>
    <mergeCell ref="B95:C95"/>
    <mergeCell ref="B124:C124"/>
    <mergeCell ref="B127:C127"/>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26"/>
  <sheetViews>
    <sheetView workbookViewId="0">
      <selection activeCell="C7" sqref="C7"/>
    </sheetView>
  </sheetViews>
  <sheetFormatPr defaultRowHeight="12.75" x14ac:dyDescent="0.2"/>
  <cols>
    <col min="1" max="1" width="7.28515625" style="2" customWidth="1"/>
    <col min="2" max="2" width="100.7109375" style="2" customWidth="1"/>
    <col min="3" max="3" width="20.85546875" style="139" customWidth="1"/>
    <col min="4" max="151" width="9.140625" style="2"/>
    <col min="152" max="233" width="0" style="2" hidden="1" customWidth="1"/>
    <col min="234" max="242" width="9.140625" style="2"/>
    <col min="243" max="243" width="3.7109375" style="2" customWidth="1"/>
    <col min="244" max="244" width="96.85546875" style="2" customWidth="1"/>
    <col min="245" max="245" width="30.85546875" style="2" customWidth="1"/>
    <col min="246" max="246" width="12.5703125" style="2" customWidth="1"/>
    <col min="247" max="247" width="5.140625" style="2" customWidth="1"/>
    <col min="248" max="248" width="9.140625" style="2"/>
    <col min="249" max="249" width="4.85546875" style="2" customWidth="1"/>
    <col min="250" max="250" width="30.5703125" style="2" customWidth="1"/>
    <col min="251" max="251" width="33.85546875" style="2" customWidth="1"/>
    <col min="252" max="252" width="5.140625" style="2" customWidth="1"/>
    <col min="253" max="254" width="17.5703125" style="2" customWidth="1"/>
    <col min="255" max="498" width="9.140625" style="2"/>
    <col min="499" max="499" width="3.7109375" style="2" customWidth="1"/>
    <col min="500" max="500" width="96.85546875" style="2" customWidth="1"/>
    <col min="501" max="501" width="30.85546875" style="2" customWidth="1"/>
    <col min="502" max="502" width="12.5703125" style="2" customWidth="1"/>
    <col min="503" max="503" width="5.140625" style="2" customWidth="1"/>
    <col min="504" max="504" width="9.140625" style="2"/>
    <col min="505" max="505" width="4.85546875" style="2" customWidth="1"/>
    <col min="506" max="506" width="30.5703125" style="2" customWidth="1"/>
    <col min="507" max="507" width="33.85546875" style="2" customWidth="1"/>
    <col min="508" max="508" width="5.140625" style="2" customWidth="1"/>
    <col min="509" max="510" width="17.5703125" style="2" customWidth="1"/>
    <col min="511" max="754" width="9.140625" style="2"/>
    <col min="755" max="755" width="3.7109375" style="2" customWidth="1"/>
    <col min="756" max="756" width="96.85546875" style="2" customWidth="1"/>
    <col min="757" max="757" width="30.85546875" style="2" customWidth="1"/>
    <col min="758" max="758" width="12.5703125" style="2" customWidth="1"/>
    <col min="759" max="759" width="5.140625" style="2" customWidth="1"/>
    <col min="760" max="760" width="9.140625" style="2"/>
    <col min="761" max="761" width="4.85546875" style="2" customWidth="1"/>
    <col min="762" max="762" width="30.5703125" style="2" customWidth="1"/>
    <col min="763" max="763" width="33.85546875" style="2" customWidth="1"/>
    <col min="764" max="764" width="5.140625" style="2" customWidth="1"/>
    <col min="765" max="766" width="17.5703125" style="2" customWidth="1"/>
    <col min="767" max="1010" width="9.140625" style="2"/>
    <col min="1011" max="1011" width="3.7109375" style="2" customWidth="1"/>
    <col min="1012" max="1012" width="96.85546875" style="2" customWidth="1"/>
    <col min="1013" max="1013" width="30.85546875" style="2" customWidth="1"/>
    <col min="1014" max="1014" width="12.5703125" style="2" customWidth="1"/>
    <col min="1015" max="1015" width="5.140625" style="2" customWidth="1"/>
    <col min="1016" max="1016" width="9.140625" style="2"/>
    <col min="1017" max="1017" width="4.85546875" style="2" customWidth="1"/>
    <col min="1018" max="1018" width="30.5703125" style="2" customWidth="1"/>
    <col min="1019" max="1019" width="33.85546875" style="2" customWidth="1"/>
    <col min="1020" max="1020" width="5.140625" style="2" customWidth="1"/>
    <col min="1021" max="1022" width="17.5703125" style="2" customWidth="1"/>
    <col min="1023" max="1266" width="9.140625" style="2"/>
    <col min="1267" max="1267" width="3.7109375" style="2" customWidth="1"/>
    <col min="1268" max="1268" width="96.85546875" style="2" customWidth="1"/>
    <col min="1269" max="1269" width="30.85546875" style="2" customWidth="1"/>
    <col min="1270" max="1270" width="12.5703125" style="2" customWidth="1"/>
    <col min="1271" max="1271" width="5.140625" style="2" customWidth="1"/>
    <col min="1272" max="1272" width="9.140625" style="2"/>
    <col min="1273" max="1273" width="4.85546875" style="2" customWidth="1"/>
    <col min="1274" max="1274" width="30.5703125" style="2" customWidth="1"/>
    <col min="1275" max="1275" width="33.85546875" style="2" customWidth="1"/>
    <col min="1276" max="1276" width="5.140625" style="2" customWidth="1"/>
    <col min="1277" max="1278" width="17.5703125" style="2" customWidth="1"/>
    <col min="1279" max="1522" width="9.140625" style="2"/>
    <col min="1523" max="1523" width="3.7109375" style="2" customWidth="1"/>
    <col min="1524" max="1524" width="96.85546875" style="2" customWidth="1"/>
    <col min="1525" max="1525" width="30.85546875" style="2" customWidth="1"/>
    <col min="1526" max="1526" width="12.5703125" style="2" customWidth="1"/>
    <col min="1527" max="1527" width="5.140625" style="2" customWidth="1"/>
    <col min="1528" max="1528" width="9.140625" style="2"/>
    <col min="1529" max="1529" width="4.85546875" style="2" customWidth="1"/>
    <col min="1530" max="1530" width="30.5703125" style="2" customWidth="1"/>
    <col min="1531" max="1531" width="33.85546875" style="2" customWidth="1"/>
    <col min="1532" max="1532" width="5.140625" style="2" customWidth="1"/>
    <col min="1533" max="1534" width="17.5703125" style="2" customWidth="1"/>
    <col min="1535" max="1778" width="9.140625" style="2"/>
    <col min="1779" max="1779" width="3.7109375" style="2" customWidth="1"/>
    <col min="1780" max="1780" width="96.85546875" style="2" customWidth="1"/>
    <col min="1781" max="1781" width="30.85546875" style="2" customWidth="1"/>
    <col min="1782" max="1782" width="12.5703125" style="2" customWidth="1"/>
    <col min="1783" max="1783" width="5.140625" style="2" customWidth="1"/>
    <col min="1784" max="1784" width="9.140625" style="2"/>
    <col min="1785" max="1785" width="4.85546875" style="2" customWidth="1"/>
    <col min="1786" max="1786" width="30.5703125" style="2" customWidth="1"/>
    <col min="1787" max="1787" width="33.85546875" style="2" customWidth="1"/>
    <col min="1788" max="1788" width="5.140625" style="2" customWidth="1"/>
    <col min="1789" max="1790" width="17.5703125" style="2" customWidth="1"/>
    <col min="1791" max="2034" width="9.140625" style="2"/>
    <col min="2035" max="2035" width="3.7109375" style="2" customWidth="1"/>
    <col min="2036" max="2036" width="96.85546875" style="2" customWidth="1"/>
    <col min="2037" max="2037" width="30.85546875" style="2" customWidth="1"/>
    <col min="2038" max="2038" width="12.5703125" style="2" customWidth="1"/>
    <col min="2039" max="2039" width="5.140625" style="2" customWidth="1"/>
    <col min="2040" max="2040" width="9.140625" style="2"/>
    <col min="2041" max="2041" width="4.85546875" style="2" customWidth="1"/>
    <col min="2042" max="2042" width="30.5703125" style="2" customWidth="1"/>
    <col min="2043" max="2043" width="33.85546875" style="2" customWidth="1"/>
    <col min="2044" max="2044" width="5.140625" style="2" customWidth="1"/>
    <col min="2045" max="2046" width="17.5703125" style="2" customWidth="1"/>
    <col min="2047" max="2290" width="9.140625" style="2"/>
    <col min="2291" max="2291" width="3.7109375" style="2" customWidth="1"/>
    <col min="2292" max="2292" width="96.85546875" style="2" customWidth="1"/>
    <col min="2293" max="2293" width="30.85546875" style="2" customWidth="1"/>
    <col min="2294" max="2294" width="12.5703125" style="2" customWidth="1"/>
    <col min="2295" max="2295" width="5.140625" style="2" customWidth="1"/>
    <col min="2296" max="2296" width="9.140625" style="2"/>
    <col min="2297" max="2297" width="4.85546875" style="2" customWidth="1"/>
    <col min="2298" max="2298" width="30.5703125" style="2" customWidth="1"/>
    <col min="2299" max="2299" width="33.85546875" style="2" customWidth="1"/>
    <col min="2300" max="2300" width="5.140625" style="2" customWidth="1"/>
    <col min="2301" max="2302" width="17.5703125" style="2" customWidth="1"/>
    <col min="2303" max="2546" width="9.140625" style="2"/>
    <col min="2547" max="2547" width="3.7109375" style="2" customWidth="1"/>
    <col min="2548" max="2548" width="96.85546875" style="2" customWidth="1"/>
    <col min="2549" max="2549" width="30.85546875" style="2" customWidth="1"/>
    <col min="2550" max="2550" width="12.5703125" style="2" customWidth="1"/>
    <col min="2551" max="2551" width="5.140625" style="2" customWidth="1"/>
    <col min="2552" max="2552" width="9.140625" style="2"/>
    <col min="2553" max="2553" width="4.85546875" style="2" customWidth="1"/>
    <col min="2554" max="2554" width="30.5703125" style="2" customWidth="1"/>
    <col min="2555" max="2555" width="33.85546875" style="2" customWidth="1"/>
    <col min="2556" max="2556" width="5.140625" style="2" customWidth="1"/>
    <col min="2557" max="2558" width="17.5703125" style="2" customWidth="1"/>
    <col min="2559" max="2802" width="9.140625" style="2"/>
    <col min="2803" max="2803" width="3.7109375" style="2" customWidth="1"/>
    <col min="2804" max="2804" width="96.85546875" style="2" customWidth="1"/>
    <col min="2805" max="2805" width="30.85546875" style="2" customWidth="1"/>
    <col min="2806" max="2806" width="12.5703125" style="2" customWidth="1"/>
    <col min="2807" max="2807" width="5.140625" style="2" customWidth="1"/>
    <col min="2808" max="2808" width="9.140625" style="2"/>
    <col min="2809" max="2809" width="4.85546875" style="2" customWidth="1"/>
    <col min="2810" max="2810" width="30.5703125" style="2" customWidth="1"/>
    <col min="2811" max="2811" width="33.85546875" style="2" customWidth="1"/>
    <col min="2812" max="2812" width="5.140625" style="2" customWidth="1"/>
    <col min="2813" max="2814" width="17.5703125" style="2" customWidth="1"/>
    <col min="2815" max="3058" width="9.140625" style="2"/>
    <col min="3059" max="3059" width="3.7109375" style="2" customWidth="1"/>
    <col min="3060" max="3060" width="96.85546875" style="2" customWidth="1"/>
    <col min="3061" max="3061" width="30.85546875" style="2" customWidth="1"/>
    <col min="3062" max="3062" width="12.5703125" style="2" customWidth="1"/>
    <col min="3063" max="3063" width="5.140625" style="2" customWidth="1"/>
    <col min="3064" max="3064" width="9.140625" style="2"/>
    <col min="3065" max="3065" width="4.85546875" style="2" customWidth="1"/>
    <col min="3066" max="3066" width="30.5703125" style="2" customWidth="1"/>
    <col min="3067" max="3067" width="33.85546875" style="2" customWidth="1"/>
    <col min="3068" max="3068" width="5.140625" style="2" customWidth="1"/>
    <col min="3069" max="3070" width="17.5703125" style="2" customWidth="1"/>
    <col min="3071" max="3314" width="9.140625" style="2"/>
    <col min="3315" max="3315" width="3.7109375" style="2" customWidth="1"/>
    <col min="3316" max="3316" width="96.85546875" style="2" customWidth="1"/>
    <col min="3317" max="3317" width="30.85546875" style="2" customWidth="1"/>
    <col min="3318" max="3318" width="12.5703125" style="2" customWidth="1"/>
    <col min="3319" max="3319" width="5.140625" style="2" customWidth="1"/>
    <col min="3320" max="3320" width="9.140625" style="2"/>
    <col min="3321" max="3321" width="4.85546875" style="2" customWidth="1"/>
    <col min="3322" max="3322" width="30.5703125" style="2" customWidth="1"/>
    <col min="3323" max="3323" width="33.85546875" style="2" customWidth="1"/>
    <col min="3324" max="3324" width="5.140625" style="2" customWidth="1"/>
    <col min="3325" max="3326" width="17.5703125" style="2" customWidth="1"/>
    <col min="3327" max="3570" width="9.140625" style="2"/>
    <col min="3571" max="3571" width="3.7109375" style="2" customWidth="1"/>
    <col min="3572" max="3572" width="96.85546875" style="2" customWidth="1"/>
    <col min="3573" max="3573" width="30.85546875" style="2" customWidth="1"/>
    <col min="3574" max="3574" width="12.5703125" style="2" customWidth="1"/>
    <col min="3575" max="3575" width="5.140625" style="2" customWidth="1"/>
    <col min="3576" max="3576" width="9.140625" style="2"/>
    <col min="3577" max="3577" width="4.85546875" style="2" customWidth="1"/>
    <col min="3578" max="3578" width="30.5703125" style="2" customWidth="1"/>
    <col min="3579" max="3579" width="33.85546875" style="2" customWidth="1"/>
    <col min="3580" max="3580" width="5.140625" style="2" customWidth="1"/>
    <col min="3581" max="3582" width="17.5703125" style="2" customWidth="1"/>
    <col min="3583" max="3826" width="9.140625" style="2"/>
    <col min="3827" max="3827" width="3.7109375" style="2" customWidth="1"/>
    <col min="3828" max="3828" width="96.85546875" style="2" customWidth="1"/>
    <col min="3829" max="3829" width="30.85546875" style="2" customWidth="1"/>
    <col min="3830" max="3830" width="12.5703125" style="2" customWidth="1"/>
    <col min="3831" max="3831" width="5.140625" style="2" customWidth="1"/>
    <col min="3832" max="3832" width="9.140625" style="2"/>
    <col min="3833" max="3833" width="4.85546875" style="2" customWidth="1"/>
    <col min="3834" max="3834" width="30.5703125" style="2" customWidth="1"/>
    <col min="3835" max="3835" width="33.85546875" style="2" customWidth="1"/>
    <col min="3836" max="3836" width="5.140625" style="2" customWidth="1"/>
    <col min="3837" max="3838" width="17.5703125" style="2" customWidth="1"/>
    <col min="3839" max="4082" width="9.140625" style="2"/>
    <col min="4083" max="4083" width="3.7109375" style="2" customWidth="1"/>
    <col min="4084" max="4084" width="96.85546875" style="2" customWidth="1"/>
    <col min="4085" max="4085" width="30.85546875" style="2" customWidth="1"/>
    <col min="4086" max="4086" width="12.5703125" style="2" customWidth="1"/>
    <col min="4087" max="4087" width="5.140625" style="2" customWidth="1"/>
    <col min="4088" max="4088" width="9.140625" style="2"/>
    <col min="4089" max="4089" width="4.85546875" style="2" customWidth="1"/>
    <col min="4090" max="4090" width="30.5703125" style="2" customWidth="1"/>
    <col min="4091" max="4091" width="33.85546875" style="2" customWidth="1"/>
    <col min="4092" max="4092" width="5.140625" style="2" customWidth="1"/>
    <col min="4093" max="4094" width="17.5703125" style="2" customWidth="1"/>
    <col min="4095" max="4338" width="9.140625" style="2"/>
    <col min="4339" max="4339" width="3.7109375" style="2" customWidth="1"/>
    <col min="4340" max="4340" width="96.85546875" style="2" customWidth="1"/>
    <col min="4341" max="4341" width="30.85546875" style="2" customWidth="1"/>
    <col min="4342" max="4342" width="12.5703125" style="2" customWidth="1"/>
    <col min="4343" max="4343" width="5.140625" style="2" customWidth="1"/>
    <col min="4344" max="4344" width="9.140625" style="2"/>
    <col min="4345" max="4345" width="4.85546875" style="2" customWidth="1"/>
    <col min="4346" max="4346" width="30.5703125" style="2" customWidth="1"/>
    <col min="4347" max="4347" width="33.85546875" style="2" customWidth="1"/>
    <col min="4348" max="4348" width="5.140625" style="2" customWidth="1"/>
    <col min="4349" max="4350" width="17.5703125" style="2" customWidth="1"/>
    <col min="4351" max="4594" width="9.140625" style="2"/>
    <col min="4595" max="4595" width="3.7109375" style="2" customWidth="1"/>
    <col min="4596" max="4596" width="96.85546875" style="2" customWidth="1"/>
    <col min="4597" max="4597" width="30.85546875" style="2" customWidth="1"/>
    <col min="4598" max="4598" width="12.5703125" style="2" customWidth="1"/>
    <col min="4599" max="4599" width="5.140625" style="2" customWidth="1"/>
    <col min="4600" max="4600" width="9.140625" style="2"/>
    <col min="4601" max="4601" width="4.85546875" style="2" customWidth="1"/>
    <col min="4602" max="4602" width="30.5703125" style="2" customWidth="1"/>
    <col min="4603" max="4603" width="33.85546875" style="2" customWidth="1"/>
    <col min="4604" max="4604" width="5.140625" style="2" customWidth="1"/>
    <col min="4605" max="4606" width="17.5703125" style="2" customWidth="1"/>
    <col min="4607" max="4850" width="9.140625" style="2"/>
    <col min="4851" max="4851" width="3.7109375" style="2" customWidth="1"/>
    <col min="4852" max="4852" width="96.85546875" style="2" customWidth="1"/>
    <col min="4853" max="4853" width="30.85546875" style="2" customWidth="1"/>
    <col min="4854" max="4854" width="12.5703125" style="2" customWidth="1"/>
    <col min="4855" max="4855" width="5.140625" style="2" customWidth="1"/>
    <col min="4856" max="4856" width="9.140625" style="2"/>
    <col min="4857" max="4857" width="4.85546875" style="2" customWidth="1"/>
    <col min="4858" max="4858" width="30.5703125" style="2" customWidth="1"/>
    <col min="4859" max="4859" width="33.85546875" style="2" customWidth="1"/>
    <col min="4860" max="4860" width="5.140625" style="2" customWidth="1"/>
    <col min="4861" max="4862" width="17.5703125" style="2" customWidth="1"/>
    <col min="4863" max="5106" width="9.140625" style="2"/>
    <col min="5107" max="5107" width="3.7109375" style="2" customWidth="1"/>
    <col min="5108" max="5108" width="96.85546875" style="2" customWidth="1"/>
    <col min="5109" max="5109" width="30.85546875" style="2" customWidth="1"/>
    <col min="5110" max="5110" width="12.5703125" style="2" customWidth="1"/>
    <col min="5111" max="5111" width="5.140625" style="2" customWidth="1"/>
    <col min="5112" max="5112" width="9.140625" style="2"/>
    <col min="5113" max="5113" width="4.85546875" style="2" customWidth="1"/>
    <col min="5114" max="5114" width="30.5703125" style="2" customWidth="1"/>
    <col min="5115" max="5115" width="33.85546875" style="2" customWidth="1"/>
    <col min="5116" max="5116" width="5.140625" style="2" customWidth="1"/>
    <col min="5117" max="5118" width="17.5703125" style="2" customWidth="1"/>
    <col min="5119" max="5362" width="9.140625" style="2"/>
    <col min="5363" max="5363" width="3.7109375" style="2" customWidth="1"/>
    <col min="5364" max="5364" width="96.85546875" style="2" customWidth="1"/>
    <col min="5365" max="5365" width="30.85546875" style="2" customWidth="1"/>
    <col min="5366" max="5366" width="12.5703125" style="2" customWidth="1"/>
    <col min="5367" max="5367" width="5.140625" style="2" customWidth="1"/>
    <col min="5368" max="5368" width="9.140625" style="2"/>
    <col min="5369" max="5369" width="4.85546875" style="2" customWidth="1"/>
    <col min="5370" max="5370" width="30.5703125" style="2" customWidth="1"/>
    <col min="5371" max="5371" width="33.85546875" style="2" customWidth="1"/>
    <col min="5372" max="5372" width="5.140625" style="2" customWidth="1"/>
    <col min="5373" max="5374" width="17.5703125" style="2" customWidth="1"/>
    <col min="5375" max="5618" width="9.140625" style="2"/>
    <col min="5619" max="5619" width="3.7109375" style="2" customWidth="1"/>
    <col min="5620" max="5620" width="96.85546875" style="2" customWidth="1"/>
    <col min="5621" max="5621" width="30.85546875" style="2" customWidth="1"/>
    <col min="5622" max="5622" width="12.5703125" style="2" customWidth="1"/>
    <col min="5623" max="5623" width="5.140625" style="2" customWidth="1"/>
    <col min="5624" max="5624" width="9.140625" style="2"/>
    <col min="5625" max="5625" width="4.85546875" style="2" customWidth="1"/>
    <col min="5626" max="5626" width="30.5703125" style="2" customWidth="1"/>
    <col min="5627" max="5627" width="33.85546875" style="2" customWidth="1"/>
    <col min="5628" max="5628" width="5.140625" style="2" customWidth="1"/>
    <col min="5629" max="5630" width="17.5703125" style="2" customWidth="1"/>
    <col min="5631" max="5874" width="9.140625" style="2"/>
    <col min="5875" max="5875" width="3.7109375" style="2" customWidth="1"/>
    <col min="5876" max="5876" width="96.85546875" style="2" customWidth="1"/>
    <col min="5877" max="5877" width="30.85546875" style="2" customWidth="1"/>
    <col min="5878" max="5878" width="12.5703125" style="2" customWidth="1"/>
    <col min="5879" max="5879" width="5.140625" style="2" customWidth="1"/>
    <col min="5880" max="5880" width="9.140625" style="2"/>
    <col min="5881" max="5881" width="4.85546875" style="2" customWidth="1"/>
    <col min="5882" max="5882" width="30.5703125" style="2" customWidth="1"/>
    <col min="5883" max="5883" width="33.85546875" style="2" customWidth="1"/>
    <col min="5884" max="5884" width="5.140625" style="2" customWidth="1"/>
    <col min="5885" max="5886" width="17.5703125" style="2" customWidth="1"/>
    <col min="5887" max="6130" width="9.140625" style="2"/>
    <col min="6131" max="6131" width="3.7109375" style="2" customWidth="1"/>
    <col min="6132" max="6132" width="96.85546875" style="2" customWidth="1"/>
    <col min="6133" max="6133" width="30.85546875" style="2" customWidth="1"/>
    <col min="6134" max="6134" width="12.5703125" style="2" customWidth="1"/>
    <col min="6135" max="6135" width="5.140625" style="2" customWidth="1"/>
    <col min="6136" max="6136" width="9.140625" style="2"/>
    <col min="6137" max="6137" width="4.85546875" style="2" customWidth="1"/>
    <col min="6138" max="6138" width="30.5703125" style="2" customWidth="1"/>
    <col min="6139" max="6139" width="33.85546875" style="2" customWidth="1"/>
    <col min="6140" max="6140" width="5.140625" style="2" customWidth="1"/>
    <col min="6141" max="6142" width="17.5703125" style="2" customWidth="1"/>
    <col min="6143" max="6386" width="9.140625" style="2"/>
    <col min="6387" max="6387" width="3.7109375" style="2" customWidth="1"/>
    <col min="6388" max="6388" width="96.85546875" style="2" customWidth="1"/>
    <col min="6389" max="6389" width="30.85546875" style="2" customWidth="1"/>
    <col min="6390" max="6390" width="12.5703125" style="2" customWidth="1"/>
    <col min="6391" max="6391" width="5.140625" style="2" customWidth="1"/>
    <col min="6392" max="6392" width="9.140625" style="2"/>
    <col min="6393" max="6393" width="4.85546875" style="2" customWidth="1"/>
    <col min="6394" max="6394" width="30.5703125" style="2" customWidth="1"/>
    <col min="6395" max="6395" width="33.85546875" style="2" customWidth="1"/>
    <col min="6396" max="6396" width="5.140625" style="2" customWidth="1"/>
    <col min="6397" max="6398" width="17.5703125" style="2" customWidth="1"/>
    <col min="6399" max="6642" width="9.140625" style="2"/>
    <col min="6643" max="6643" width="3.7109375" style="2" customWidth="1"/>
    <col min="6644" max="6644" width="96.85546875" style="2" customWidth="1"/>
    <col min="6645" max="6645" width="30.85546875" style="2" customWidth="1"/>
    <col min="6646" max="6646" width="12.5703125" style="2" customWidth="1"/>
    <col min="6647" max="6647" width="5.140625" style="2" customWidth="1"/>
    <col min="6648" max="6648" width="9.140625" style="2"/>
    <col min="6649" max="6649" width="4.85546875" style="2" customWidth="1"/>
    <col min="6650" max="6650" width="30.5703125" style="2" customWidth="1"/>
    <col min="6651" max="6651" width="33.85546875" style="2" customWidth="1"/>
    <col min="6652" max="6652" width="5.140625" style="2" customWidth="1"/>
    <col min="6653" max="6654" width="17.5703125" style="2" customWidth="1"/>
    <col min="6655" max="6898" width="9.140625" style="2"/>
    <col min="6899" max="6899" width="3.7109375" style="2" customWidth="1"/>
    <col min="6900" max="6900" width="96.85546875" style="2" customWidth="1"/>
    <col min="6901" max="6901" width="30.85546875" style="2" customWidth="1"/>
    <col min="6902" max="6902" width="12.5703125" style="2" customWidth="1"/>
    <col min="6903" max="6903" width="5.140625" style="2" customWidth="1"/>
    <col min="6904" max="6904" width="9.140625" style="2"/>
    <col min="6905" max="6905" width="4.85546875" style="2" customWidth="1"/>
    <col min="6906" max="6906" width="30.5703125" style="2" customWidth="1"/>
    <col min="6907" max="6907" width="33.85546875" style="2" customWidth="1"/>
    <col min="6908" max="6908" width="5.140625" style="2" customWidth="1"/>
    <col min="6909" max="6910" width="17.5703125" style="2" customWidth="1"/>
    <col min="6911" max="7154" width="9.140625" style="2"/>
    <col min="7155" max="7155" width="3.7109375" style="2" customWidth="1"/>
    <col min="7156" max="7156" width="96.85546875" style="2" customWidth="1"/>
    <col min="7157" max="7157" width="30.85546875" style="2" customWidth="1"/>
    <col min="7158" max="7158" width="12.5703125" style="2" customWidth="1"/>
    <col min="7159" max="7159" width="5.140625" style="2" customWidth="1"/>
    <col min="7160" max="7160" width="9.140625" style="2"/>
    <col min="7161" max="7161" width="4.85546875" style="2" customWidth="1"/>
    <col min="7162" max="7162" width="30.5703125" style="2" customWidth="1"/>
    <col min="7163" max="7163" width="33.85546875" style="2" customWidth="1"/>
    <col min="7164" max="7164" width="5.140625" style="2" customWidth="1"/>
    <col min="7165" max="7166" width="17.5703125" style="2" customWidth="1"/>
    <col min="7167" max="7410" width="9.140625" style="2"/>
    <col min="7411" max="7411" width="3.7109375" style="2" customWidth="1"/>
    <col min="7412" max="7412" width="96.85546875" style="2" customWidth="1"/>
    <col min="7413" max="7413" width="30.85546875" style="2" customWidth="1"/>
    <col min="7414" max="7414" width="12.5703125" style="2" customWidth="1"/>
    <col min="7415" max="7415" width="5.140625" style="2" customWidth="1"/>
    <col min="7416" max="7416" width="9.140625" style="2"/>
    <col min="7417" max="7417" width="4.85546875" style="2" customWidth="1"/>
    <col min="7418" max="7418" width="30.5703125" style="2" customWidth="1"/>
    <col min="7419" max="7419" width="33.85546875" style="2" customWidth="1"/>
    <col min="7420" max="7420" width="5.140625" style="2" customWidth="1"/>
    <col min="7421" max="7422" width="17.5703125" style="2" customWidth="1"/>
    <col min="7423" max="7666" width="9.140625" style="2"/>
    <col min="7667" max="7667" width="3.7109375" style="2" customWidth="1"/>
    <col min="7668" max="7668" width="96.85546875" style="2" customWidth="1"/>
    <col min="7669" max="7669" width="30.85546875" style="2" customWidth="1"/>
    <col min="7670" max="7670" width="12.5703125" style="2" customWidth="1"/>
    <col min="7671" max="7671" width="5.140625" style="2" customWidth="1"/>
    <col min="7672" max="7672" width="9.140625" style="2"/>
    <col min="7673" max="7673" width="4.85546875" style="2" customWidth="1"/>
    <col min="7674" max="7674" width="30.5703125" style="2" customWidth="1"/>
    <col min="7675" max="7675" width="33.85546875" style="2" customWidth="1"/>
    <col min="7676" max="7676" width="5.140625" style="2" customWidth="1"/>
    <col min="7677" max="7678" width="17.5703125" style="2" customWidth="1"/>
    <col min="7679" max="7922" width="9.140625" style="2"/>
    <col min="7923" max="7923" width="3.7109375" style="2" customWidth="1"/>
    <col min="7924" max="7924" width="96.85546875" style="2" customWidth="1"/>
    <col min="7925" max="7925" width="30.85546875" style="2" customWidth="1"/>
    <col min="7926" max="7926" width="12.5703125" style="2" customWidth="1"/>
    <col min="7927" max="7927" width="5.140625" style="2" customWidth="1"/>
    <col min="7928" max="7928" width="9.140625" style="2"/>
    <col min="7929" max="7929" width="4.85546875" style="2" customWidth="1"/>
    <col min="7930" max="7930" width="30.5703125" style="2" customWidth="1"/>
    <col min="7931" max="7931" width="33.85546875" style="2" customWidth="1"/>
    <col min="7932" max="7932" width="5.140625" style="2" customWidth="1"/>
    <col min="7933" max="7934" width="17.5703125" style="2" customWidth="1"/>
    <col min="7935" max="8178" width="9.140625" style="2"/>
    <col min="8179" max="8179" width="3.7109375" style="2" customWidth="1"/>
    <col min="8180" max="8180" width="96.85546875" style="2" customWidth="1"/>
    <col min="8181" max="8181" width="30.85546875" style="2" customWidth="1"/>
    <col min="8182" max="8182" width="12.5703125" style="2" customWidth="1"/>
    <col min="8183" max="8183" width="5.140625" style="2" customWidth="1"/>
    <col min="8184" max="8184" width="9.140625" style="2"/>
    <col min="8185" max="8185" width="4.85546875" style="2" customWidth="1"/>
    <col min="8186" max="8186" width="30.5703125" style="2" customWidth="1"/>
    <col min="8187" max="8187" width="33.85546875" style="2" customWidth="1"/>
    <col min="8188" max="8188" width="5.140625" style="2" customWidth="1"/>
    <col min="8189" max="8190" width="17.5703125" style="2" customWidth="1"/>
    <col min="8191" max="8434" width="9.140625" style="2"/>
    <col min="8435" max="8435" width="3.7109375" style="2" customWidth="1"/>
    <col min="8436" max="8436" width="96.85546875" style="2" customWidth="1"/>
    <col min="8437" max="8437" width="30.85546875" style="2" customWidth="1"/>
    <col min="8438" max="8438" width="12.5703125" style="2" customWidth="1"/>
    <col min="8439" max="8439" width="5.140625" style="2" customWidth="1"/>
    <col min="8440" max="8440" width="9.140625" style="2"/>
    <col min="8441" max="8441" width="4.85546875" style="2" customWidth="1"/>
    <col min="8442" max="8442" width="30.5703125" style="2" customWidth="1"/>
    <col min="8443" max="8443" width="33.85546875" style="2" customWidth="1"/>
    <col min="8444" max="8444" width="5.140625" style="2" customWidth="1"/>
    <col min="8445" max="8446" width="17.5703125" style="2" customWidth="1"/>
    <col min="8447" max="8690" width="9.140625" style="2"/>
    <col min="8691" max="8691" width="3.7109375" style="2" customWidth="1"/>
    <col min="8692" max="8692" width="96.85546875" style="2" customWidth="1"/>
    <col min="8693" max="8693" width="30.85546875" style="2" customWidth="1"/>
    <col min="8694" max="8694" width="12.5703125" style="2" customWidth="1"/>
    <col min="8695" max="8695" width="5.140625" style="2" customWidth="1"/>
    <col min="8696" max="8696" width="9.140625" style="2"/>
    <col min="8697" max="8697" width="4.85546875" style="2" customWidth="1"/>
    <col min="8698" max="8698" width="30.5703125" style="2" customWidth="1"/>
    <col min="8699" max="8699" width="33.85546875" style="2" customWidth="1"/>
    <col min="8700" max="8700" width="5.140625" style="2" customWidth="1"/>
    <col min="8701" max="8702" width="17.5703125" style="2" customWidth="1"/>
    <col min="8703" max="8946" width="9.140625" style="2"/>
    <col min="8947" max="8947" width="3.7109375" style="2" customWidth="1"/>
    <col min="8948" max="8948" width="96.85546875" style="2" customWidth="1"/>
    <col min="8949" max="8949" width="30.85546875" style="2" customWidth="1"/>
    <col min="8950" max="8950" width="12.5703125" style="2" customWidth="1"/>
    <col min="8951" max="8951" width="5.140625" style="2" customWidth="1"/>
    <col min="8952" max="8952" width="9.140625" style="2"/>
    <col min="8953" max="8953" width="4.85546875" style="2" customWidth="1"/>
    <col min="8954" max="8954" width="30.5703125" style="2" customWidth="1"/>
    <col min="8955" max="8955" width="33.85546875" style="2" customWidth="1"/>
    <col min="8956" max="8956" width="5.140625" style="2" customWidth="1"/>
    <col min="8957" max="8958" width="17.5703125" style="2" customWidth="1"/>
    <col min="8959" max="9202" width="9.140625" style="2"/>
    <col min="9203" max="9203" width="3.7109375" style="2" customWidth="1"/>
    <col min="9204" max="9204" width="96.85546875" style="2" customWidth="1"/>
    <col min="9205" max="9205" width="30.85546875" style="2" customWidth="1"/>
    <col min="9206" max="9206" width="12.5703125" style="2" customWidth="1"/>
    <col min="9207" max="9207" width="5.140625" style="2" customWidth="1"/>
    <col min="9208" max="9208" width="9.140625" style="2"/>
    <col min="9209" max="9209" width="4.85546875" style="2" customWidth="1"/>
    <col min="9210" max="9210" width="30.5703125" style="2" customWidth="1"/>
    <col min="9211" max="9211" width="33.85546875" style="2" customWidth="1"/>
    <col min="9212" max="9212" width="5.140625" style="2" customWidth="1"/>
    <col min="9213" max="9214" width="17.5703125" style="2" customWidth="1"/>
    <col min="9215" max="9458" width="9.140625" style="2"/>
    <col min="9459" max="9459" width="3.7109375" style="2" customWidth="1"/>
    <col min="9460" max="9460" width="96.85546875" style="2" customWidth="1"/>
    <col min="9461" max="9461" width="30.85546875" style="2" customWidth="1"/>
    <col min="9462" max="9462" width="12.5703125" style="2" customWidth="1"/>
    <col min="9463" max="9463" width="5.140625" style="2" customWidth="1"/>
    <col min="9464" max="9464" width="9.140625" style="2"/>
    <col min="9465" max="9465" width="4.85546875" style="2" customWidth="1"/>
    <col min="9466" max="9466" width="30.5703125" style="2" customWidth="1"/>
    <col min="9467" max="9467" width="33.85546875" style="2" customWidth="1"/>
    <col min="9468" max="9468" width="5.140625" style="2" customWidth="1"/>
    <col min="9469" max="9470" width="17.5703125" style="2" customWidth="1"/>
    <col min="9471" max="9714" width="9.140625" style="2"/>
    <col min="9715" max="9715" width="3.7109375" style="2" customWidth="1"/>
    <col min="9716" max="9716" width="96.85546875" style="2" customWidth="1"/>
    <col min="9717" max="9717" width="30.85546875" style="2" customWidth="1"/>
    <col min="9718" max="9718" width="12.5703125" style="2" customWidth="1"/>
    <col min="9719" max="9719" width="5.140625" style="2" customWidth="1"/>
    <col min="9720" max="9720" width="9.140625" style="2"/>
    <col min="9721" max="9721" width="4.85546875" style="2" customWidth="1"/>
    <col min="9722" max="9722" width="30.5703125" style="2" customWidth="1"/>
    <col min="9723" max="9723" width="33.85546875" style="2" customWidth="1"/>
    <col min="9724" max="9724" width="5.140625" style="2" customWidth="1"/>
    <col min="9725" max="9726" width="17.5703125" style="2" customWidth="1"/>
    <col min="9727" max="9970" width="9.140625" style="2"/>
    <col min="9971" max="9971" width="3.7109375" style="2" customWidth="1"/>
    <col min="9972" max="9972" width="96.85546875" style="2" customWidth="1"/>
    <col min="9973" max="9973" width="30.85546875" style="2" customWidth="1"/>
    <col min="9974" max="9974" width="12.5703125" style="2" customWidth="1"/>
    <col min="9975" max="9975" width="5.140625" style="2" customWidth="1"/>
    <col min="9976" max="9976" width="9.140625" style="2"/>
    <col min="9977" max="9977" width="4.85546875" style="2" customWidth="1"/>
    <col min="9978" max="9978" width="30.5703125" style="2" customWidth="1"/>
    <col min="9979" max="9979" width="33.85546875" style="2" customWidth="1"/>
    <col min="9980" max="9980" width="5.140625" style="2" customWidth="1"/>
    <col min="9981" max="9982" width="17.5703125" style="2" customWidth="1"/>
    <col min="9983" max="10226" width="9.140625" style="2"/>
    <col min="10227" max="10227" width="3.7109375" style="2" customWidth="1"/>
    <col min="10228" max="10228" width="96.85546875" style="2" customWidth="1"/>
    <col min="10229" max="10229" width="30.85546875" style="2" customWidth="1"/>
    <col min="10230" max="10230" width="12.5703125" style="2" customWidth="1"/>
    <col min="10231" max="10231" width="5.140625" style="2" customWidth="1"/>
    <col min="10232" max="10232" width="9.140625" style="2"/>
    <col min="10233" max="10233" width="4.85546875" style="2" customWidth="1"/>
    <col min="10234" max="10234" width="30.5703125" style="2" customWidth="1"/>
    <col min="10235" max="10235" width="33.85546875" style="2" customWidth="1"/>
    <col min="10236" max="10236" width="5.140625" style="2" customWidth="1"/>
    <col min="10237" max="10238" width="17.5703125" style="2" customWidth="1"/>
    <col min="10239" max="10482" width="9.140625" style="2"/>
    <col min="10483" max="10483" width="3.7109375" style="2" customWidth="1"/>
    <col min="10484" max="10484" width="96.85546875" style="2" customWidth="1"/>
    <col min="10485" max="10485" width="30.85546875" style="2" customWidth="1"/>
    <col min="10486" max="10486" width="12.5703125" style="2" customWidth="1"/>
    <col min="10487" max="10487" width="5.140625" style="2" customWidth="1"/>
    <col min="10488" max="10488" width="9.140625" style="2"/>
    <col min="10489" max="10489" width="4.85546875" style="2" customWidth="1"/>
    <col min="10490" max="10490" width="30.5703125" style="2" customWidth="1"/>
    <col min="10491" max="10491" width="33.85546875" style="2" customWidth="1"/>
    <col min="10492" max="10492" width="5.140625" style="2" customWidth="1"/>
    <col min="10493" max="10494" width="17.5703125" style="2" customWidth="1"/>
    <col min="10495" max="10738" width="9.140625" style="2"/>
    <col min="10739" max="10739" width="3.7109375" style="2" customWidth="1"/>
    <col min="10740" max="10740" width="96.85546875" style="2" customWidth="1"/>
    <col min="10741" max="10741" width="30.85546875" style="2" customWidth="1"/>
    <col min="10742" max="10742" width="12.5703125" style="2" customWidth="1"/>
    <col min="10743" max="10743" width="5.140625" style="2" customWidth="1"/>
    <col min="10744" max="10744" width="9.140625" style="2"/>
    <col min="10745" max="10745" width="4.85546875" style="2" customWidth="1"/>
    <col min="10746" max="10746" width="30.5703125" style="2" customWidth="1"/>
    <col min="10747" max="10747" width="33.85546875" style="2" customWidth="1"/>
    <col min="10748" max="10748" width="5.140625" style="2" customWidth="1"/>
    <col min="10749" max="10750" width="17.5703125" style="2" customWidth="1"/>
    <col min="10751" max="10994" width="9.140625" style="2"/>
    <col min="10995" max="10995" width="3.7109375" style="2" customWidth="1"/>
    <col min="10996" max="10996" width="96.85546875" style="2" customWidth="1"/>
    <col min="10997" max="10997" width="30.85546875" style="2" customWidth="1"/>
    <col min="10998" max="10998" width="12.5703125" style="2" customWidth="1"/>
    <col min="10999" max="10999" width="5.140625" style="2" customWidth="1"/>
    <col min="11000" max="11000" width="9.140625" style="2"/>
    <col min="11001" max="11001" width="4.85546875" style="2" customWidth="1"/>
    <col min="11002" max="11002" width="30.5703125" style="2" customWidth="1"/>
    <col min="11003" max="11003" width="33.85546875" style="2" customWidth="1"/>
    <col min="11004" max="11004" width="5.140625" style="2" customWidth="1"/>
    <col min="11005" max="11006" width="17.5703125" style="2" customWidth="1"/>
    <col min="11007" max="11250" width="9.140625" style="2"/>
    <col min="11251" max="11251" width="3.7109375" style="2" customWidth="1"/>
    <col min="11252" max="11252" width="96.85546875" style="2" customWidth="1"/>
    <col min="11253" max="11253" width="30.85546875" style="2" customWidth="1"/>
    <col min="11254" max="11254" width="12.5703125" style="2" customWidth="1"/>
    <col min="11255" max="11255" width="5.140625" style="2" customWidth="1"/>
    <col min="11256" max="11256" width="9.140625" style="2"/>
    <col min="11257" max="11257" width="4.85546875" style="2" customWidth="1"/>
    <col min="11258" max="11258" width="30.5703125" style="2" customWidth="1"/>
    <col min="11259" max="11259" width="33.85546875" style="2" customWidth="1"/>
    <col min="11260" max="11260" width="5.140625" style="2" customWidth="1"/>
    <col min="11261" max="11262" width="17.5703125" style="2" customWidth="1"/>
    <col min="11263" max="11506" width="9.140625" style="2"/>
    <col min="11507" max="11507" width="3.7109375" style="2" customWidth="1"/>
    <col min="11508" max="11508" width="96.85546875" style="2" customWidth="1"/>
    <col min="11509" max="11509" width="30.85546875" style="2" customWidth="1"/>
    <col min="11510" max="11510" width="12.5703125" style="2" customWidth="1"/>
    <col min="11511" max="11511" width="5.140625" style="2" customWidth="1"/>
    <col min="11512" max="11512" width="9.140625" style="2"/>
    <col min="11513" max="11513" width="4.85546875" style="2" customWidth="1"/>
    <col min="11514" max="11514" width="30.5703125" style="2" customWidth="1"/>
    <col min="11515" max="11515" width="33.85546875" style="2" customWidth="1"/>
    <col min="11516" max="11516" width="5.140625" style="2" customWidth="1"/>
    <col min="11517" max="11518" width="17.5703125" style="2" customWidth="1"/>
    <col min="11519" max="11762" width="9.140625" style="2"/>
    <col min="11763" max="11763" width="3.7109375" style="2" customWidth="1"/>
    <col min="11764" max="11764" width="96.85546875" style="2" customWidth="1"/>
    <col min="11765" max="11765" width="30.85546875" style="2" customWidth="1"/>
    <col min="11766" max="11766" width="12.5703125" style="2" customWidth="1"/>
    <col min="11767" max="11767" width="5.140625" style="2" customWidth="1"/>
    <col min="11768" max="11768" width="9.140625" style="2"/>
    <col min="11769" max="11769" width="4.85546875" style="2" customWidth="1"/>
    <col min="11770" max="11770" width="30.5703125" style="2" customWidth="1"/>
    <col min="11771" max="11771" width="33.85546875" style="2" customWidth="1"/>
    <col min="11772" max="11772" width="5.140625" style="2" customWidth="1"/>
    <col min="11773" max="11774" width="17.5703125" style="2" customWidth="1"/>
    <col min="11775" max="12018" width="9.140625" style="2"/>
    <col min="12019" max="12019" width="3.7109375" style="2" customWidth="1"/>
    <col min="12020" max="12020" width="96.85546875" style="2" customWidth="1"/>
    <col min="12021" max="12021" width="30.85546875" style="2" customWidth="1"/>
    <col min="12022" max="12022" width="12.5703125" style="2" customWidth="1"/>
    <col min="12023" max="12023" width="5.140625" style="2" customWidth="1"/>
    <col min="12024" max="12024" width="9.140625" style="2"/>
    <col min="12025" max="12025" width="4.85546875" style="2" customWidth="1"/>
    <col min="12026" max="12026" width="30.5703125" style="2" customWidth="1"/>
    <col min="12027" max="12027" width="33.85546875" style="2" customWidth="1"/>
    <col min="12028" max="12028" width="5.140625" style="2" customWidth="1"/>
    <col min="12029" max="12030" width="17.5703125" style="2" customWidth="1"/>
    <col min="12031" max="12274" width="9.140625" style="2"/>
    <col min="12275" max="12275" width="3.7109375" style="2" customWidth="1"/>
    <col min="12276" max="12276" width="96.85546875" style="2" customWidth="1"/>
    <col min="12277" max="12277" width="30.85546875" style="2" customWidth="1"/>
    <col min="12278" max="12278" width="12.5703125" style="2" customWidth="1"/>
    <col min="12279" max="12279" width="5.140625" style="2" customWidth="1"/>
    <col min="12280" max="12280" width="9.140625" style="2"/>
    <col min="12281" max="12281" width="4.85546875" style="2" customWidth="1"/>
    <col min="12282" max="12282" width="30.5703125" style="2" customWidth="1"/>
    <col min="12283" max="12283" width="33.85546875" style="2" customWidth="1"/>
    <col min="12284" max="12284" width="5.140625" style="2" customWidth="1"/>
    <col min="12285" max="12286" width="17.5703125" style="2" customWidth="1"/>
    <col min="12287" max="12530" width="9.140625" style="2"/>
    <col min="12531" max="12531" width="3.7109375" style="2" customWidth="1"/>
    <col min="12532" max="12532" width="96.85546875" style="2" customWidth="1"/>
    <col min="12533" max="12533" width="30.85546875" style="2" customWidth="1"/>
    <col min="12534" max="12534" width="12.5703125" style="2" customWidth="1"/>
    <col min="12535" max="12535" width="5.140625" style="2" customWidth="1"/>
    <col min="12536" max="12536" width="9.140625" style="2"/>
    <col min="12537" max="12537" width="4.85546875" style="2" customWidth="1"/>
    <col min="12538" max="12538" width="30.5703125" style="2" customWidth="1"/>
    <col min="12539" max="12539" width="33.85546875" style="2" customWidth="1"/>
    <col min="12540" max="12540" width="5.140625" style="2" customWidth="1"/>
    <col min="12541" max="12542" width="17.5703125" style="2" customWidth="1"/>
    <col min="12543" max="12786" width="9.140625" style="2"/>
    <col min="12787" max="12787" width="3.7109375" style="2" customWidth="1"/>
    <col min="12788" max="12788" width="96.85546875" style="2" customWidth="1"/>
    <col min="12789" max="12789" width="30.85546875" style="2" customWidth="1"/>
    <col min="12790" max="12790" width="12.5703125" style="2" customWidth="1"/>
    <col min="12791" max="12791" width="5.140625" style="2" customWidth="1"/>
    <col min="12792" max="12792" width="9.140625" style="2"/>
    <col min="12793" max="12793" width="4.85546875" style="2" customWidth="1"/>
    <col min="12794" max="12794" width="30.5703125" style="2" customWidth="1"/>
    <col min="12795" max="12795" width="33.85546875" style="2" customWidth="1"/>
    <col min="12796" max="12796" width="5.140625" style="2" customWidth="1"/>
    <col min="12797" max="12798" width="17.5703125" style="2" customWidth="1"/>
    <col min="12799" max="13042" width="9.140625" style="2"/>
    <col min="13043" max="13043" width="3.7109375" style="2" customWidth="1"/>
    <col min="13044" max="13044" width="96.85546875" style="2" customWidth="1"/>
    <col min="13045" max="13045" width="30.85546875" style="2" customWidth="1"/>
    <col min="13046" max="13046" width="12.5703125" style="2" customWidth="1"/>
    <col min="13047" max="13047" width="5.140625" style="2" customWidth="1"/>
    <col min="13048" max="13048" width="9.140625" style="2"/>
    <col min="13049" max="13049" width="4.85546875" style="2" customWidth="1"/>
    <col min="13050" max="13050" width="30.5703125" style="2" customWidth="1"/>
    <col min="13051" max="13051" width="33.85546875" style="2" customWidth="1"/>
    <col min="13052" max="13052" width="5.140625" style="2" customWidth="1"/>
    <col min="13053" max="13054" width="17.5703125" style="2" customWidth="1"/>
    <col min="13055" max="13298" width="9.140625" style="2"/>
    <col min="13299" max="13299" width="3.7109375" style="2" customWidth="1"/>
    <col min="13300" max="13300" width="96.85546875" style="2" customWidth="1"/>
    <col min="13301" max="13301" width="30.85546875" style="2" customWidth="1"/>
    <col min="13302" max="13302" width="12.5703125" style="2" customWidth="1"/>
    <col min="13303" max="13303" width="5.140625" style="2" customWidth="1"/>
    <col min="13304" max="13304" width="9.140625" style="2"/>
    <col min="13305" max="13305" width="4.85546875" style="2" customWidth="1"/>
    <col min="13306" max="13306" width="30.5703125" style="2" customWidth="1"/>
    <col min="13307" max="13307" width="33.85546875" style="2" customWidth="1"/>
    <col min="13308" max="13308" width="5.140625" style="2" customWidth="1"/>
    <col min="13309" max="13310" width="17.5703125" style="2" customWidth="1"/>
    <col min="13311" max="13554" width="9.140625" style="2"/>
    <col min="13555" max="13555" width="3.7109375" style="2" customWidth="1"/>
    <col min="13556" max="13556" width="96.85546875" style="2" customWidth="1"/>
    <col min="13557" max="13557" width="30.85546875" style="2" customWidth="1"/>
    <col min="13558" max="13558" width="12.5703125" style="2" customWidth="1"/>
    <col min="13559" max="13559" width="5.140625" style="2" customWidth="1"/>
    <col min="13560" max="13560" width="9.140625" style="2"/>
    <col min="13561" max="13561" width="4.85546875" style="2" customWidth="1"/>
    <col min="13562" max="13562" width="30.5703125" style="2" customWidth="1"/>
    <col min="13563" max="13563" width="33.85546875" style="2" customWidth="1"/>
    <col min="13564" max="13564" width="5.140625" style="2" customWidth="1"/>
    <col min="13565" max="13566" width="17.5703125" style="2" customWidth="1"/>
    <col min="13567" max="13810" width="9.140625" style="2"/>
    <col min="13811" max="13811" width="3.7109375" style="2" customWidth="1"/>
    <col min="13812" max="13812" width="96.85546875" style="2" customWidth="1"/>
    <col min="13813" max="13813" width="30.85546875" style="2" customWidth="1"/>
    <col min="13814" max="13814" width="12.5703125" style="2" customWidth="1"/>
    <col min="13815" max="13815" width="5.140625" style="2" customWidth="1"/>
    <col min="13816" max="13816" width="9.140625" style="2"/>
    <col min="13817" max="13817" width="4.85546875" style="2" customWidth="1"/>
    <col min="13818" max="13818" width="30.5703125" style="2" customWidth="1"/>
    <col min="13819" max="13819" width="33.85546875" style="2" customWidth="1"/>
    <col min="13820" max="13820" width="5.140625" style="2" customWidth="1"/>
    <col min="13821" max="13822" width="17.5703125" style="2" customWidth="1"/>
    <col min="13823" max="14066" width="9.140625" style="2"/>
    <col min="14067" max="14067" width="3.7109375" style="2" customWidth="1"/>
    <col min="14068" max="14068" width="96.85546875" style="2" customWidth="1"/>
    <col min="14069" max="14069" width="30.85546875" style="2" customWidth="1"/>
    <col min="14070" max="14070" width="12.5703125" style="2" customWidth="1"/>
    <col min="14071" max="14071" width="5.140625" style="2" customWidth="1"/>
    <col min="14072" max="14072" width="9.140625" style="2"/>
    <col min="14073" max="14073" width="4.85546875" style="2" customWidth="1"/>
    <col min="14074" max="14074" width="30.5703125" style="2" customWidth="1"/>
    <col min="14075" max="14075" width="33.85546875" style="2" customWidth="1"/>
    <col min="14076" max="14076" width="5.140625" style="2" customWidth="1"/>
    <col min="14077" max="14078" width="17.5703125" style="2" customWidth="1"/>
    <col min="14079" max="14322" width="9.140625" style="2"/>
    <col min="14323" max="14323" width="3.7109375" style="2" customWidth="1"/>
    <col min="14324" max="14324" width="96.85546875" style="2" customWidth="1"/>
    <col min="14325" max="14325" width="30.85546875" style="2" customWidth="1"/>
    <col min="14326" max="14326" width="12.5703125" style="2" customWidth="1"/>
    <col min="14327" max="14327" width="5.140625" style="2" customWidth="1"/>
    <col min="14328" max="14328" width="9.140625" style="2"/>
    <col min="14329" max="14329" width="4.85546875" style="2" customWidth="1"/>
    <col min="14330" max="14330" width="30.5703125" style="2" customWidth="1"/>
    <col min="14331" max="14331" width="33.85546875" style="2" customWidth="1"/>
    <col min="14332" max="14332" width="5.140625" style="2" customWidth="1"/>
    <col min="14333" max="14334" width="17.5703125" style="2" customWidth="1"/>
    <col min="14335" max="14578" width="9.140625" style="2"/>
    <col min="14579" max="14579" width="3.7109375" style="2" customWidth="1"/>
    <col min="14580" max="14580" width="96.85546875" style="2" customWidth="1"/>
    <col min="14581" max="14581" width="30.85546875" style="2" customWidth="1"/>
    <col min="14582" max="14582" width="12.5703125" style="2" customWidth="1"/>
    <col min="14583" max="14583" width="5.140625" style="2" customWidth="1"/>
    <col min="14584" max="14584" width="9.140625" style="2"/>
    <col min="14585" max="14585" width="4.85546875" style="2" customWidth="1"/>
    <col min="14586" max="14586" width="30.5703125" style="2" customWidth="1"/>
    <col min="14587" max="14587" width="33.85546875" style="2" customWidth="1"/>
    <col min="14588" max="14588" width="5.140625" style="2" customWidth="1"/>
    <col min="14589" max="14590" width="17.5703125" style="2" customWidth="1"/>
    <col min="14591" max="14834" width="9.140625" style="2"/>
    <col min="14835" max="14835" width="3.7109375" style="2" customWidth="1"/>
    <col min="14836" max="14836" width="96.85546875" style="2" customWidth="1"/>
    <col min="14837" max="14837" width="30.85546875" style="2" customWidth="1"/>
    <col min="14838" max="14838" width="12.5703125" style="2" customWidth="1"/>
    <col min="14839" max="14839" width="5.140625" style="2" customWidth="1"/>
    <col min="14840" max="14840" width="9.140625" style="2"/>
    <col min="14841" max="14841" width="4.85546875" style="2" customWidth="1"/>
    <col min="14842" max="14842" width="30.5703125" style="2" customWidth="1"/>
    <col min="14843" max="14843" width="33.85546875" style="2" customWidth="1"/>
    <col min="14844" max="14844" width="5.140625" style="2" customWidth="1"/>
    <col min="14845" max="14846" width="17.5703125" style="2" customWidth="1"/>
    <col min="14847" max="15090" width="9.140625" style="2"/>
    <col min="15091" max="15091" width="3.7109375" style="2" customWidth="1"/>
    <col min="15092" max="15092" width="96.85546875" style="2" customWidth="1"/>
    <col min="15093" max="15093" width="30.85546875" style="2" customWidth="1"/>
    <col min="15094" max="15094" width="12.5703125" style="2" customWidth="1"/>
    <col min="15095" max="15095" width="5.140625" style="2" customWidth="1"/>
    <col min="15096" max="15096" width="9.140625" style="2"/>
    <col min="15097" max="15097" width="4.85546875" style="2" customWidth="1"/>
    <col min="15098" max="15098" width="30.5703125" style="2" customWidth="1"/>
    <col min="15099" max="15099" width="33.85546875" style="2" customWidth="1"/>
    <col min="15100" max="15100" width="5.140625" style="2" customWidth="1"/>
    <col min="15101" max="15102" width="17.5703125" style="2" customWidth="1"/>
    <col min="15103" max="15346" width="9.140625" style="2"/>
    <col min="15347" max="15347" width="3.7109375" style="2" customWidth="1"/>
    <col min="15348" max="15348" width="96.85546875" style="2" customWidth="1"/>
    <col min="15349" max="15349" width="30.85546875" style="2" customWidth="1"/>
    <col min="15350" max="15350" width="12.5703125" style="2" customWidth="1"/>
    <col min="15351" max="15351" width="5.140625" style="2" customWidth="1"/>
    <col min="15352" max="15352" width="9.140625" style="2"/>
    <col min="15353" max="15353" width="4.85546875" style="2" customWidth="1"/>
    <col min="15354" max="15354" width="30.5703125" style="2" customWidth="1"/>
    <col min="15355" max="15355" width="33.85546875" style="2" customWidth="1"/>
    <col min="15356" max="15356" width="5.140625" style="2" customWidth="1"/>
    <col min="15357" max="15358" width="17.5703125" style="2" customWidth="1"/>
    <col min="15359" max="15602" width="9.140625" style="2"/>
    <col min="15603" max="15603" width="3.7109375" style="2" customWidth="1"/>
    <col min="15604" max="15604" width="96.85546875" style="2" customWidth="1"/>
    <col min="15605" max="15605" width="30.85546875" style="2" customWidth="1"/>
    <col min="15606" max="15606" width="12.5703125" style="2" customWidth="1"/>
    <col min="15607" max="15607" width="5.140625" style="2" customWidth="1"/>
    <col min="15608" max="15608" width="9.140625" style="2"/>
    <col min="15609" max="15609" width="4.85546875" style="2" customWidth="1"/>
    <col min="15610" max="15610" width="30.5703125" style="2" customWidth="1"/>
    <col min="15611" max="15611" width="33.85546875" style="2" customWidth="1"/>
    <col min="15612" max="15612" width="5.140625" style="2" customWidth="1"/>
    <col min="15613" max="15614" width="17.5703125" style="2" customWidth="1"/>
    <col min="15615" max="15858" width="9.140625" style="2"/>
    <col min="15859" max="15859" width="3.7109375" style="2" customWidth="1"/>
    <col min="15860" max="15860" width="96.85546875" style="2" customWidth="1"/>
    <col min="15861" max="15861" width="30.85546875" style="2" customWidth="1"/>
    <col min="15862" max="15862" width="12.5703125" style="2" customWidth="1"/>
    <col min="15863" max="15863" width="5.140625" style="2" customWidth="1"/>
    <col min="15864" max="15864" width="9.140625" style="2"/>
    <col min="15865" max="15865" width="4.85546875" style="2" customWidth="1"/>
    <col min="15866" max="15866" width="30.5703125" style="2" customWidth="1"/>
    <col min="15867" max="15867" width="33.85546875" style="2" customWidth="1"/>
    <col min="15868" max="15868" width="5.140625" style="2" customWidth="1"/>
    <col min="15869" max="15870" width="17.5703125" style="2" customWidth="1"/>
    <col min="15871" max="16114" width="9.140625" style="2"/>
    <col min="16115" max="16115" width="3.7109375" style="2" customWidth="1"/>
    <col min="16116" max="16116" width="96.85546875" style="2" customWidth="1"/>
    <col min="16117" max="16117" width="30.85546875" style="2" customWidth="1"/>
    <col min="16118" max="16118" width="12.5703125" style="2" customWidth="1"/>
    <col min="16119" max="16119" width="5.140625" style="2" customWidth="1"/>
    <col min="16120" max="16120" width="9.140625" style="2"/>
    <col min="16121" max="16121" width="4.85546875" style="2" customWidth="1"/>
    <col min="16122" max="16122" width="30.5703125" style="2" customWidth="1"/>
    <col min="16123" max="16123" width="33.85546875" style="2" customWidth="1"/>
    <col min="16124" max="16124" width="5.140625" style="2" customWidth="1"/>
    <col min="16125" max="16126" width="17.5703125" style="2" customWidth="1"/>
    <col min="16127" max="16384" width="9.140625" style="2"/>
  </cols>
  <sheetData>
    <row r="1" spans="1:3" ht="48" customHeight="1" x14ac:dyDescent="0.2">
      <c r="A1" s="3"/>
      <c r="B1" s="143" t="s">
        <v>227</v>
      </c>
      <c r="C1" s="143"/>
    </row>
    <row r="2" spans="1:3" x14ac:dyDescent="0.2">
      <c r="A2" s="3"/>
      <c r="B2" s="4" t="s">
        <v>1</v>
      </c>
      <c r="C2" s="5">
        <v>46052</v>
      </c>
    </row>
    <row r="3" spans="1:3" x14ac:dyDescent="0.2">
      <c r="A3" s="3"/>
      <c r="B3" s="117" t="s">
        <v>2</v>
      </c>
      <c r="C3" s="7"/>
    </row>
    <row r="4" spans="1:3" ht="21" customHeight="1" x14ac:dyDescent="0.2">
      <c r="A4" s="8"/>
      <c r="B4" s="9" t="str">
        <f>[11]И1!D13</f>
        <v>Субъект Российской Федерации</v>
      </c>
      <c r="C4" s="10" t="str">
        <f>[11]И1!E13</f>
        <v>Новосибирская область</v>
      </c>
    </row>
    <row r="5" spans="1:3" ht="37.5" customHeight="1" x14ac:dyDescent="0.2">
      <c r="A5" s="8"/>
      <c r="B5" s="9" t="str">
        <f>[11]И1!D14</f>
        <v>Тип муниципального образования (выберите из списка)</v>
      </c>
      <c r="C5" s="10" t="str">
        <f>[12]И1!E14</f>
        <v>поселок Агролес, Искитимский муниципальный район</v>
      </c>
    </row>
    <row r="6" spans="1:3" x14ac:dyDescent="0.2">
      <c r="A6" s="8"/>
      <c r="B6" s="9" t="str">
        <f>IF([11]И1!E15="","",[11]И1!D15)</f>
        <v/>
      </c>
      <c r="C6" s="7">
        <f>IF([11]И1!E15="","",[11]И1!E15)</f>
        <v>0</v>
      </c>
    </row>
    <row r="7" spans="1:3" x14ac:dyDescent="0.2">
      <c r="A7" s="8"/>
      <c r="B7" s="9" t="str">
        <f>[11]И1!D16</f>
        <v>Код ОКТМО</v>
      </c>
      <c r="C7" s="11" t="str">
        <f>[12]И1!E16</f>
        <v xml:space="preserve"> (50615417101)</v>
      </c>
    </row>
    <row r="8" spans="1:3" x14ac:dyDescent="0.2">
      <c r="A8" s="8"/>
      <c r="B8" s="12" t="str">
        <f>[11]И1!D17</f>
        <v>Система теплоснабжения</v>
      </c>
      <c r="C8" s="13">
        <f>[11]И1!E17</f>
        <v>0</v>
      </c>
    </row>
    <row r="9" spans="1:3" x14ac:dyDescent="0.2">
      <c r="A9" s="8"/>
      <c r="B9" s="9" t="str">
        <f>[11]И1!D8</f>
        <v>Период регулирования (i)-й</v>
      </c>
      <c r="C9" s="14">
        <f>[11]И1!E8</f>
        <v>2026</v>
      </c>
    </row>
    <row r="10" spans="1:3" x14ac:dyDescent="0.2">
      <c r="A10" s="8"/>
      <c r="B10" s="9" t="str">
        <f>[11]И1!D9</f>
        <v>Период регулирования (i-1)-й</v>
      </c>
      <c r="C10" s="14">
        <f>[11]И1!E9</f>
        <v>2025</v>
      </c>
    </row>
    <row r="11" spans="1:3" x14ac:dyDescent="0.2">
      <c r="A11" s="8"/>
      <c r="B11" s="9" t="str">
        <f>[11]И1!D10</f>
        <v>Период регулирования (i-2)-й</v>
      </c>
      <c r="C11" s="14">
        <f>[11]И1!E10</f>
        <v>2024</v>
      </c>
    </row>
    <row r="12" spans="1:3" x14ac:dyDescent="0.2">
      <c r="A12" s="8"/>
      <c r="B12" s="9" t="str">
        <f>[11]И1!D11</f>
        <v>Базовый год (б)</v>
      </c>
      <c r="C12" s="14">
        <f>[11]И1!E11</f>
        <v>2019</v>
      </c>
    </row>
    <row r="13" spans="1:3" x14ac:dyDescent="0.2">
      <c r="A13" s="8"/>
      <c r="B13" s="9" t="str">
        <f>[11]И1!D18</f>
        <v>Вид топлива, использование которого преобладает в системе теплоснабжения</v>
      </c>
      <c r="C13" s="15" t="str">
        <f>[11]И1!E18</f>
        <v>Газ</v>
      </c>
    </row>
    <row r="14" spans="1:3" ht="26.25" customHeight="1" thickBot="1" x14ac:dyDescent="0.25">
      <c r="A14" s="147" t="s">
        <v>3</v>
      </c>
      <c r="B14" s="147"/>
      <c r="C14" s="147"/>
    </row>
    <row r="15" spans="1:3" x14ac:dyDescent="0.2">
      <c r="A15" s="16" t="s">
        <v>4</v>
      </c>
      <c r="B15" s="30" t="s">
        <v>5</v>
      </c>
      <c r="C15" s="118" t="s">
        <v>6</v>
      </c>
    </row>
    <row r="16" spans="1:3" x14ac:dyDescent="0.2">
      <c r="A16" s="19">
        <v>1</v>
      </c>
      <c r="B16" s="119">
        <v>2</v>
      </c>
      <c r="C16" s="120">
        <v>3</v>
      </c>
    </row>
    <row r="17" spans="1:3" x14ac:dyDescent="0.2">
      <c r="A17" s="22">
        <v>1</v>
      </c>
      <c r="B17" s="23" t="s">
        <v>7</v>
      </c>
      <c r="C17" s="24">
        <f>SUM(C18:C23)</f>
        <v>4353.2937189286158</v>
      </c>
    </row>
    <row r="18" spans="1:3" ht="42.75" x14ac:dyDescent="0.2">
      <c r="A18" s="22" t="s">
        <v>8</v>
      </c>
      <c r="B18" s="25" t="s">
        <v>9</v>
      </c>
      <c r="C18" s="26">
        <f>[11]С1!F12</f>
        <v>1278.3072413778675</v>
      </c>
    </row>
    <row r="19" spans="1:3" ht="42.75" x14ac:dyDescent="0.2">
      <c r="A19" s="22" t="s">
        <v>10</v>
      </c>
      <c r="B19" s="25" t="s">
        <v>11</v>
      </c>
      <c r="C19" s="26">
        <f>[11]С2!F12</f>
        <v>2138.4809328120286</v>
      </c>
    </row>
    <row r="20" spans="1:3" ht="30" x14ac:dyDescent="0.2">
      <c r="A20" s="22" t="s">
        <v>12</v>
      </c>
      <c r="B20" s="25" t="s">
        <v>13</v>
      </c>
      <c r="C20" s="26">
        <f>[11]С3!F12</f>
        <v>648.30389958699197</v>
      </c>
    </row>
    <row r="21" spans="1:3" ht="42.75" x14ac:dyDescent="0.2">
      <c r="A21" s="22" t="s">
        <v>14</v>
      </c>
      <c r="B21" s="25" t="s">
        <v>228</v>
      </c>
      <c r="C21" s="26">
        <f>[11]С4!F12</f>
        <v>202.84294478057836</v>
      </c>
    </row>
    <row r="22" spans="1:3" ht="33" customHeight="1" x14ac:dyDescent="0.2">
      <c r="A22" s="22" t="s">
        <v>16</v>
      </c>
      <c r="B22" s="25" t="s">
        <v>229</v>
      </c>
      <c r="C22" s="26">
        <f>[11]С5!F12</f>
        <v>85.35870037114934</v>
      </c>
    </row>
    <row r="23" spans="1:3" ht="45.75" customHeight="1" thickBot="1" x14ac:dyDescent="0.25">
      <c r="A23" s="27" t="s">
        <v>18</v>
      </c>
      <c r="B23" s="140" t="s">
        <v>230</v>
      </c>
      <c r="C23" s="28">
        <f>[11]С6!F12</f>
        <v>0</v>
      </c>
    </row>
    <row r="24" spans="1:3" ht="13.5" thickBot="1" x14ac:dyDescent="0.25">
      <c r="A24" s="3"/>
      <c r="C24" s="7"/>
    </row>
    <row r="25" spans="1:3" x14ac:dyDescent="0.2">
      <c r="A25" s="16" t="s">
        <v>4</v>
      </c>
      <c r="B25" s="29" t="s">
        <v>5</v>
      </c>
      <c r="C25" s="30" t="s">
        <v>6</v>
      </c>
    </row>
    <row r="26" spans="1:3" x14ac:dyDescent="0.2">
      <c r="A26" s="19">
        <v>1</v>
      </c>
      <c r="B26" s="31">
        <v>2</v>
      </c>
      <c r="C26" s="32">
        <v>3</v>
      </c>
    </row>
    <row r="27" spans="1:3" ht="30" customHeight="1" x14ac:dyDescent="0.2">
      <c r="A27" s="22">
        <v>1</v>
      </c>
      <c r="B27" s="144" t="s">
        <v>20</v>
      </c>
      <c r="C27" s="144"/>
    </row>
    <row r="28" spans="1:3" x14ac:dyDescent="0.2">
      <c r="A28" s="22" t="s">
        <v>8</v>
      </c>
      <c r="B28" s="33" t="s">
        <v>231</v>
      </c>
      <c r="C28" s="34">
        <f>[11]С1.1!E16</f>
        <v>7900</v>
      </c>
    </row>
    <row r="29" spans="1:3" ht="42.75" x14ac:dyDescent="0.2">
      <c r="A29" s="22" t="s">
        <v>10</v>
      </c>
      <c r="B29" s="33" t="s">
        <v>232</v>
      </c>
      <c r="C29" s="34">
        <f>[11]С1.1!E32</f>
        <v>6710.12</v>
      </c>
    </row>
    <row r="30" spans="1:3" ht="128.25" customHeight="1" x14ac:dyDescent="0.2">
      <c r="A30" s="22" t="s">
        <v>233</v>
      </c>
      <c r="B30" s="33" t="s">
        <v>234</v>
      </c>
      <c r="C30" s="85" t="str">
        <f>[11]С1.1!E25</f>
        <v>ООО "Газпром межрегионгаз Новосибирск", ООО "Газпром газораспределение Томск" (с 17.02.2025 ООО "Газпром газораспределение Сибирь")</v>
      </c>
    </row>
    <row r="31" spans="1:3" ht="38.25" x14ac:dyDescent="0.2">
      <c r="A31" s="22" t="s">
        <v>235</v>
      </c>
      <c r="B31" s="33" t="str">
        <f>[11]С1.1!D26</f>
        <v>Среднеарифметическое значение между установленными предельными максимальным и минимальным уровнями оптовых цен, действовавшими на день окончания (i-2)-го расчетного периода регулирования в системе теплоснабжения, без НДС, руб./тыс. куб. м</v>
      </c>
      <c r="C31" s="34">
        <f>[11]С1.1!E26</f>
        <v>5670</v>
      </c>
    </row>
    <row r="32" spans="1:3" ht="46.5" customHeight="1" x14ac:dyDescent="0.2">
      <c r="A32" s="22" t="s">
        <v>236</v>
      </c>
      <c r="B32" s="33" t="str">
        <f>[11]С1.1!D27</f>
        <v>Тариф на услуги по транспортировке газа по газораспределительным сетям, действовавший на день окончания (i-2)-го расчетного периода регулирования в системе теплоснабжения, без НДС, руб./тыс. куб. м</v>
      </c>
      <c r="C32" s="34">
        <f>[11]С1.1!E27</f>
        <v>689.14</v>
      </c>
    </row>
    <row r="33" spans="1:3" ht="39" customHeight="1" x14ac:dyDescent="0.2">
      <c r="A33" s="22" t="s">
        <v>237</v>
      </c>
      <c r="B33" s="33" t="str">
        <f>[11]С1.1!D28</f>
        <v>Размер платы за снабженческо-сбытовые услуги, действовавший на день окончания (i-2)-го расчетного периода регулирования в системе теплоснабжения, без НДС, руб./тыс. куб. м</v>
      </c>
      <c r="C33" s="34">
        <f>[11]С1.1!E28</f>
        <v>144.72999999999999</v>
      </c>
    </row>
    <row r="34" spans="1:3" ht="90" customHeight="1" x14ac:dyDescent="0.2">
      <c r="A34" s="22" t="s">
        <v>238</v>
      </c>
      <c r="B34" s="33" t="str">
        <f>[11]С1.1!D29</f>
        <v>Специальная надбавка к тарифам на услуги по транспортировке газа по газораспределительным сетям, действовавшая на день окончания (i-2)-го расчетного периода регулирования в системе теплоснабжения, без НДС, руб./тыс. куб. м</v>
      </c>
      <c r="C34" s="34">
        <f>[11]С1.1!E29</f>
        <v>206.25</v>
      </c>
    </row>
    <row r="35" spans="1:3" ht="287.25" customHeight="1" x14ac:dyDescent="0.2">
      <c r="A35" s="22" t="s">
        <v>12</v>
      </c>
      <c r="B35" s="33" t="s">
        <v>23</v>
      </c>
      <c r="C35" s="35">
        <f>[11]С1.1!E20</f>
        <v>0.21299999999999999</v>
      </c>
    </row>
    <row r="36" spans="1:3" ht="298.5" customHeight="1" x14ac:dyDescent="0.2">
      <c r="A36" s="22" t="s">
        <v>14</v>
      </c>
      <c r="B36" s="33" t="s">
        <v>24</v>
      </c>
      <c r="C36" s="35">
        <f>[11]С1.1!E21</f>
        <v>9.6000000000000002E-2</v>
      </c>
    </row>
    <row r="37" spans="1:3" ht="30" x14ac:dyDescent="0.2">
      <c r="A37" s="22" t="s">
        <v>16</v>
      </c>
      <c r="B37" s="36" t="s">
        <v>239</v>
      </c>
      <c r="C37" s="121">
        <f>[11]С1!F13</f>
        <v>156.1</v>
      </c>
    </row>
    <row r="38" spans="1:3" x14ac:dyDescent="0.2">
      <c r="A38" s="22" t="s">
        <v>18</v>
      </c>
      <c r="B38" s="36" t="s">
        <v>26</v>
      </c>
      <c r="C38" s="38">
        <f>[11]С1!F16</f>
        <v>7000</v>
      </c>
    </row>
    <row r="39" spans="1:3" ht="14.25" x14ac:dyDescent="0.2">
      <c r="A39" s="122" t="s">
        <v>27</v>
      </c>
      <c r="B39" s="39" t="s">
        <v>240</v>
      </c>
      <c r="C39" s="40">
        <f>[11]С1!F17</f>
        <v>1.1285714285714286</v>
      </c>
    </row>
    <row r="40" spans="1:3" ht="15.75" x14ac:dyDescent="0.2">
      <c r="A40" s="123" t="s">
        <v>29</v>
      </c>
      <c r="B40" s="42" t="s">
        <v>30</v>
      </c>
      <c r="C40" s="40">
        <f>[11]С1!F20</f>
        <v>22.307053372799995</v>
      </c>
    </row>
    <row r="41" spans="1:3" ht="15.75" x14ac:dyDescent="0.2">
      <c r="A41" s="123" t="s">
        <v>31</v>
      </c>
      <c r="B41" s="43" t="s">
        <v>32</v>
      </c>
      <c r="C41" s="40">
        <f>[11]С1!F21</f>
        <v>21.531904799999996</v>
      </c>
    </row>
    <row r="42" spans="1:3" ht="14.25" x14ac:dyDescent="0.2">
      <c r="A42" s="123" t="s">
        <v>33</v>
      </c>
      <c r="B42" s="44" t="s">
        <v>34</v>
      </c>
      <c r="C42" s="40">
        <f>[11]С1!F22</f>
        <v>1.036</v>
      </c>
    </row>
    <row r="43" spans="1:3" ht="53.25" thickBot="1" x14ac:dyDescent="0.25">
      <c r="A43" s="27" t="s">
        <v>35</v>
      </c>
      <c r="B43" s="45" t="s">
        <v>36</v>
      </c>
      <c r="C43" s="46" t="str">
        <f>[11]С1!F23</f>
        <v>-</v>
      </c>
    </row>
    <row r="44" spans="1:3" ht="13.5" thickBot="1" x14ac:dyDescent="0.25">
      <c r="A44" s="47"/>
      <c r="B44" s="75"/>
      <c r="C44" s="15"/>
    </row>
    <row r="45" spans="1:3" ht="30" customHeight="1" x14ac:dyDescent="0.2">
      <c r="A45" s="50" t="s">
        <v>37</v>
      </c>
      <c r="B45" s="145" t="s">
        <v>38</v>
      </c>
      <c r="C45" s="145"/>
    </row>
    <row r="46" spans="1:3" ht="25.5" x14ac:dyDescent="0.2">
      <c r="A46" s="22" t="s">
        <v>39</v>
      </c>
      <c r="B46" s="36" t="s">
        <v>40</v>
      </c>
      <c r="C46" s="51" t="str">
        <f>[11]С2.1!E12</f>
        <v>V</v>
      </c>
    </row>
    <row r="47" spans="1:3" ht="25.5" x14ac:dyDescent="0.2">
      <c r="A47" s="22" t="s">
        <v>41</v>
      </c>
      <c r="B47" s="33" t="s">
        <v>42</v>
      </c>
      <c r="C47" s="51" t="str">
        <f>[11]С2.1!E13</f>
        <v>6 и менее баллов</v>
      </c>
    </row>
    <row r="48" spans="1:3" ht="25.5" x14ac:dyDescent="0.2">
      <c r="A48" s="22" t="s">
        <v>43</v>
      </c>
      <c r="B48" s="33" t="s">
        <v>241</v>
      </c>
      <c r="C48" s="51" t="str">
        <f>[11]С2.1!E14</f>
        <v>до 200</v>
      </c>
    </row>
    <row r="49" spans="1:3" ht="25.5" x14ac:dyDescent="0.2">
      <c r="A49" s="22" t="s">
        <v>45</v>
      </c>
      <c r="B49" s="33" t="s">
        <v>242</v>
      </c>
      <c r="C49" s="52" t="str">
        <f>[11]С2.1!E15</f>
        <v>нет</v>
      </c>
    </row>
    <row r="50" spans="1:3" ht="30" x14ac:dyDescent="0.2">
      <c r="A50" s="22" t="s">
        <v>47</v>
      </c>
      <c r="B50" s="33" t="s">
        <v>48</v>
      </c>
      <c r="C50" s="34">
        <f>[11]С2!F18</f>
        <v>40220.845230503684</v>
      </c>
    </row>
    <row r="51" spans="1:3" ht="30" x14ac:dyDescent="0.2">
      <c r="A51" s="22" t="s">
        <v>49</v>
      </c>
      <c r="B51" s="53" t="s">
        <v>50</v>
      </c>
      <c r="C51" s="34">
        <f>IF([11]С2!F19&gt;0,[11]С2!F19,[11]С2!F20)</f>
        <v>23441.524932855718</v>
      </c>
    </row>
    <row r="52" spans="1:3" ht="163.5" customHeight="1" x14ac:dyDescent="0.2">
      <c r="A52" s="22" t="s">
        <v>51</v>
      </c>
      <c r="B52" s="54" t="s">
        <v>52</v>
      </c>
      <c r="C52" s="34">
        <f>[11]С2.1!E20</f>
        <v>-37</v>
      </c>
    </row>
    <row r="53" spans="1:3" ht="42.75" customHeight="1" x14ac:dyDescent="0.2">
      <c r="A53" s="22" t="s">
        <v>53</v>
      </c>
      <c r="B53" s="54" t="s">
        <v>54</v>
      </c>
      <c r="C53" s="34" t="str">
        <f>[11]С2.1!E23</f>
        <v>нет</v>
      </c>
    </row>
    <row r="54" spans="1:3" ht="38.25" x14ac:dyDescent="0.2">
      <c r="A54" s="22" t="s">
        <v>55</v>
      </c>
      <c r="B54" s="55" t="s">
        <v>56</v>
      </c>
      <c r="C54" s="34">
        <f>[11]С2.2!E10</f>
        <v>1287</v>
      </c>
    </row>
    <row r="55" spans="1:3" ht="25.5" x14ac:dyDescent="0.2">
      <c r="A55" s="22" t="s">
        <v>57</v>
      </c>
      <c r="B55" s="56" t="s">
        <v>58</v>
      </c>
      <c r="C55" s="34">
        <f>[11]С2.2!E12</f>
        <v>5.97</v>
      </c>
    </row>
    <row r="56" spans="1:3" ht="52.5" x14ac:dyDescent="0.2">
      <c r="A56" s="22" t="s">
        <v>59</v>
      </c>
      <c r="B56" s="57" t="s">
        <v>60</v>
      </c>
      <c r="C56" s="34">
        <f>[11]С2.2!E13</f>
        <v>1</v>
      </c>
    </row>
    <row r="57" spans="1:3" ht="27.75" x14ac:dyDescent="0.2">
      <c r="A57" s="22" t="s">
        <v>61</v>
      </c>
      <c r="B57" s="56" t="s">
        <v>62</v>
      </c>
      <c r="C57" s="34">
        <f>[11]С2.2!E14</f>
        <v>12104</v>
      </c>
    </row>
    <row r="58" spans="1:3" ht="109.5" customHeight="1" x14ac:dyDescent="0.2">
      <c r="A58" s="22" t="s">
        <v>63</v>
      </c>
      <c r="B58" s="57" t="s">
        <v>64</v>
      </c>
      <c r="C58" s="35">
        <f>[11]С2.2!E15</f>
        <v>4.8000000000000001E-2</v>
      </c>
    </row>
    <row r="59" spans="1:3" ht="104.25" customHeight="1" x14ac:dyDescent="0.2">
      <c r="A59" s="22" t="s">
        <v>65</v>
      </c>
      <c r="B59" s="57" t="s">
        <v>66</v>
      </c>
      <c r="C59" s="124">
        <f>[11]С2.2!E16</f>
        <v>1</v>
      </c>
    </row>
    <row r="60" spans="1:3" ht="15.75" x14ac:dyDescent="0.2">
      <c r="A60" s="22" t="s">
        <v>67</v>
      </c>
      <c r="B60" s="58" t="s">
        <v>68</v>
      </c>
      <c r="C60" s="34">
        <f>[11]С2!F21</f>
        <v>1</v>
      </c>
    </row>
    <row r="61" spans="1:3" ht="30" x14ac:dyDescent="0.2">
      <c r="A61" s="59" t="s">
        <v>69</v>
      </c>
      <c r="B61" s="33" t="s">
        <v>243</v>
      </c>
      <c r="C61" s="34">
        <f>[11]С2!F13</f>
        <v>119259.45174981897</v>
      </c>
    </row>
    <row r="62" spans="1:3" ht="30" x14ac:dyDescent="0.2">
      <c r="A62" s="59" t="s">
        <v>71</v>
      </c>
      <c r="B62" s="60" t="s">
        <v>244</v>
      </c>
      <c r="C62" s="34">
        <f>[11]С2!F14</f>
        <v>64899</v>
      </c>
    </row>
    <row r="63" spans="1:3" ht="15.75" x14ac:dyDescent="0.2">
      <c r="A63" s="59" t="s">
        <v>73</v>
      </c>
      <c r="B63" s="60" t="s">
        <v>74</v>
      </c>
      <c r="C63" s="40">
        <f>[11]С2!F15</f>
        <v>1.071</v>
      </c>
    </row>
    <row r="64" spans="1:3" ht="15.75" x14ac:dyDescent="0.2">
      <c r="A64" s="59" t="s">
        <v>75</v>
      </c>
      <c r="B64" s="60" t="s">
        <v>76</v>
      </c>
      <c r="C64" s="125">
        <f>[11]С2!F16</f>
        <v>1</v>
      </c>
    </row>
    <row r="65" spans="1:3" ht="17.25" x14ac:dyDescent="0.2">
      <c r="A65" s="59" t="s">
        <v>77</v>
      </c>
      <c r="B65" s="60" t="s">
        <v>78</v>
      </c>
      <c r="C65" s="126">
        <f>[11]С2!F17</f>
        <v>1</v>
      </c>
    </row>
    <row r="66" spans="1:3" s="63" customFormat="1" ht="14.25" x14ac:dyDescent="0.2">
      <c r="A66" s="59" t="s">
        <v>79</v>
      </c>
      <c r="B66" s="61" t="s">
        <v>80</v>
      </c>
      <c r="C66" s="62">
        <f>[11]С2!F35</f>
        <v>10</v>
      </c>
    </row>
    <row r="67" spans="1:3" ht="30" x14ac:dyDescent="0.2">
      <c r="A67" s="59" t="s">
        <v>81</v>
      </c>
      <c r="B67" s="64" t="s">
        <v>82</v>
      </c>
      <c r="C67" s="34">
        <f>[11]С2!F28</f>
        <v>379.2714742785962</v>
      </c>
    </row>
    <row r="68" spans="1:3" ht="274.5" customHeight="1" x14ac:dyDescent="0.2">
      <c r="A68" s="59" t="s">
        <v>83</v>
      </c>
      <c r="B68" s="53" t="s">
        <v>245</v>
      </c>
      <c r="C68" s="40">
        <f>[11]С2!F29</f>
        <v>0.44209422600000003</v>
      </c>
    </row>
    <row r="69" spans="1:3" ht="17.25" x14ac:dyDescent="0.2">
      <c r="A69" s="59" t="s">
        <v>85</v>
      </c>
      <c r="B69" s="58" t="s">
        <v>246</v>
      </c>
      <c r="C69" s="62">
        <f>[11]С2!F30</f>
        <v>500</v>
      </c>
    </row>
    <row r="70" spans="1:3" ht="42.75" x14ac:dyDescent="0.2">
      <c r="A70" s="59" t="s">
        <v>87</v>
      </c>
      <c r="B70" s="33" t="s">
        <v>247</v>
      </c>
      <c r="C70" s="34">
        <f>[11]С2!F22</f>
        <v>24548.869037237404</v>
      </c>
    </row>
    <row r="71" spans="1:3" ht="30" x14ac:dyDescent="0.2">
      <c r="A71" s="59" t="s">
        <v>89</v>
      </c>
      <c r="B71" s="60" t="s">
        <v>248</v>
      </c>
      <c r="C71" s="34">
        <f>[11]С2!F23</f>
        <v>21</v>
      </c>
    </row>
    <row r="72" spans="1:3" ht="30" x14ac:dyDescent="0.2">
      <c r="A72" s="59" t="s">
        <v>91</v>
      </c>
      <c r="B72" s="53" t="s">
        <v>92</v>
      </c>
      <c r="C72" s="34">
        <f>[11]С2.1!E28</f>
        <v>5515.9310416666667</v>
      </c>
    </row>
    <row r="73" spans="1:3" ht="38.25" x14ac:dyDescent="0.2">
      <c r="A73" s="59" t="s">
        <v>93</v>
      </c>
      <c r="B73" s="65" t="s">
        <v>94</v>
      </c>
      <c r="C73" s="52" t="str">
        <f>[11]С2.3!E21</f>
        <v>МУП г. Новосибирска "Горводоканал"</v>
      </c>
    </row>
    <row r="74" spans="1:3" ht="25.5" x14ac:dyDescent="0.2">
      <c r="A74" s="59" t="s">
        <v>95</v>
      </c>
      <c r="B74" s="66" t="s">
        <v>96</v>
      </c>
      <c r="C74" s="67">
        <f>[11]С2.3!E11</f>
        <v>5.45</v>
      </c>
    </row>
    <row r="75" spans="1:3" ht="25.5" x14ac:dyDescent="0.2">
      <c r="A75" s="59" t="s">
        <v>97</v>
      </c>
      <c r="B75" s="66" t="s">
        <v>98</v>
      </c>
      <c r="C75" s="62">
        <f>[11]С2.3!E13</f>
        <v>300</v>
      </c>
    </row>
    <row r="76" spans="1:3" ht="336" customHeight="1" x14ac:dyDescent="0.2">
      <c r="A76" s="59" t="s">
        <v>99</v>
      </c>
      <c r="B76" s="65" t="s">
        <v>100</v>
      </c>
      <c r="C76" s="68">
        <f>IF([11]С2.3!E22&gt;0,[11]С2.3!E22,[11]С2.3!E14)</f>
        <v>20170.833333333332</v>
      </c>
    </row>
    <row r="77" spans="1:3" ht="38.25" x14ac:dyDescent="0.2">
      <c r="A77" s="59" t="s">
        <v>101</v>
      </c>
      <c r="B77" s="65" t="s">
        <v>102</v>
      </c>
      <c r="C77" s="68">
        <f>IF([11]С2.3!E23&gt;0,[11]С2.3!E23,[11]С2.3!E15)</f>
        <v>18020</v>
      </c>
    </row>
    <row r="78" spans="1:3" ht="30" x14ac:dyDescent="0.2">
      <c r="A78" s="59" t="s">
        <v>103</v>
      </c>
      <c r="B78" s="53" t="s">
        <v>104</v>
      </c>
      <c r="C78" s="34">
        <f>[11]С2.1!E29</f>
        <v>5878.6480833333326</v>
      </c>
    </row>
    <row r="79" spans="1:3" ht="38.25" x14ac:dyDescent="0.2">
      <c r="A79" s="59" t="s">
        <v>105</v>
      </c>
      <c r="B79" s="65" t="s">
        <v>106</v>
      </c>
      <c r="C79" s="52" t="str">
        <f>[11]С2.3!E25</f>
        <v>МУП г. Новосибирска "Горводоканал"</v>
      </c>
    </row>
    <row r="80" spans="1:3" ht="25.5" x14ac:dyDescent="0.2">
      <c r="A80" s="59" t="s">
        <v>107</v>
      </c>
      <c r="B80" s="66" t="s">
        <v>108</v>
      </c>
      <c r="C80" s="67">
        <f>[11]С2.3!E12</f>
        <v>0.2</v>
      </c>
    </row>
    <row r="81" spans="1:3" ht="25.5" x14ac:dyDescent="0.2">
      <c r="A81" s="59" t="s">
        <v>109</v>
      </c>
      <c r="B81" s="66" t="s">
        <v>98</v>
      </c>
      <c r="C81" s="62">
        <f>[11]С2.3!E13</f>
        <v>300</v>
      </c>
    </row>
    <row r="82" spans="1:3" ht="330" customHeight="1" x14ac:dyDescent="0.2">
      <c r="A82" s="59" t="s">
        <v>110</v>
      </c>
      <c r="B82" s="69" t="s">
        <v>111</v>
      </c>
      <c r="C82" s="68">
        <f>IF([11]С2.3!E26&gt;0,[11]С2.3!E26,[11]С2.3!E16)</f>
        <v>38240.416666666664</v>
      </c>
    </row>
    <row r="83" spans="1:3" ht="322.5" customHeight="1" x14ac:dyDescent="0.2">
      <c r="A83" s="59" t="s">
        <v>112</v>
      </c>
      <c r="B83" s="69" t="s">
        <v>113</v>
      </c>
      <c r="C83" s="68">
        <f>IF([11]С2.3!E27&gt;0,[11]С2.3!E27,[11]С2.3!E17)</f>
        <v>19570</v>
      </c>
    </row>
    <row r="84" spans="1:3" ht="30" x14ac:dyDescent="0.2">
      <c r="A84" s="59" t="s">
        <v>249</v>
      </c>
      <c r="B84" s="60" t="s">
        <v>250</v>
      </c>
      <c r="C84" s="68">
        <f>IF([11]С2.1!E19&gt;0,[11]С2.1!E19,[11]С2!F26)</f>
        <v>2892</v>
      </c>
    </row>
    <row r="85" spans="1:3" ht="17.25" x14ac:dyDescent="0.2">
      <c r="A85" s="59" t="s">
        <v>114</v>
      </c>
      <c r="B85" s="33" t="s">
        <v>115</v>
      </c>
      <c r="C85" s="35">
        <f>[11]С2!F31</f>
        <v>0.21369165990259753</v>
      </c>
    </row>
    <row r="86" spans="1:3" ht="30" x14ac:dyDescent="0.2">
      <c r="A86" s="59" t="s">
        <v>116</v>
      </c>
      <c r="B86" s="53" t="s">
        <v>117</v>
      </c>
      <c r="C86" s="70">
        <f>[11]С2!F32</f>
        <v>0.20047619047619047</v>
      </c>
    </row>
    <row r="87" spans="1:3" ht="17.25" x14ac:dyDescent="0.2">
      <c r="A87" s="59" t="s">
        <v>118</v>
      </c>
      <c r="B87" s="71" t="s">
        <v>119</v>
      </c>
      <c r="C87" s="35">
        <f>[11]С2!F33</f>
        <v>0.13880000000000001</v>
      </c>
    </row>
    <row r="88" spans="1:3" s="63" customFormat="1" ht="18" thickBot="1" x14ac:dyDescent="0.25">
      <c r="A88" s="72" t="s">
        <v>120</v>
      </c>
      <c r="B88" s="73" t="s">
        <v>121</v>
      </c>
      <c r="C88" s="74">
        <f>[11]С2!F34</f>
        <v>0.12640000000000001</v>
      </c>
    </row>
    <row r="89" spans="1:3" ht="13.5" thickBot="1" x14ac:dyDescent="0.25">
      <c r="A89" s="47"/>
      <c r="B89" s="75"/>
      <c r="C89" s="15"/>
    </row>
    <row r="90" spans="1:3" s="63" customFormat="1" ht="30" customHeight="1" x14ac:dyDescent="0.2">
      <c r="A90" s="76" t="s">
        <v>122</v>
      </c>
      <c r="B90" s="145" t="s">
        <v>123</v>
      </c>
      <c r="C90" s="145"/>
    </row>
    <row r="91" spans="1:3" s="63" customFormat="1" ht="30" x14ac:dyDescent="0.2">
      <c r="A91" s="77" t="s">
        <v>124</v>
      </c>
      <c r="B91" s="33" t="s">
        <v>125</v>
      </c>
      <c r="C91" s="34">
        <f>[11]С3!F14</f>
        <v>11258.985598028818</v>
      </c>
    </row>
    <row r="92" spans="1:3" s="63" customFormat="1" ht="42.75" x14ac:dyDescent="0.2">
      <c r="A92" s="77" t="s">
        <v>126</v>
      </c>
      <c r="B92" s="53" t="s">
        <v>127</v>
      </c>
      <c r="C92" s="78">
        <f>[11]С3!F15</f>
        <v>0.25</v>
      </c>
    </row>
    <row r="93" spans="1:3" s="63" customFormat="1" ht="14.25" x14ac:dyDescent="0.2">
      <c r="A93" s="77" t="s">
        <v>128</v>
      </c>
      <c r="B93" s="79" t="s">
        <v>129</v>
      </c>
      <c r="C93" s="62">
        <f>[11]С3!F18</f>
        <v>15</v>
      </c>
    </row>
    <row r="94" spans="1:3" s="63" customFormat="1" ht="17.25" x14ac:dyDescent="0.2">
      <c r="A94" s="77" t="s">
        <v>130</v>
      </c>
      <c r="B94" s="33" t="s">
        <v>131</v>
      </c>
      <c r="C94" s="34">
        <f>[11]С3!F19</f>
        <v>2699.0944349242141</v>
      </c>
    </row>
    <row r="95" spans="1:3" s="63" customFormat="1" ht="55.5" x14ac:dyDescent="0.2">
      <c r="A95" s="77" t="s">
        <v>132</v>
      </c>
      <c r="B95" s="53" t="s">
        <v>133</v>
      </c>
      <c r="C95" s="80">
        <f>[11]С3!F20</f>
        <v>2.1999999999999999E-2</v>
      </c>
    </row>
    <row r="96" spans="1:3" s="63" customFormat="1" ht="14.25" x14ac:dyDescent="0.2">
      <c r="A96" s="77" t="s">
        <v>134</v>
      </c>
      <c r="B96" s="58" t="s">
        <v>80</v>
      </c>
      <c r="C96" s="62">
        <f>[11]С3!F21</f>
        <v>10</v>
      </c>
    </row>
    <row r="97" spans="1:3" s="63" customFormat="1" ht="17.25" x14ac:dyDescent="0.2">
      <c r="A97" s="77" t="s">
        <v>135</v>
      </c>
      <c r="B97" s="33" t="s">
        <v>136</v>
      </c>
      <c r="C97" s="34">
        <f>[11]С3!F22</f>
        <v>1.1378144228357887</v>
      </c>
    </row>
    <row r="98" spans="1:3" s="63" customFormat="1" ht="161.25" customHeight="1" x14ac:dyDescent="0.2">
      <c r="A98" s="77" t="s">
        <v>137</v>
      </c>
      <c r="B98" s="53" t="s">
        <v>138</v>
      </c>
      <c r="C98" s="80">
        <f>[11]С3!F23</f>
        <v>3.0000000000000001E-3</v>
      </c>
    </row>
    <row r="99" spans="1:3" s="63" customFormat="1" ht="30.75" thickBot="1" x14ac:dyDescent="0.25">
      <c r="A99" s="81" t="s">
        <v>139</v>
      </c>
      <c r="B99" s="82" t="s">
        <v>82</v>
      </c>
      <c r="C99" s="83">
        <f>[11]С3!F24</f>
        <v>379.2714742785962</v>
      </c>
    </row>
    <row r="100" spans="1:3" ht="13.5" thickBot="1" x14ac:dyDescent="0.25">
      <c r="A100" s="47"/>
      <c r="B100" s="75"/>
      <c r="C100" s="15"/>
    </row>
    <row r="101" spans="1:3" ht="30" customHeight="1" x14ac:dyDescent="0.2">
      <c r="A101" s="84" t="s">
        <v>141</v>
      </c>
      <c r="B101" s="145" t="s">
        <v>142</v>
      </c>
      <c r="C101" s="145"/>
    </row>
    <row r="102" spans="1:3" ht="30" x14ac:dyDescent="0.2">
      <c r="A102" s="59" t="s">
        <v>143</v>
      </c>
      <c r="B102" s="33" t="s">
        <v>251</v>
      </c>
      <c r="C102" s="34">
        <f>[11]С4!F16</f>
        <v>832.33500000000004</v>
      </c>
    </row>
    <row r="103" spans="1:3" ht="30" x14ac:dyDescent="0.2">
      <c r="A103" s="59" t="s">
        <v>145</v>
      </c>
      <c r="B103" s="58" t="s">
        <v>252</v>
      </c>
      <c r="C103" s="34">
        <f>[11]С4!F17</f>
        <v>43385</v>
      </c>
    </row>
    <row r="104" spans="1:3" ht="17.25" x14ac:dyDescent="0.2">
      <c r="A104" s="59" t="s">
        <v>147</v>
      </c>
      <c r="B104" s="58" t="s">
        <v>148</v>
      </c>
      <c r="C104" s="40">
        <f>[11]С4!F18</f>
        <v>1.4999999999999999E-2</v>
      </c>
    </row>
    <row r="105" spans="1:3" ht="30" x14ac:dyDescent="0.2">
      <c r="A105" s="59" t="s">
        <v>149</v>
      </c>
      <c r="B105" s="58" t="s">
        <v>150</v>
      </c>
      <c r="C105" s="34">
        <f>[11]С4!F19</f>
        <v>12104</v>
      </c>
    </row>
    <row r="106" spans="1:3" ht="31.5" x14ac:dyDescent="0.2">
      <c r="A106" s="59" t="s">
        <v>151</v>
      </c>
      <c r="B106" s="58" t="s">
        <v>152</v>
      </c>
      <c r="C106" s="40">
        <f>[11]С4!F20</f>
        <v>1.4999999999999999E-2</v>
      </c>
    </row>
    <row r="107" spans="1:3" ht="30" x14ac:dyDescent="0.2">
      <c r="A107" s="59" t="s">
        <v>153</v>
      </c>
      <c r="B107" s="33" t="s">
        <v>253</v>
      </c>
      <c r="C107" s="34">
        <f>[11]С4!F21</f>
        <v>1221.9019409821399</v>
      </c>
    </row>
    <row r="108" spans="1:3" ht="45.6" customHeight="1" x14ac:dyDescent="0.2">
      <c r="A108" s="59" t="s">
        <v>155</v>
      </c>
      <c r="B108" s="53" t="s">
        <v>156</v>
      </c>
      <c r="C108" s="85" t="str">
        <f>IF([11]С4.2!F8="да",[11]С4.2!D21,[11]С4.2!D15)</f>
        <v>АО "Новосибирскэнергосбыт"</v>
      </c>
    </row>
    <row r="109" spans="1:3" ht="68.25" customHeight="1" x14ac:dyDescent="0.2">
      <c r="A109" s="59" t="s">
        <v>157</v>
      </c>
      <c r="B109" s="53" t="s">
        <v>158</v>
      </c>
      <c r="C109" s="34">
        <f>[11]С4!F22</f>
        <v>3.6112641666666665</v>
      </c>
    </row>
    <row r="110" spans="1:3" ht="30" x14ac:dyDescent="0.2">
      <c r="A110" s="59" t="s">
        <v>159</v>
      </c>
      <c r="B110" s="58" t="s">
        <v>254</v>
      </c>
      <c r="C110" s="62">
        <f>[11]С4!F23</f>
        <v>110</v>
      </c>
    </row>
    <row r="111" spans="1:3" ht="14.25" x14ac:dyDescent="0.2">
      <c r="A111" s="59" t="s">
        <v>161</v>
      </c>
      <c r="B111" s="53" t="s">
        <v>162</v>
      </c>
      <c r="C111" s="34">
        <f>[11]С4!F24</f>
        <v>8497.1999999999989</v>
      </c>
    </row>
    <row r="112" spans="1:3" ht="14.25" x14ac:dyDescent="0.2">
      <c r="A112" s="59" t="s">
        <v>163</v>
      </c>
      <c r="B112" s="58" t="s">
        <v>164</v>
      </c>
      <c r="C112" s="40">
        <f>[11]С4!F25</f>
        <v>0.36199999999999999</v>
      </c>
    </row>
    <row r="113" spans="1:3" ht="17.25" x14ac:dyDescent="0.2">
      <c r="A113" s="59" t="s">
        <v>165</v>
      </c>
      <c r="B113" s="33" t="s">
        <v>166</v>
      </c>
      <c r="C113" s="34">
        <f>[11]С4!F26</f>
        <v>40.841459999999998</v>
      </c>
    </row>
    <row r="114" spans="1:3" ht="25.5" x14ac:dyDescent="0.2">
      <c r="A114" s="59" t="s">
        <v>167</v>
      </c>
      <c r="B114" s="53" t="s">
        <v>94</v>
      </c>
      <c r="C114" s="85">
        <f>[11]С4.3!E16</f>
        <v>0</v>
      </c>
    </row>
    <row r="115" spans="1:3" ht="360" customHeight="1" x14ac:dyDescent="0.2">
      <c r="A115" s="59" t="s">
        <v>168</v>
      </c>
      <c r="B115" s="53" t="s">
        <v>169</v>
      </c>
      <c r="C115" s="34">
        <f>[11]С4.3!E17</f>
        <v>20.38</v>
      </c>
    </row>
    <row r="116" spans="1:3" ht="38.25" x14ac:dyDescent="0.2">
      <c r="A116" s="59" t="s">
        <v>170</v>
      </c>
      <c r="B116" s="53" t="s">
        <v>106</v>
      </c>
      <c r="C116" s="85">
        <f>[11]С4.3!E18</f>
        <v>0</v>
      </c>
    </row>
    <row r="117" spans="1:3" ht="374.25" customHeight="1" x14ac:dyDescent="0.2">
      <c r="A117" s="59" t="s">
        <v>171</v>
      </c>
      <c r="B117" s="53" t="s">
        <v>172</v>
      </c>
      <c r="C117" s="34">
        <f>[11]С4.3!E19</f>
        <v>20.100000000000001</v>
      </c>
    </row>
    <row r="118" spans="1:3" x14ac:dyDescent="0.2">
      <c r="A118" s="59" t="s">
        <v>173</v>
      </c>
      <c r="B118" s="58" t="s">
        <v>174</v>
      </c>
      <c r="C118" s="62">
        <f>[11]С4.3!E11</f>
        <v>1871</v>
      </c>
    </row>
    <row r="119" spans="1:3" x14ac:dyDescent="0.2">
      <c r="A119" s="59" t="s">
        <v>175</v>
      </c>
      <c r="B119" s="58" t="s">
        <v>176</v>
      </c>
      <c r="C119" s="52">
        <f>[11]С4.3!E12</f>
        <v>61</v>
      </c>
    </row>
    <row r="120" spans="1:3" x14ac:dyDescent="0.2">
      <c r="A120" s="59" t="s">
        <v>177</v>
      </c>
      <c r="B120" s="58" t="s">
        <v>178</v>
      </c>
      <c r="C120" s="52">
        <f>[11]С4.3!E13</f>
        <v>73</v>
      </c>
    </row>
    <row r="121" spans="1:3" ht="30" x14ac:dyDescent="0.2">
      <c r="A121" s="59" t="s">
        <v>179</v>
      </c>
      <c r="B121" s="33" t="s">
        <v>255</v>
      </c>
      <c r="C121" s="34">
        <f>[11]С4!F27</f>
        <v>0</v>
      </c>
    </row>
    <row r="122" spans="1:3" ht="25.5" x14ac:dyDescent="0.2">
      <c r="A122" s="59" t="s">
        <v>181</v>
      </c>
      <c r="B122" s="53" t="s">
        <v>256</v>
      </c>
      <c r="C122" s="34">
        <f>[11]С4!F28</f>
        <v>0</v>
      </c>
    </row>
    <row r="123" spans="1:3" ht="42.75" x14ac:dyDescent="0.2">
      <c r="A123" s="59" t="s">
        <v>183</v>
      </c>
      <c r="B123" s="53" t="s">
        <v>184</v>
      </c>
      <c r="C123" s="34">
        <f>[11]С4!F29</f>
        <v>0</v>
      </c>
    </row>
    <row r="124" spans="1:3" ht="30.75" thickBot="1" x14ac:dyDescent="0.25">
      <c r="A124" s="72" t="s">
        <v>185</v>
      </c>
      <c r="B124" s="90" t="s">
        <v>186</v>
      </c>
      <c r="C124" s="83">
        <f>[11]С4!F30</f>
        <v>772.87047132573866</v>
      </c>
    </row>
    <row r="125" spans="1:3" s="89" customFormat="1" ht="13.5" thickBot="1" x14ac:dyDescent="0.25">
      <c r="A125" s="47"/>
      <c r="B125" s="75"/>
      <c r="C125" s="15"/>
    </row>
    <row r="126" spans="1:3" s="63" customFormat="1" ht="30" customHeight="1" x14ac:dyDescent="0.2">
      <c r="A126" s="76" t="s">
        <v>195</v>
      </c>
      <c r="B126" s="145" t="s">
        <v>196</v>
      </c>
      <c r="C126" s="145"/>
    </row>
    <row r="127" spans="1:3" ht="30.6" customHeight="1" thickBot="1" x14ac:dyDescent="0.25">
      <c r="A127" s="27" t="s">
        <v>197</v>
      </c>
      <c r="B127" s="90" t="s">
        <v>198</v>
      </c>
      <c r="C127" s="83">
        <f>[11]С5!F17</f>
        <v>0.02</v>
      </c>
    </row>
    <row r="128" spans="1:3" s="89" customFormat="1" ht="13.5" thickBot="1" x14ac:dyDescent="0.25">
      <c r="A128" s="47"/>
      <c r="B128" s="75"/>
      <c r="C128" s="15"/>
    </row>
    <row r="129" spans="1:3" ht="42.75" customHeight="1" x14ac:dyDescent="0.2">
      <c r="A129" s="84" t="s">
        <v>199</v>
      </c>
      <c r="B129" s="145" t="s">
        <v>200</v>
      </c>
      <c r="C129" s="145"/>
    </row>
    <row r="130" spans="1:3" ht="68.25" x14ac:dyDescent="0.2">
      <c r="A130" s="59" t="s">
        <v>201</v>
      </c>
      <c r="B130" s="91" t="s">
        <v>202</v>
      </c>
      <c r="C130" s="34" t="str">
        <f>IF([11]С6.1!E11="нет",[11]С6!F13,"")</f>
        <v/>
      </c>
    </row>
    <row r="131" spans="1:3" ht="42.75" x14ac:dyDescent="0.2">
      <c r="A131" s="59" t="s">
        <v>204</v>
      </c>
      <c r="B131" s="86" t="s">
        <v>205</v>
      </c>
      <c r="C131" s="92" t="str">
        <f>IF([11]С6.1!E12="нет",[11]С6.1!E17,"")</f>
        <v/>
      </c>
    </row>
    <row r="132" spans="1:3" ht="68.25" x14ac:dyDescent="0.2">
      <c r="A132" s="59" t="s">
        <v>206</v>
      </c>
      <c r="B132" s="91" t="s">
        <v>207</v>
      </c>
      <c r="C132" s="127" t="str">
        <f>IF([11]С6.1!E18="нет",[11]С6!F19,"")</f>
        <v/>
      </c>
    </row>
    <row r="133" spans="1:3" ht="55.5" x14ac:dyDescent="0.2">
      <c r="A133" s="59" t="s">
        <v>208</v>
      </c>
      <c r="B133" s="86" t="s">
        <v>209</v>
      </c>
      <c r="C133" s="35" t="str">
        <f>IF([11]С6.1!E18="нет",[11]С6.1!E19,"")</f>
        <v/>
      </c>
    </row>
    <row r="134" spans="1:3" ht="61.5" customHeight="1" x14ac:dyDescent="0.2">
      <c r="A134" s="59" t="s">
        <v>210</v>
      </c>
      <c r="B134" s="86" t="s">
        <v>257</v>
      </c>
      <c r="C134" s="35" t="str">
        <f>IF([11]С6.1!E18="нет",[11]С6.1!E22,"")</f>
        <v/>
      </c>
    </row>
    <row r="135" spans="1:3" ht="69" thickBot="1" x14ac:dyDescent="0.25">
      <c r="A135" s="72" t="s">
        <v>212</v>
      </c>
      <c r="B135" s="98" t="s">
        <v>213</v>
      </c>
      <c r="C135" s="74" t="str">
        <f>IF([11]С6.1!E18="нет",[11]С6.1!E23,"")</f>
        <v/>
      </c>
    </row>
    <row r="136" spans="1:3" s="89" customFormat="1" ht="13.5" thickBot="1" x14ac:dyDescent="0.25">
      <c r="A136" s="47"/>
      <c r="B136" s="75"/>
      <c r="C136" s="15"/>
    </row>
    <row r="137" spans="1:3" ht="15.75" x14ac:dyDescent="0.2">
      <c r="A137" s="84" t="s">
        <v>214</v>
      </c>
      <c r="B137" s="99" t="s">
        <v>215</v>
      </c>
      <c r="C137" s="100">
        <f>[11]С2!F39</f>
        <v>21.531904799999996</v>
      </c>
    </row>
    <row r="138" spans="1:3" ht="14.25" x14ac:dyDescent="0.2">
      <c r="A138" s="59" t="s">
        <v>216</v>
      </c>
      <c r="B138" s="58" t="s">
        <v>217</v>
      </c>
      <c r="C138" s="34">
        <f>[11]С2!F40</f>
        <v>7</v>
      </c>
    </row>
    <row r="139" spans="1:3" ht="17.25" x14ac:dyDescent="0.2">
      <c r="A139" s="59" t="s">
        <v>218</v>
      </c>
      <c r="B139" s="58" t="s">
        <v>219</v>
      </c>
      <c r="C139" s="34">
        <f>[11]С2!F42</f>
        <v>0.97</v>
      </c>
    </row>
    <row r="140" spans="1:3" ht="15" thickBot="1" x14ac:dyDescent="0.25">
      <c r="A140" s="72" t="s">
        <v>220</v>
      </c>
      <c r="B140" s="73" t="s">
        <v>221</v>
      </c>
      <c r="C140" s="46">
        <f>[11]С2!F44</f>
        <v>0.36199999999999999</v>
      </c>
    </row>
    <row r="141" spans="1:3" s="89" customFormat="1" ht="13.5" thickBot="1" x14ac:dyDescent="0.25">
      <c r="A141" s="47"/>
      <c r="B141" s="75"/>
      <c r="C141" s="15"/>
    </row>
    <row r="142" spans="1:3" ht="17.25" x14ac:dyDescent="0.2">
      <c r="A142" s="84" t="s">
        <v>222</v>
      </c>
      <c r="B142" s="103" t="s">
        <v>258</v>
      </c>
      <c r="C142" s="128">
        <f>[11]С2!F37</f>
        <v>1.7157947422665329</v>
      </c>
    </row>
    <row r="143" spans="1:3" ht="17.25" customHeight="1" thickBot="1" x14ac:dyDescent="0.25">
      <c r="A143" s="72" t="s">
        <v>224</v>
      </c>
      <c r="B143" s="141" t="s">
        <v>225</v>
      </c>
      <c r="C143" s="141"/>
    </row>
    <row r="144" spans="1:3" x14ac:dyDescent="0.2">
      <c r="A144" s="105"/>
      <c r="B144" s="129" t="s">
        <v>226</v>
      </c>
      <c r="C144" s="130"/>
    </row>
    <row r="145" spans="1:3" x14ac:dyDescent="0.2">
      <c r="A145" s="105"/>
      <c r="B145" s="131">
        <v>2020</v>
      </c>
      <c r="C145" s="132">
        <f>[11]С2.5!$E$11</f>
        <v>-2.9000000000000026E-2</v>
      </c>
    </row>
    <row r="146" spans="1:3" x14ac:dyDescent="0.2">
      <c r="B146" s="131">
        <f>B145+1</f>
        <v>2021</v>
      </c>
      <c r="C146" s="133">
        <f>[11]С2.5!$F$11</f>
        <v>0.245</v>
      </c>
    </row>
    <row r="147" spans="1:3" x14ac:dyDescent="0.2">
      <c r="B147" s="131">
        <f t="shared" ref="B147:B210" si="0">B146+1</f>
        <v>2022</v>
      </c>
      <c r="C147" s="134">
        <f>[11]С2.5!$G$11</f>
        <v>0.114</v>
      </c>
    </row>
    <row r="148" spans="1:3" x14ac:dyDescent="0.2">
      <c r="B148" s="110">
        <f t="shared" si="0"/>
        <v>2023</v>
      </c>
      <c r="C148" s="135">
        <f>[11]С2.5!$H$11</f>
        <v>0.04</v>
      </c>
    </row>
    <row r="149" spans="1:3" x14ac:dyDescent="0.2">
      <c r="B149" s="110">
        <f t="shared" si="0"/>
        <v>2024</v>
      </c>
      <c r="C149" s="135">
        <f>[11]С2.5!$I$11</f>
        <v>0.121</v>
      </c>
    </row>
    <row r="150" spans="1:3" x14ac:dyDescent="0.2">
      <c r="B150" s="110">
        <f t="shared" si="0"/>
        <v>2025</v>
      </c>
      <c r="C150" s="135">
        <f>[11]С2.5!$J$11</f>
        <v>0.03</v>
      </c>
    </row>
    <row r="151" spans="1:3" ht="13.5" thickBot="1" x14ac:dyDescent="0.25">
      <c r="B151" s="110">
        <f t="shared" si="0"/>
        <v>2026</v>
      </c>
      <c r="C151" s="135">
        <f>[11]С2.5!$K$11</f>
        <v>6.0999999999999999E-2</v>
      </c>
    </row>
    <row r="152" spans="1:3" ht="13.5" hidden="1" thickBot="1" x14ac:dyDescent="0.25">
      <c r="B152" s="110">
        <f t="shared" si="0"/>
        <v>2027</v>
      </c>
      <c r="C152" s="135">
        <f>[11]С2.5!$L$11</f>
        <v>0</v>
      </c>
    </row>
    <row r="153" spans="1:3" ht="13.5" hidden="1" thickBot="1" x14ac:dyDescent="0.25">
      <c r="B153" s="110">
        <f t="shared" si="0"/>
        <v>2028</v>
      </c>
      <c r="C153" s="135">
        <f>[11]С2.5!$M$11</f>
        <v>0</v>
      </c>
    </row>
    <row r="154" spans="1:3" ht="13.5" hidden="1" thickBot="1" x14ac:dyDescent="0.25">
      <c r="B154" s="110">
        <f t="shared" si="0"/>
        <v>2029</v>
      </c>
      <c r="C154" s="135">
        <f>[11]С2.5!$N$11</f>
        <v>0</v>
      </c>
    </row>
    <row r="155" spans="1:3" ht="13.5" hidden="1" thickBot="1" x14ac:dyDescent="0.25">
      <c r="B155" s="110">
        <f t="shared" si="0"/>
        <v>2030</v>
      </c>
      <c r="C155" s="135">
        <f>[11]С2.5!$O$11</f>
        <v>0</v>
      </c>
    </row>
    <row r="156" spans="1:3" ht="13.5" hidden="1" thickBot="1" x14ac:dyDescent="0.25">
      <c r="B156" s="110">
        <f t="shared" si="0"/>
        <v>2031</v>
      </c>
      <c r="C156" s="135">
        <f>[11]С2.5!$P$11</f>
        <v>0</v>
      </c>
    </row>
    <row r="157" spans="1:3" ht="13.5" hidden="1" thickBot="1" x14ac:dyDescent="0.25">
      <c r="B157" s="110">
        <f t="shared" si="0"/>
        <v>2032</v>
      </c>
      <c r="C157" s="135">
        <f>[11]С2.5!$Q$11</f>
        <v>0</v>
      </c>
    </row>
    <row r="158" spans="1:3" ht="13.5" hidden="1" thickBot="1" x14ac:dyDescent="0.25">
      <c r="B158" s="110">
        <f t="shared" si="0"/>
        <v>2033</v>
      </c>
      <c r="C158" s="135">
        <f>[11]С2.5!$R$11</f>
        <v>0</v>
      </c>
    </row>
    <row r="159" spans="1:3" ht="13.5" hidden="1" thickBot="1" x14ac:dyDescent="0.25">
      <c r="B159" s="110">
        <f t="shared" si="0"/>
        <v>2034</v>
      </c>
      <c r="C159" s="135">
        <f>[11]С2.5!$S$11</f>
        <v>0</v>
      </c>
    </row>
    <row r="160" spans="1:3" ht="13.5" hidden="1" thickBot="1" x14ac:dyDescent="0.25">
      <c r="B160" s="110">
        <f t="shared" si="0"/>
        <v>2035</v>
      </c>
      <c r="C160" s="135">
        <f>[11]С2.5!$T$11</f>
        <v>0</v>
      </c>
    </row>
    <row r="161" spans="2:3" ht="13.5" hidden="1" thickBot="1" x14ac:dyDescent="0.25">
      <c r="B161" s="110">
        <f t="shared" si="0"/>
        <v>2036</v>
      </c>
      <c r="C161" s="135">
        <f>[11]С2.5!$U$11</f>
        <v>0</v>
      </c>
    </row>
    <row r="162" spans="2:3" ht="13.5" hidden="1" thickBot="1" x14ac:dyDescent="0.25">
      <c r="B162" s="110">
        <f t="shared" si="0"/>
        <v>2037</v>
      </c>
      <c r="C162" s="135">
        <f>[11]С2.5!$V$11</f>
        <v>0</v>
      </c>
    </row>
    <row r="163" spans="2:3" ht="13.5" hidden="1" thickBot="1" x14ac:dyDescent="0.25">
      <c r="B163" s="110">
        <f t="shared" si="0"/>
        <v>2038</v>
      </c>
      <c r="C163" s="135">
        <f>[11]С2.5!$W$11</f>
        <v>0</v>
      </c>
    </row>
    <row r="164" spans="2:3" ht="13.5" hidden="1" thickBot="1" x14ac:dyDescent="0.25">
      <c r="B164" s="110">
        <f t="shared" si="0"/>
        <v>2039</v>
      </c>
      <c r="C164" s="135">
        <f>[11]С2.5!$X$11</f>
        <v>0</v>
      </c>
    </row>
    <row r="165" spans="2:3" ht="13.5" hidden="1" thickBot="1" x14ac:dyDescent="0.25">
      <c r="B165" s="110">
        <f t="shared" si="0"/>
        <v>2040</v>
      </c>
      <c r="C165" s="135">
        <f>[11]С2.5!$Y$11</f>
        <v>0</v>
      </c>
    </row>
    <row r="166" spans="2:3" ht="13.5" hidden="1" thickBot="1" x14ac:dyDescent="0.25">
      <c r="B166" s="110">
        <f t="shared" si="0"/>
        <v>2041</v>
      </c>
      <c r="C166" s="135">
        <f>[11]С2.5!$Z$11</f>
        <v>0</v>
      </c>
    </row>
    <row r="167" spans="2:3" ht="13.5" hidden="1" thickBot="1" x14ac:dyDescent="0.25">
      <c r="B167" s="110">
        <f t="shared" si="0"/>
        <v>2042</v>
      </c>
      <c r="C167" s="135">
        <f>[11]С2.5!$AA$11</f>
        <v>0</v>
      </c>
    </row>
    <row r="168" spans="2:3" ht="13.5" hidden="1" thickBot="1" x14ac:dyDescent="0.25">
      <c r="B168" s="110">
        <f t="shared" si="0"/>
        <v>2043</v>
      </c>
      <c r="C168" s="135">
        <f>[11]С2.5!$AB$11</f>
        <v>0</v>
      </c>
    </row>
    <row r="169" spans="2:3" ht="13.5" hidden="1" thickBot="1" x14ac:dyDescent="0.25">
      <c r="B169" s="110">
        <f t="shared" si="0"/>
        <v>2044</v>
      </c>
      <c r="C169" s="135">
        <f>[11]С2.5!$AC$11</f>
        <v>0</v>
      </c>
    </row>
    <row r="170" spans="2:3" ht="13.5" hidden="1" thickBot="1" x14ac:dyDescent="0.25">
      <c r="B170" s="110">
        <f t="shared" si="0"/>
        <v>2045</v>
      </c>
      <c r="C170" s="135">
        <f>[11]С2.5!$AD$11</f>
        <v>0</v>
      </c>
    </row>
    <row r="171" spans="2:3" ht="13.5" hidden="1" thickBot="1" x14ac:dyDescent="0.25">
      <c r="B171" s="110">
        <f t="shared" si="0"/>
        <v>2046</v>
      </c>
      <c r="C171" s="135">
        <f>[11]С2.5!$AE$11</f>
        <v>0</v>
      </c>
    </row>
    <row r="172" spans="2:3" ht="13.5" hidden="1" thickBot="1" x14ac:dyDescent="0.25">
      <c r="B172" s="110">
        <f t="shared" si="0"/>
        <v>2047</v>
      </c>
      <c r="C172" s="135">
        <f>[11]С2.5!$AF$11</f>
        <v>0</v>
      </c>
    </row>
    <row r="173" spans="2:3" ht="13.5" hidden="1" thickBot="1" x14ac:dyDescent="0.25">
      <c r="B173" s="110">
        <f t="shared" si="0"/>
        <v>2048</v>
      </c>
      <c r="C173" s="135">
        <f>[11]С2.5!$AG$11</f>
        <v>0</v>
      </c>
    </row>
    <row r="174" spans="2:3" ht="13.5" hidden="1" thickBot="1" x14ac:dyDescent="0.25">
      <c r="B174" s="110">
        <f t="shared" si="0"/>
        <v>2049</v>
      </c>
      <c r="C174" s="135">
        <f>[11]С2.5!$AH$11</f>
        <v>0</v>
      </c>
    </row>
    <row r="175" spans="2:3" ht="13.5" hidden="1" thickBot="1" x14ac:dyDescent="0.25">
      <c r="B175" s="110">
        <f t="shared" si="0"/>
        <v>2050</v>
      </c>
      <c r="C175" s="135">
        <f>[11]С2.5!$AI$11</f>
        <v>0</v>
      </c>
    </row>
    <row r="176" spans="2:3" ht="13.5" hidden="1" thickBot="1" x14ac:dyDescent="0.25">
      <c r="B176" s="110">
        <f t="shared" si="0"/>
        <v>2051</v>
      </c>
      <c r="C176" s="135">
        <f>[11]С2.5!$AJ$11</f>
        <v>0</v>
      </c>
    </row>
    <row r="177" spans="2:3" ht="13.5" hidden="1" thickBot="1" x14ac:dyDescent="0.25">
      <c r="B177" s="110">
        <f t="shared" si="0"/>
        <v>2052</v>
      </c>
      <c r="C177" s="135">
        <f>[11]С2.5!$AK$11</f>
        <v>0</v>
      </c>
    </row>
    <row r="178" spans="2:3" ht="13.5" hidden="1" thickBot="1" x14ac:dyDescent="0.25">
      <c r="B178" s="110">
        <f t="shared" si="0"/>
        <v>2053</v>
      </c>
      <c r="C178" s="135">
        <f>[11]С2.5!$AL$11</f>
        <v>0</v>
      </c>
    </row>
    <row r="179" spans="2:3" ht="13.5" hidden="1" thickBot="1" x14ac:dyDescent="0.25">
      <c r="B179" s="110">
        <f t="shared" si="0"/>
        <v>2054</v>
      </c>
      <c r="C179" s="135">
        <f>[11]С2.5!$AM$11</f>
        <v>0</v>
      </c>
    </row>
    <row r="180" spans="2:3" ht="13.5" hidden="1" thickBot="1" x14ac:dyDescent="0.25">
      <c r="B180" s="110">
        <f t="shared" si="0"/>
        <v>2055</v>
      </c>
      <c r="C180" s="135">
        <f>[11]С2.5!$AN$11</f>
        <v>0</v>
      </c>
    </row>
    <row r="181" spans="2:3" ht="13.5" hidden="1" thickBot="1" x14ac:dyDescent="0.25">
      <c r="B181" s="110">
        <f t="shared" si="0"/>
        <v>2056</v>
      </c>
      <c r="C181" s="135">
        <f>[11]С2.5!$AO$11</f>
        <v>0</v>
      </c>
    </row>
    <row r="182" spans="2:3" ht="13.5" hidden="1" thickBot="1" x14ac:dyDescent="0.25">
      <c r="B182" s="110">
        <f t="shared" si="0"/>
        <v>2057</v>
      </c>
      <c r="C182" s="135">
        <f>[11]С2.5!$AP$11</f>
        <v>0</v>
      </c>
    </row>
    <row r="183" spans="2:3" ht="13.5" hidden="1" thickBot="1" x14ac:dyDescent="0.25">
      <c r="B183" s="110">
        <f t="shared" si="0"/>
        <v>2058</v>
      </c>
      <c r="C183" s="135">
        <f>[11]С2.5!$AQ$11</f>
        <v>0</v>
      </c>
    </row>
    <row r="184" spans="2:3" ht="13.5" hidden="1" thickBot="1" x14ac:dyDescent="0.25">
      <c r="B184" s="110">
        <f t="shared" si="0"/>
        <v>2059</v>
      </c>
      <c r="C184" s="135">
        <f>[11]С2.5!$AR$11</f>
        <v>0</v>
      </c>
    </row>
    <row r="185" spans="2:3" ht="13.5" hidden="1" thickBot="1" x14ac:dyDescent="0.25">
      <c r="B185" s="110">
        <f t="shared" si="0"/>
        <v>2060</v>
      </c>
      <c r="C185" s="135">
        <f>[11]С2.5!$AS$11</f>
        <v>0</v>
      </c>
    </row>
    <row r="186" spans="2:3" ht="13.5" hidden="1" thickBot="1" x14ac:dyDescent="0.25">
      <c r="B186" s="110">
        <f t="shared" si="0"/>
        <v>2061</v>
      </c>
      <c r="C186" s="135">
        <f>[11]С2.5!$AT$11</f>
        <v>0</v>
      </c>
    </row>
    <row r="187" spans="2:3" ht="13.5" hidden="1" thickBot="1" x14ac:dyDescent="0.25">
      <c r="B187" s="110">
        <f t="shared" si="0"/>
        <v>2062</v>
      </c>
      <c r="C187" s="135">
        <f>[11]С2.5!$AU$11</f>
        <v>0</v>
      </c>
    </row>
    <row r="188" spans="2:3" ht="13.5" hidden="1" thickBot="1" x14ac:dyDescent="0.25">
      <c r="B188" s="110">
        <f t="shared" si="0"/>
        <v>2063</v>
      </c>
      <c r="C188" s="135">
        <f>[11]С2.5!$AV$11</f>
        <v>0</v>
      </c>
    </row>
    <row r="189" spans="2:3" ht="13.5" hidden="1" thickBot="1" x14ac:dyDescent="0.25">
      <c r="B189" s="110">
        <f t="shared" si="0"/>
        <v>2064</v>
      </c>
      <c r="C189" s="135">
        <f>[11]С2.5!$AW$11</f>
        <v>0</v>
      </c>
    </row>
    <row r="190" spans="2:3" ht="13.5" hidden="1" thickBot="1" x14ac:dyDescent="0.25">
      <c r="B190" s="110">
        <f t="shared" si="0"/>
        <v>2065</v>
      </c>
      <c r="C190" s="135">
        <f>[11]С2.5!$AX$11</f>
        <v>0</v>
      </c>
    </row>
    <row r="191" spans="2:3" ht="13.5" hidden="1" thickBot="1" x14ac:dyDescent="0.25">
      <c r="B191" s="110">
        <f t="shared" si="0"/>
        <v>2066</v>
      </c>
      <c r="C191" s="135">
        <f>[11]С2.5!$AY$11</f>
        <v>0</v>
      </c>
    </row>
    <row r="192" spans="2:3" ht="13.5" hidden="1" thickBot="1" x14ac:dyDescent="0.25">
      <c r="B192" s="110">
        <f t="shared" si="0"/>
        <v>2067</v>
      </c>
      <c r="C192" s="135">
        <f>[11]С2.5!$AZ$11</f>
        <v>0</v>
      </c>
    </row>
    <row r="193" spans="2:3" ht="13.5" hidden="1" thickBot="1" x14ac:dyDescent="0.25">
      <c r="B193" s="110">
        <f t="shared" si="0"/>
        <v>2068</v>
      </c>
      <c r="C193" s="135">
        <f>[11]С2.5!$BA$11</f>
        <v>0</v>
      </c>
    </row>
    <row r="194" spans="2:3" ht="13.5" hidden="1" thickBot="1" x14ac:dyDescent="0.25">
      <c r="B194" s="110">
        <f t="shared" si="0"/>
        <v>2069</v>
      </c>
      <c r="C194" s="135">
        <f>[11]С2.5!$BB$11</f>
        <v>0</v>
      </c>
    </row>
    <row r="195" spans="2:3" ht="13.5" hidden="1" thickBot="1" x14ac:dyDescent="0.25">
      <c r="B195" s="110">
        <f t="shared" si="0"/>
        <v>2070</v>
      </c>
      <c r="C195" s="135">
        <f>[11]С2.5!$BC$11</f>
        <v>0</v>
      </c>
    </row>
    <row r="196" spans="2:3" ht="13.5" hidden="1" thickBot="1" x14ac:dyDescent="0.25">
      <c r="B196" s="110">
        <f t="shared" si="0"/>
        <v>2071</v>
      </c>
      <c r="C196" s="135">
        <f>[11]С2.5!$BD$11</f>
        <v>0</v>
      </c>
    </row>
    <row r="197" spans="2:3" ht="13.5" hidden="1" thickBot="1" x14ac:dyDescent="0.25">
      <c r="B197" s="110">
        <f t="shared" si="0"/>
        <v>2072</v>
      </c>
      <c r="C197" s="135">
        <f>[11]С2.5!$BE$11</f>
        <v>0</v>
      </c>
    </row>
    <row r="198" spans="2:3" ht="13.5" hidden="1" thickBot="1" x14ac:dyDescent="0.25">
      <c r="B198" s="110">
        <f t="shared" si="0"/>
        <v>2073</v>
      </c>
      <c r="C198" s="135">
        <f>[11]С2.5!$BF$11</f>
        <v>0</v>
      </c>
    </row>
    <row r="199" spans="2:3" ht="13.5" hidden="1" thickBot="1" x14ac:dyDescent="0.25">
      <c r="B199" s="110">
        <f t="shared" si="0"/>
        <v>2074</v>
      </c>
      <c r="C199" s="135">
        <f>[11]С2.5!$BG$11</f>
        <v>0</v>
      </c>
    </row>
    <row r="200" spans="2:3" ht="13.5" hidden="1" thickBot="1" x14ac:dyDescent="0.25">
      <c r="B200" s="110">
        <f t="shared" si="0"/>
        <v>2075</v>
      </c>
      <c r="C200" s="135">
        <f>[11]С2.5!$BH$11</f>
        <v>0</v>
      </c>
    </row>
    <row r="201" spans="2:3" ht="13.5" hidden="1" thickBot="1" x14ac:dyDescent="0.25">
      <c r="B201" s="110">
        <f t="shared" si="0"/>
        <v>2076</v>
      </c>
      <c r="C201" s="135">
        <f>[11]С2.5!$BI$11</f>
        <v>0</v>
      </c>
    </row>
    <row r="202" spans="2:3" ht="13.5" hidden="1" thickBot="1" x14ac:dyDescent="0.25">
      <c r="B202" s="110">
        <f t="shared" si="0"/>
        <v>2077</v>
      </c>
      <c r="C202" s="135">
        <f>[11]С2.5!$BJ$11</f>
        <v>0</v>
      </c>
    </row>
    <row r="203" spans="2:3" ht="13.5" hidden="1" thickBot="1" x14ac:dyDescent="0.25">
      <c r="B203" s="110">
        <f t="shared" si="0"/>
        <v>2078</v>
      </c>
      <c r="C203" s="135">
        <f>[11]С2.5!$BK$11</f>
        <v>0</v>
      </c>
    </row>
    <row r="204" spans="2:3" ht="13.5" hidden="1" thickBot="1" x14ac:dyDescent="0.25">
      <c r="B204" s="110">
        <f t="shared" si="0"/>
        <v>2079</v>
      </c>
      <c r="C204" s="135">
        <f>[11]С2.5!$BL$11</f>
        <v>0</v>
      </c>
    </row>
    <row r="205" spans="2:3" ht="13.5" hidden="1" thickBot="1" x14ac:dyDescent="0.25">
      <c r="B205" s="110">
        <f t="shared" si="0"/>
        <v>2080</v>
      </c>
      <c r="C205" s="135">
        <f>[11]С2.5!$BM$11</f>
        <v>0</v>
      </c>
    </row>
    <row r="206" spans="2:3" ht="13.5" hidden="1" thickBot="1" x14ac:dyDescent="0.25">
      <c r="B206" s="110">
        <f t="shared" si="0"/>
        <v>2081</v>
      </c>
      <c r="C206" s="135">
        <f>[11]С2.5!$BN$11</f>
        <v>0</v>
      </c>
    </row>
    <row r="207" spans="2:3" ht="13.5" hidden="1" thickBot="1" x14ac:dyDescent="0.25">
      <c r="B207" s="110">
        <f t="shared" si="0"/>
        <v>2082</v>
      </c>
      <c r="C207" s="135">
        <f>[11]С2.5!$BO$11</f>
        <v>0</v>
      </c>
    </row>
    <row r="208" spans="2:3" ht="13.5" hidden="1" thickBot="1" x14ac:dyDescent="0.25">
      <c r="B208" s="110">
        <f t="shared" si="0"/>
        <v>2083</v>
      </c>
      <c r="C208" s="135">
        <f>[11]С2.5!$BP$11</f>
        <v>0</v>
      </c>
    </row>
    <row r="209" spans="2:3" ht="13.5" hidden="1" thickBot="1" x14ac:dyDescent="0.25">
      <c r="B209" s="110">
        <f t="shared" si="0"/>
        <v>2084</v>
      </c>
      <c r="C209" s="135">
        <f>[11]С2.5!$BQ$11</f>
        <v>0</v>
      </c>
    </row>
    <row r="210" spans="2:3" ht="13.5" hidden="1" thickBot="1" x14ac:dyDescent="0.25">
      <c r="B210" s="110">
        <f t="shared" si="0"/>
        <v>2085</v>
      </c>
      <c r="C210" s="135">
        <f>[11]С2.5!$BR$11</f>
        <v>0</v>
      </c>
    </row>
    <row r="211" spans="2:3" ht="13.5" hidden="1" thickBot="1" x14ac:dyDescent="0.25">
      <c r="B211" s="110">
        <f t="shared" ref="B211:B224" si="1">B210+1</f>
        <v>2086</v>
      </c>
      <c r="C211" s="135">
        <f>[11]С2.5!$BS$11</f>
        <v>0</v>
      </c>
    </row>
    <row r="212" spans="2:3" ht="13.5" hidden="1" thickBot="1" x14ac:dyDescent="0.25">
      <c r="B212" s="110">
        <f t="shared" si="1"/>
        <v>2087</v>
      </c>
      <c r="C212" s="135">
        <f>[11]С2.5!$BT$11</f>
        <v>0</v>
      </c>
    </row>
    <row r="213" spans="2:3" ht="13.5" hidden="1" thickBot="1" x14ac:dyDescent="0.25">
      <c r="B213" s="110">
        <f t="shared" si="1"/>
        <v>2088</v>
      </c>
      <c r="C213" s="135">
        <f>[11]С2.5!$BU$11</f>
        <v>0</v>
      </c>
    </row>
    <row r="214" spans="2:3" ht="13.5" hidden="1" thickBot="1" x14ac:dyDescent="0.25">
      <c r="B214" s="110">
        <f t="shared" si="1"/>
        <v>2089</v>
      </c>
      <c r="C214" s="135">
        <f>[11]С2.5!$BV$11</f>
        <v>0</v>
      </c>
    </row>
    <row r="215" spans="2:3" ht="13.5" hidden="1" thickBot="1" x14ac:dyDescent="0.25">
      <c r="B215" s="110">
        <f t="shared" si="1"/>
        <v>2090</v>
      </c>
      <c r="C215" s="135">
        <f>[11]С2.5!$BW$11</f>
        <v>0</v>
      </c>
    </row>
    <row r="216" spans="2:3" ht="13.5" hidden="1" thickBot="1" x14ac:dyDescent="0.25">
      <c r="B216" s="110">
        <f t="shared" si="1"/>
        <v>2091</v>
      </c>
      <c r="C216" s="135">
        <f>[11]С2.5!$BX$11</f>
        <v>0</v>
      </c>
    </row>
    <row r="217" spans="2:3" ht="13.5" hidden="1" thickBot="1" x14ac:dyDescent="0.25">
      <c r="B217" s="110">
        <f t="shared" si="1"/>
        <v>2092</v>
      </c>
      <c r="C217" s="135">
        <f>[11]С2.5!$BY$11</f>
        <v>0</v>
      </c>
    </row>
    <row r="218" spans="2:3" ht="13.5" hidden="1" thickBot="1" x14ac:dyDescent="0.25">
      <c r="B218" s="110">
        <f t="shared" si="1"/>
        <v>2093</v>
      </c>
      <c r="C218" s="135">
        <f>[11]С2.5!$BZ$11</f>
        <v>0</v>
      </c>
    </row>
    <row r="219" spans="2:3" ht="13.5" hidden="1" thickBot="1" x14ac:dyDescent="0.25">
      <c r="B219" s="110">
        <f t="shared" si="1"/>
        <v>2094</v>
      </c>
      <c r="C219" s="135">
        <f>[11]С2.5!$CA$11</f>
        <v>0</v>
      </c>
    </row>
    <row r="220" spans="2:3" ht="13.5" hidden="1" thickBot="1" x14ac:dyDescent="0.25">
      <c r="B220" s="110">
        <f t="shared" si="1"/>
        <v>2095</v>
      </c>
      <c r="C220" s="135">
        <f>[11]С2.5!$CB$11</f>
        <v>0</v>
      </c>
    </row>
    <row r="221" spans="2:3" ht="13.5" hidden="1" thickBot="1" x14ac:dyDescent="0.25">
      <c r="B221" s="110">
        <f t="shared" si="1"/>
        <v>2096</v>
      </c>
      <c r="C221" s="135">
        <f>[11]С2.5!$CC$11</f>
        <v>0</v>
      </c>
    </row>
    <row r="222" spans="2:3" ht="13.5" hidden="1" thickBot="1" x14ac:dyDescent="0.25">
      <c r="B222" s="110">
        <f t="shared" si="1"/>
        <v>2097</v>
      </c>
      <c r="C222" s="135">
        <f>[11]С2.5!$CD$11</f>
        <v>0</v>
      </c>
    </row>
    <row r="223" spans="2:3" ht="13.5" hidden="1" thickBot="1" x14ac:dyDescent="0.25">
      <c r="B223" s="110">
        <f t="shared" si="1"/>
        <v>2098</v>
      </c>
      <c r="C223" s="135">
        <f>[11]С2.5!$CE$11</f>
        <v>0</v>
      </c>
    </row>
    <row r="224" spans="2:3" ht="13.5" hidden="1" thickBot="1" x14ac:dyDescent="0.25">
      <c r="B224" s="110">
        <f t="shared" si="1"/>
        <v>2099</v>
      </c>
      <c r="C224" s="135">
        <f>[11]С2.5!$CF$11</f>
        <v>0</v>
      </c>
    </row>
    <row r="225" spans="2:3" ht="13.5" hidden="1" thickBot="1" x14ac:dyDescent="0.25">
      <c r="B225" s="112">
        <f>B162+1</f>
        <v>2038</v>
      </c>
      <c r="C225" s="136" t="e">
        <f>[11]С2.5!#REF!</f>
        <v>#REF!</v>
      </c>
    </row>
    <row r="226" spans="2:3" x14ac:dyDescent="0.2">
      <c r="B226" s="137"/>
      <c r="C226" s="138"/>
    </row>
  </sheetData>
  <mergeCells count="9">
    <mergeCell ref="B143:C143"/>
    <mergeCell ref="A14:C14"/>
    <mergeCell ref="B1:C1"/>
    <mergeCell ref="B27:C27"/>
    <mergeCell ref="B45:C45"/>
    <mergeCell ref="B90:C90"/>
    <mergeCell ref="B101:C101"/>
    <mergeCell ref="B126:C126"/>
    <mergeCell ref="B129:C129"/>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26"/>
  <sheetViews>
    <sheetView workbookViewId="0">
      <selection activeCell="C7" sqref="C7"/>
    </sheetView>
  </sheetViews>
  <sheetFormatPr defaultRowHeight="12.75" x14ac:dyDescent="0.2"/>
  <cols>
    <col min="1" max="1" width="9.140625" style="2" customWidth="1"/>
    <col min="2" max="2" width="100.5703125" style="2" customWidth="1"/>
    <col min="3" max="3" width="20.85546875" style="7" customWidth="1"/>
    <col min="4" max="243" width="9.140625" style="2"/>
    <col min="244" max="244" width="3.5703125" style="2" customWidth="1"/>
    <col min="245" max="245" width="96.85546875" style="2" customWidth="1"/>
    <col min="246" max="246" width="30.85546875" style="2" customWidth="1"/>
    <col min="247" max="247" width="12.5703125" style="2" customWidth="1"/>
    <col min="248" max="248" width="5.140625" style="2" customWidth="1"/>
    <col min="249" max="249" width="9.140625" style="2"/>
    <col min="250" max="250" width="4.85546875" style="2" customWidth="1"/>
    <col min="251" max="251" width="30.5703125" style="2" customWidth="1"/>
    <col min="252" max="252" width="33.85546875" style="2" customWidth="1"/>
    <col min="253" max="253" width="5.140625" style="2" customWidth="1"/>
    <col min="254" max="255" width="17.5703125" style="2" customWidth="1"/>
    <col min="256" max="499" width="9.140625" style="2"/>
    <col min="500" max="500" width="3.5703125" style="2" customWidth="1"/>
    <col min="501" max="501" width="96.85546875" style="2" customWidth="1"/>
    <col min="502" max="502" width="30.85546875" style="2" customWidth="1"/>
    <col min="503" max="503" width="12.5703125" style="2" customWidth="1"/>
    <col min="504" max="504" width="5.140625" style="2" customWidth="1"/>
    <col min="505" max="505" width="9.140625" style="2"/>
    <col min="506" max="506" width="4.85546875" style="2" customWidth="1"/>
    <col min="507" max="507" width="30.5703125" style="2" customWidth="1"/>
    <col min="508" max="508" width="33.85546875" style="2" customWidth="1"/>
    <col min="509" max="509" width="5.140625" style="2" customWidth="1"/>
    <col min="510" max="511" width="17.5703125" style="2" customWidth="1"/>
    <col min="512" max="755" width="9.140625" style="2"/>
    <col min="756" max="756" width="3.5703125" style="2" customWidth="1"/>
    <col min="757" max="757" width="96.85546875" style="2" customWidth="1"/>
    <col min="758" max="758" width="30.85546875" style="2" customWidth="1"/>
    <col min="759" max="759" width="12.5703125" style="2" customWidth="1"/>
    <col min="760" max="760" width="5.140625" style="2" customWidth="1"/>
    <col min="761" max="761" width="9.140625" style="2"/>
    <col min="762" max="762" width="4.85546875" style="2" customWidth="1"/>
    <col min="763" max="763" width="30.5703125" style="2" customWidth="1"/>
    <col min="764" max="764" width="33.85546875" style="2" customWidth="1"/>
    <col min="765" max="765" width="5.140625" style="2" customWidth="1"/>
    <col min="766" max="767" width="17.5703125" style="2" customWidth="1"/>
    <col min="768" max="1011" width="9.140625" style="2"/>
    <col min="1012" max="1012" width="3.5703125" style="2" customWidth="1"/>
    <col min="1013" max="1013" width="96.85546875" style="2" customWidth="1"/>
    <col min="1014" max="1014" width="30.85546875" style="2" customWidth="1"/>
    <col min="1015" max="1015" width="12.5703125" style="2" customWidth="1"/>
    <col min="1016" max="1016" width="5.140625" style="2" customWidth="1"/>
    <col min="1017" max="1017" width="9.140625" style="2"/>
    <col min="1018" max="1018" width="4.85546875" style="2" customWidth="1"/>
    <col min="1019" max="1019" width="30.5703125" style="2" customWidth="1"/>
    <col min="1020" max="1020" width="33.85546875" style="2" customWidth="1"/>
    <col min="1021" max="1021" width="5.140625" style="2" customWidth="1"/>
    <col min="1022" max="1023" width="17.5703125" style="2" customWidth="1"/>
    <col min="1024" max="1267" width="9.140625" style="2"/>
    <col min="1268" max="1268" width="3.5703125" style="2" customWidth="1"/>
    <col min="1269" max="1269" width="96.85546875" style="2" customWidth="1"/>
    <col min="1270" max="1270" width="30.85546875" style="2" customWidth="1"/>
    <col min="1271" max="1271" width="12.5703125" style="2" customWidth="1"/>
    <col min="1272" max="1272" width="5.140625" style="2" customWidth="1"/>
    <col min="1273" max="1273" width="9.140625" style="2"/>
    <col min="1274" max="1274" width="4.85546875" style="2" customWidth="1"/>
    <col min="1275" max="1275" width="30.5703125" style="2" customWidth="1"/>
    <col min="1276" max="1276" width="33.85546875" style="2" customWidth="1"/>
    <col min="1277" max="1277" width="5.140625" style="2" customWidth="1"/>
    <col min="1278" max="1279" width="17.5703125" style="2" customWidth="1"/>
    <col min="1280" max="1523" width="9.140625" style="2"/>
    <col min="1524" max="1524" width="3.5703125" style="2" customWidth="1"/>
    <col min="1525" max="1525" width="96.85546875" style="2" customWidth="1"/>
    <col min="1526" max="1526" width="30.85546875" style="2" customWidth="1"/>
    <col min="1527" max="1527" width="12.5703125" style="2" customWidth="1"/>
    <col min="1528" max="1528" width="5.140625" style="2" customWidth="1"/>
    <col min="1529" max="1529" width="9.140625" style="2"/>
    <col min="1530" max="1530" width="4.85546875" style="2" customWidth="1"/>
    <col min="1531" max="1531" width="30.5703125" style="2" customWidth="1"/>
    <col min="1532" max="1532" width="33.85546875" style="2" customWidth="1"/>
    <col min="1533" max="1533" width="5.140625" style="2" customWidth="1"/>
    <col min="1534" max="1535" width="17.5703125" style="2" customWidth="1"/>
    <col min="1536" max="1779" width="9.140625" style="2"/>
    <col min="1780" max="1780" width="3.5703125" style="2" customWidth="1"/>
    <col min="1781" max="1781" width="96.85546875" style="2" customWidth="1"/>
    <col min="1782" max="1782" width="30.85546875" style="2" customWidth="1"/>
    <col min="1783" max="1783" width="12.5703125" style="2" customWidth="1"/>
    <col min="1784" max="1784" width="5.140625" style="2" customWidth="1"/>
    <col min="1785" max="1785" width="9.140625" style="2"/>
    <col min="1786" max="1786" width="4.85546875" style="2" customWidth="1"/>
    <col min="1787" max="1787" width="30.5703125" style="2" customWidth="1"/>
    <col min="1788" max="1788" width="33.85546875" style="2" customWidth="1"/>
    <col min="1789" max="1789" width="5.140625" style="2" customWidth="1"/>
    <col min="1790" max="1791" width="17.5703125" style="2" customWidth="1"/>
    <col min="1792" max="2035" width="9.140625" style="2"/>
    <col min="2036" max="2036" width="3.5703125" style="2" customWidth="1"/>
    <col min="2037" max="2037" width="96.85546875" style="2" customWidth="1"/>
    <col min="2038" max="2038" width="30.85546875" style="2" customWidth="1"/>
    <col min="2039" max="2039" width="12.5703125" style="2" customWidth="1"/>
    <col min="2040" max="2040" width="5.140625" style="2" customWidth="1"/>
    <col min="2041" max="2041" width="9.140625" style="2"/>
    <col min="2042" max="2042" width="4.85546875" style="2" customWidth="1"/>
    <col min="2043" max="2043" width="30.5703125" style="2" customWidth="1"/>
    <col min="2044" max="2044" width="33.85546875" style="2" customWidth="1"/>
    <col min="2045" max="2045" width="5.140625" style="2" customWidth="1"/>
    <col min="2046" max="2047" width="17.5703125" style="2" customWidth="1"/>
    <col min="2048" max="2291" width="9.140625" style="2"/>
    <col min="2292" max="2292" width="3.5703125" style="2" customWidth="1"/>
    <col min="2293" max="2293" width="96.85546875" style="2" customWidth="1"/>
    <col min="2294" max="2294" width="30.85546875" style="2" customWidth="1"/>
    <col min="2295" max="2295" width="12.5703125" style="2" customWidth="1"/>
    <col min="2296" max="2296" width="5.140625" style="2" customWidth="1"/>
    <col min="2297" max="2297" width="9.140625" style="2"/>
    <col min="2298" max="2298" width="4.85546875" style="2" customWidth="1"/>
    <col min="2299" max="2299" width="30.5703125" style="2" customWidth="1"/>
    <col min="2300" max="2300" width="33.85546875" style="2" customWidth="1"/>
    <col min="2301" max="2301" width="5.140625" style="2" customWidth="1"/>
    <col min="2302" max="2303" width="17.5703125" style="2" customWidth="1"/>
    <col min="2304" max="2547" width="9.140625" style="2"/>
    <col min="2548" max="2548" width="3.5703125" style="2" customWidth="1"/>
    <col min="2549" max="2549" width="96.85546875" style="2" customWidth="1"/>
    <col min="2550" max="2550" width="30.85546875" style="2" customWidth="1"/>
    <col min="2551" max="2551" width="12.5703125" style="2" customWidth="1"/>
    <col min="2552" max="2552" width="5.140625" style="2" customWidth="1"/>
    <col min="2553" max="2553" width="9.140625" style="2"/>
    <col min="2554" max="2554" width="4.85546875" style="2" customWidth="1"/>
    <col min="2555" max="2555" width="30.5703125" style="2" customWidth="1"/>
    <col min="2556" max="2556" width="33.85546875" style="2" customWidth="1"/>
    <col min="2557" max="2557" width="5.140625" style="2" customWidth="1"/>
    <col min="2558" max="2559" width="17.5703125" style="2" customWidth="1"/>
    <col min="2560" max="2803" width="9.140625" style="2"/>
    <col min="2804" max="2804" width="3.5703125" style="2" customWidth="1"/>
    <col min="2805" max="2805" width="96.85546875" style="2" customWidth="1"/>
    <col min="2806" max="2806" width="30.85546875" style="2" customWidth="1"/>
    <col min="2807" max="2807" width="12.5703125" style="2" customWidth="1"/>
    <col min="2808" max="2808" width="5.140625" style="2" customWidth="1"/>
    <col min="2809" max="2809" width="9.140625" style="2"/>
    <col min="2810" max="2810" width="4.85546875" style="2" customWidth="1"/>
    <col min="2811" max="2811" width="30.5703125" style="2" customWidth="1"/>
    <col min="2812" max="2812" width="33.85546875" style="2" customWidth="1"/>
    <col min="2813" max="2813" width="5.140625" style="2" customWidth="1"/>
    <col min="2814" max="2815" width="17.5703125" style="2" customWidth="1"/>
    <col min="2816" max="3059" width="9.140625" style="2"/>
    <col min="3060" max="3060" width="3.5703125" style="2" customWidth="1"/>
    <col min="3061" max="3061" width="96.85546875" style="2" customWidth="1"/>
    <col min="3062" max="3062" width="30.85546875" style="2" customWidth="1"/>
    <col min="3063" max="3063" width="12.5703125" style="2" customWidth="1"/>
    <col min="3064" max="3064" width="5.140625" style="2" customWidth="1"/>
    <col min="3065" max="3065" width="9.140625" style="2"/>
    <col min="3066" max="3066" width="4.85546875" style="2" customWidth="1"/>
    <col min="3067" max="3067" width="30.5703125" style="2" customWidth="1"/>
    <col min="3068" max="3068" width="33.85546875" style="2" customWidth="1"/>
    <col min="3069" max="3069" width="5.140625" style="2" customWidth="1"/>
    <col min="3070" max="3071" width="17.5703125" style="2" customWidth="1"/>
    <col min="3072" max="3315" width="9.140625" style="2"/>
    <col min="3316" max="3316" width="3.5703125" style="2" customWidth="1"/>
    <col min="3317" max="3317" width="96.85546875" style="2" customWidth="1"/>
    <col min="3318" max="3318" width="30.85546875" style="2" customWidth="1"/>
    <col min="3319" max="3319" width="12.5703125" style="2" customWidth="1"/>
    <col min="3320" max="3320" width="5.140625" style="2" customWidth="1"/>
    <col min="3321" max="3321" width="9.140625" style="2"/>
    <col min="3322" max="3322" width="4.85546875" style="2" customWidth="1"/>
    <col min="3323" max="3323" width="30.5703125" style="2" customWidth="1"/>
    <col min="3324" max="3324" width="33.85546875" style="2" customWidth="1"/>
    <col min="3325" max="3325" width="5.140625" style="2" customWidth="1"/>
    <col min="3326" max="3327" width="17.5703125" style="2" customWidth="1"/>
    <col min="3328" max="3571" width="9.140625" style="2"/>
    <col min="3572" max="3572" width="3.5703125" style="2" customWidth="1"/>
    <col min="3573" max="3573" width="96.85546875" style="2" customWidth="1"/>
    <col min="3574" max="3574" width="30.85546875" style="2" customWidth="1"/>
    <col min="3575" max="3575" width="12.5703125" style="2" customWidth="1"/>
    <col min="3576" max="3576" width="5.140625" style="2" customWidth="1"/>
    <col min="3577" max="3577" width="9.140625" style="2"/>
    <col min="3578" max="3578" width="4.85546875" style="2" customWidth="1"/>
    <col min="3579" max="3579" width="30.5703125" style="2" customWidth="1"/>
    <col min="3580" max="3580" width="33.85546875" style="2" customWidth="1"/>
    <col min="3581" max="3581" width="5.140625" style="2" customWidth="1"/>
    <col min="3582" max="3583" width="17.5703125" style="2" customWidth="1"/>
    <col min="3584" max="3827" width="9.140625" style="2"/>
    <col min="3828" max="3828" width="3.5703125" style="2" customWidth="1"/>
    <col min="3829" max="3829" width="96.85546875" style="2" customWidth="1"/>
    <col min="3830" max="3830" width="30.85546875" style="2" customWidth="1"/>
    <col min="3831" max="3831" width="12.5703125" style="2" customWidth="1"/>
    <col min="3832" max="3832" width="5.140625" style="2" customWidth="1"/>
    <col min="3833" max="3833" width="9.140625" style="2"/>
    <col min="3834" max="3834" width="4.85546875" style="2" customWidth="1"/>
    <col min="3835" max="3835" width="30.5703125" style="2" customWidth="1"/>
    <col min="3836" max="3836" width="33.85546875" style="2" customWidth="1"/>
    <col min="3837" max="3837" width="5.140625" style="2" customWidth="1"/>
    <col min="3838" max="3839" width="17.5703125" style="2" customWidth="1"/>
    <col min="3840" max="4083" width="9.140625" style="2"/>
    <col min="4084" max="4084" width="3.5703125" style="2" customWidth="1"/>
    <col min="4085" max="4085" width="96.85546875" style="2" customWidth="1"/>
    <col min="4086" max="4086" width="30.85546875" style="2" customWidth="1"/>
    <col min="4087" max="4087" width="12.5703125" style="2" customWidth="1"/>
    <col min="4088" max="4088" width="5.140625" style="2" customWidth="1"/>
    <col min="4089" max="4089" width="9.140625" style="2"/>
    <col min="4090" max="4090" width="4.85546875" style="2" customWidth="1"/>
    <col min="4091" max="4091" width="30.5703125" style="2" customWidth="1"/>
    <col min="4092" max="4092" width="33.85546875" style="2" customWidth="1"/>
    <col min="4093" max="4093" width="5.140625" style="2" customWidth="1"/>
    <col min="4094" max="4095" width="17.5703125" style="2" customWidth="1"/>
    <col min="4096" max="4339" width="9.140625" style="2"/>
    <col min="4340" max="4340" width="3.5703125" style="2" customWidth="1"/>
    <col min="4341" max="4341" width="96.85546875" style="2" customWidth="1"/>
    <col min="4342" max="4342" width="30.85546875" style="2" customWidth="1"/>
    <col min="4343" max="4343" width="12.5703125" style="2" customWidth="1"/>
    <col min="4344" max="4344" width="5.140625" style="2" customWidth="1"/>
    <col min="4345" max="4345" width="9.140625" style="2"/>
    <col min="4346" max="4346" width="4.85546875" style="2" customWidth="1"/>
    <col min="4347" max="4347" width="30.5703125" style="2" customWidth="1"/>
    <col min="4348" max="4348" width="33.85546875" style="2" customWidth="1"/>
    <col min="4349" max="4349" width="5.140625" style="2" customWidth="1"/>
    <col min="4350" max="4351" width="17.5703125" style="2" customWidth="1"/>
    <col min="4352" max="4595" width="9.140625" style="2"/>
    <col min="4596" max="4596" width="3.5703125" style="2" customWidth="1"/>
    <col min="4597" max="4597" width="96.85546875" style="2" customWidth="1"/>
    <col min="4598" max="4598" width="30.85546875" style="2" customWidth="1"/>
    <col min="4599" max="4599" width="12.5703125" style="2" customWidth="1"/>
    <col min="4600" max="4600" width="5.140625" style="2" customWidth="1"/>
    <col min="4601" max="4601" width="9.140625" style="2"/>
    <col min="4602" max="4602" width="4.85546875" style="2" customWidth="1"/>
    <col min="4603" max="4603" width="30.5703125" style="2" customWidth="1"/>
    <col min="4604" max="4604" width="33.85546875" style="2" customWidth="1"/>
    <col min="4605" max="4605" width="5.140625" style="2" customWidth="1"/>
    <col min="4606" max="4607" width="17.5703125" style="2" customWidth="1"/>
    <col min="4608" max="4851" width="9.140625" style="2"/>
    <col min="4852" max="4852" width="3.5703125" style="2" customWidth="1"/>
    <col min="4853" max="4853" width="96.85546875" style="2" customWidth="1"/>
    <col min="4854" max="4854" width="30.85546875" style="2" customWidth="1"/>
    <col min="4855" max="4855" width="12.5703125" style="2" customWidth="1"/>
    <col min="4856" max="4856" width="5.140625" style="2" customWidth="1"/>
    <col min="4857" max="4857" width="9.140625" style="2"/>
    <col min="4858" max="4858" width="4.85546875" style="2" customWidth="1"/>
    <col min="4859" max="4859" width="30.5703125" style="2" customWidth="1"/>
    <col min="4860" max="4860" width="33.85546875" style="2" customWidth="1"/>
    <col min="4861" max="4861" width="5.140625" style="2" customWidth="1"/>
    <col min="4862" max="4863" width="17.5703125" style="2" customWidth="1"/>
    <col min="4864" max="5107" width="9.140625" style="2"/>
    <col min="5108" max="5108" width="3.5703125" style="2" customWidth="1"/>
    <col min="5109" max="5109" width="96.85546875" style="2" customWidth="1"/>
    <col min="5110" max="5110" width="30.85546875" style="2" customWidth="1"/>
    <col min="5111" max="5111" width="12.5703125" style="2" customWidth="1"/>
    <col min="5112" max="5112" width="5.140625" style="2" customWidth="1"/>
    <col min="5113" max="5113" width="9.140625" style="2"/>
    <col min="5114" max="5114" width="4.85546875" style="2" customWidth="1"/>
    <col min="5115" max="5115" width="30.5703125" style="2" customWidth="1"/>
    <col min="5116" max="5116" width="33.85546875" style="2" customWidth="1"/>
    <col min="5117" max="5117" width="5.140625" style="2" customWidth="1"/>
    <col min="5118" max="5119" width="17.5703125" style="2" customWidth="1"/>
    <col min="5120" max="5363" width="9.140625" style="2"/>
    <col min="5364" max="5364" width="3.5703125" style="2" customWidth="1"/>
    <col min="5365" max="5365" width="96.85546875" style="2" customWidth="1"/>
    <col min="5366" max="5366" width="30.85546875" style="2" customWidth="1"/>
    <col min="5367" max="5367" width="12.5703125" style="2" customWidth="1"/>
    <col min="5368" max="5368" width="5.140625" style="2" customWidth="1"/>
    <col min="5369" max="5369" width="9.140625" style="2"/>
    <col min="5370" max="5370" width="4.85546875" style="2" customWidth="1"/>
    <col min="5371" max="5371" width="30.5703125" style="2" customWidth="1"/>
    <col min="5372" max="5372" width="33.85546875" style="2" customWidth="1"/>
    <col min="5373" max="5373" width="5.140625" style="2" customWidth="1"/>
    <col min="5374" max="5375" width="17.5703125" style="2" customWidth="1"/>
    <col min="5376" max="5619" width="9.140625" style="2"/>
    <col min="5620" max="5620" width="3.5703125" style="2" customWidth="1"/>
    <col min="5621" max="5621" width="96.85546875" style="2" customWidth="1"/>
    <col min="5622" max="5622" width="30.85546875" style="2" customWidth="1"/>
    <col min="5623" max="5623" width="12.5703125" style="2" customWidth="1"/>
    <col min="5624" max="5624" width="5.140625" style="2" customWidth="1"/>
    <col min="5625" max="5625" width="9.140625" style="2"/>
    <col min="5626" max="5626" width="4.85546875" style="2" customWidth="1"/>
    <col min="5627" max="5627" width="30.5703125" style="2" customWidth="1"/>
    <col min="5628" max="5628" width="33.85546875" style="2" customWidth="1"/>
    <col min="5629" max="5629" width="5.140625" style="2" customWidth="1"/>
    <col min="5630" max="5631" width="17.5703125" style="2" customWidth="1"/>
    <col min="5632" max="5875" width="9.140625" style="2"/>
    <col min="5876" max="5876" width="3.5703125" style="2" customWidth="1"/>
    <col min="5877" max="5877" width="96.85546875" style="2" customWidth="1"/>
    <col min="5878" max="5878" width="30.85546875" style="2" customWidth="1"/>
    <col min="5879" max="5879" width="12.5703125" style="2" customWidth="1"/>
    <col min="5880" max="5880" width="5.140625" style="2" customWidth="1"/>
    <col min="5881" max="5881" width="9.140625" style="2"/>
    <col min="5882" max="5882" width="4.85546875" style="2" customWidth="1"/>
    <col min="5883" max="5883" width="30.5703125" style="2" customWidth="1"/>
    <col min="5884" max="5884" width="33.85546875" style="2" customWidth="1"/>
    <col min="5885" max="5885" width="5.140625" style="2" customWidth="1"/>
    <col min="5886" max="5887" width="17.5703125" style="2" customWidth="1"/>
    <col min="5888" max="6131" width="9.140625" style="2"/>
    <col min="6132" max="6132" width="3.5703125" style="2" customWidth="1"/>
    <col min="6133" max="6133" width="96.85546875" style="2" customWidth="1"/>
    <col min="6134" max="6134" width="30.85546875" style="2" customWidth="1"/>
    <col min="6135" max="6135" width="12.5703125" style="2" customWidth="1"/>
    <col min="6136" max="6136" width="5.140625" style="2" customWidth="1"/>
    <col min="6137" max="6137" width="9.140625" style="2"/>
    <col min="6138" max="6138" width="4.85546875" style="2" customWidth="1"/>
    <col min="6139" max="6139" width="30.5703125" style="2" customWidth="1"/>
    <col min="6140" max="6140" width="33.85546875" style="2" customWidth="1"/>
    <col min="6141" max="6141" width="5.140625" style="2" customWidth="1"/>
    <col min="6142" max="6143" width="17.5703125" style="2" customWidth="1"/>
    <col min="6144" max="6387" width="9.140625" style="2"/>
    <col min="6388" max="6388" width="3.5703125" style="2" customWidth="1"/>
    <col min="6389" max="6389" width="96.85546875" style="2" customWidth="1"/>
    <col min="6390" max="6390" width="30.85546875" style="2" customWidth="1"/>
    <col min="6391" max="6391" width="12.5703125" style="2" customWidth="1"/>
    <col min="6392" max="6392" width="5.140625" style="2" customWidth="1"/>
    <col min="6393" max="6393" width="9.140625" style="2"/>
    <col min="6394" max="6394" width="4.85546875" style="2" customWidth="1"/>
    <col min="6395" max="6395" width="30.5703125" style="2" customWidth="1"/>
    <col min="6396" max="6396" width="33.85546875" style="2" customWidth="1"/>
    <col min="6397" max="6397" width="5.140625" style="2" customWidth="1"/>
    <col min="6398" max="6399" width="17.5703125" style="2" customWidth="1"/>
    <col min="6400" max="6643" width="9.140625" style="2"/>
    <col min="6644" max="6644" width="3.5703125" style="2" customWidth="1"/>
    <col min="6645" max="6645" width="96.85546875" style="2" customWidth="1"/>
    <col min="6646" max="6646" width="30.85546875" style="2" customWidth="1"/>
    <col min="6647" max="6647" width="12.5703125" style="2" customWidth="1"/>
    <col min="6648" max="6648" width="5.140625" style="2" customWidth="1"/>
    <col min="6649" max="6649" width="9.140625" style="2"/>
    <col min="6650" max="6650" width="4.85546875" style="2" customWidth="1"/>
    <col min="6651" max="6651" width="30.5703125" style="2" customWidth="1"/>
    <col min="6652" max="6652" width="33.85546875" style="2" customWidth="1"/>
    <col min="6653" max="6653" width="5.140625" style="2" customWidth="1"/>
    <col min="6654" max="6655" width="17.5703125" style="2" customWidth="1"/>
    <col min="6656" max="6899" width="9.140625" style="2"/>
    <col min="6900" max="6900" width="3.5703125" style="2" customWidth="1"/>
    <col min="6901" max="6901" width="96.85546875" style="2" customWidth="1"/>
    <col min="6902" max="6902" width="30.85546875" style="2" customWidth="1"/>
    <col min="6903" max="6903" width="12.5703125" style="2" customWidth="1"/>
    <col min="6904" max="6904" width="5.140625" style="2" customWidth="1"/>
    <col min="6905" max="6905" width="9.140625" style="2"/>
    <col min="6906" max="6906" width="4.85546875" style="2" customWidth="1"/>
    <col min="6907" max="6907" width="30.5703125" style="2" customWidth="1"/>
    <col min="6908" max="6908" width="33.85546875" style="2" customWidth="1"/>
    <col min="6909" max="6909" width="5.140625" style="2" customWidth="1"/>
    <col min="6910" max="6911" width="17.5703125" style="2" customWidth="1"/>
    <col min="6912" max="7155" width="9.140625" style="2"/>
    <col min="7156" max="7156" width="3.5703125" style="2" customWidth="1"/>
    <col min="7157" max="7157" width="96.85546875" style="2" customWidth="1"/>
    <col min="7158" max="7158" width="30.85546875" style="2" customWidth="1"/>
    <col min="7159" max="7159" width="12.5703125" style="2" customWidth="1"/>
    <col min="7160" max="7160" width="5.140625" style="2" customWidth="1"/>
    <col min="7161" max="7161" width="9.140625" style="2"/>
    <col min="7162" max="7162" width="4.85546875" style="2" customWidth="1"/>
    <col min="7163" max="7163" width="30.5703125" style="2" customWidth="1"/>
    <col min="7164" max="7164" width="33.85546875" style="2" customWidth="1"/>
    <col min="7165" max="7165" width="5.140625" style="2" customWidth="1"/>
    <col min="7166" max="7167" width="17.5703125" style="2" customWidth="1"/>
    <col min="7168" max="7411" width="9.140625" style="2"/>
    <col min="7412" max="7412" width="3.5703125" style="2" customWidth="1"/>
    <col min="7413" max="7413" width="96.85546875" style="2" customWidth="1"/>
    <col min="7414" max="7414" width="30.85546875" style="2" customWidth="1"/>
    <col min="7415" max="7415" width="12.5703125" style="2" customWidth="1"/>
    <col min="7416" max="7416" width="5.140625" style="2" customWidth="1"/>
    <col min="7417" max="7417" width="9.140625" style="2"/>
    <col min="7418" max="7418" width="4.85546875" style="2" customWidth="1"/>
    <col min="7419" max="7419" width="30.5703125" style="2" customWidth="1"/>
    <col min="7420" max="7420" width="33.85546875" style="2" customWidth="1"/>
    <col min="7421" max="7421" width="5.140625" style="2" customWidth="1"/>
    <col min="7422" max="7423" width="17.5703125" style="2" customWidth="1"/>
    <col min="7424" max="7667" width="9.140625" style="2"/>
    <col min="7668" max="7668" width="3.5703125" style="2" customWidth="1"/>
    <col min="7669" max="7669" width="96.85546875" style="2" customWidth="1"/>
    <col min="7670" max="7670" width="30.85546875" style="2" customWidth="1"/>
    <col min="7671" max="7671" width="12.5703125" style="2" customWidth="1"/>
    <col min="7672" max="7672" width="5.140625" style="2" customWidth="1"/>
    <col min="7673" max="7673" width="9.140625" style="2"/>
    <col min="7674" max="7674" width="4.85546875" style="2" customWidth="1"/>
    <col min="7675" max="7675" width="30.5703125" style="2" customWidth="1"/>
    <col min="7676" max="7676" width="33.85546875" style="2" customWidth="1"/>
    <col min="7677" max="7677" width="5.140625" style="2" customWidth="1"/>
    <col min="7678" max="7679" width="17.5703125" style="2" customWidth="1"/>
    <col min="7680" max="7923" width="9.140625" style="2"/>
    <col min="7924" max="7924" width="3.5703125" style="2" customWidth="1"/>
    <col min="7925" max="7925" width="96.85546875" style="2" customWidth="1"/>
    <col min="7926" max="7926" width="30.85546875" style="2" customWidth="1"/>
    <col min="7927" max="7927" width="12.5703125" style="2" customWidth="1"/>
    <col min="7928" max="7928" width="5.140625" style="2" customWidth="1"/>
    <col min="7929" max="7929" width="9.140625" style="2"/>
    <col min="7930" max="7930" width="4.85546875" style="2" customWidth="1"/>
    <col min="7931" max="7931" width="30.5703125" style="2" customWidth="1"/>
    <col min="7932" max="7932" width="33.85546875" style="2" customWidth="1"/>
    <col min="7933" max="7933" width="5.140625" style="2" customWidth="1"/>
    <col min="7934" max="7935" width="17.5703125" style="2" customWidth="1"/>
    <col min="7936" max="8179" width="9.140625" style="2"/>
    <col min="8180" max="8180" width="3.5703125" style="2" customWidth="1"/>
    <col min="8181" max="8181" width="96.85546875" style="2" customWidth="1"/>
    <col min="8182" max="8182" width="30.85546875" style="2" customWidth="1"/>
    <col min="8183" max="8183" width="12.5703125" style="2" customWidth="1"/>
    <col min="8184" max="8184" width="5.140625" style="2" customWidth="1"/>
    <col min="8185" max="8185" width="9.140625" style="2"/>
    <col min="8186" max="8186" width="4.85546875" style="2" customWidth="1"/>
    <col min="8187" max="8187" width="30.5703125" style="2" customWidth="1"/>
    <col min="8188" max="8188" width="33.85546875" style="2" customWidth="1"/>
    <col min="8189" max="8189" width="5.140625" style="2" customWidth="1"/>
    <col min="8190" max="8191" width="17.5703125" style="2" customWidth="1"/>
    <col min="8192" max="8435" width="9.140625" style="2"/>
    <col min="8436" max="8436" width="3.5703125" style="2" customWidth="1"/>
    <col min="8437" max="8437" width="96.85546875" style="2" customWidth="1"/>
    <col min="8438" max="8438" width="30.85546875" style="2" customWidth="1"/>
    <col min="8439" max="8439" width="12.5703125" style="2" customWidth="1"/>
    <col min="8440" max="8440" width="5.140625" style="2" customWidth="1"/>
    <col min="8441" max="8441" width="9.140625" style="2"/>
    <col min="8442" max="8442" width="4.85546875" style="2" customWidth="1"/>
    <col min="8443" max="8443" width="30.5703125" style="2" customWidth="1"/>
    <col min="8444" max="8444" width="33.85546875" style="2" customWidth="1"/>
    <col min="8445" max="8445" width="5.140625" style="2" customWidth="1"/>
    <col min="8446" max="8447" width="17.5703125" style="2" customWidth="1"/>
    <col min="8448" max="8691" width="9.140625" style="2"/>
    <col min="8692" max="8692" width="3.5703125" style="2" customWidth="1"/>
    <col min="8693" max="8693" width="96.85546875" style="2" customWidth="1"/>
    <col min="8694" max="8694" width="30.85546875" style="2" customWidth="1"/>
    <col min="8695" max="8695" width="12.5703125" style="2" customWidth="1"/>
    <col min="8696" max="8696" width="5.140625" style="2" customWidth="1"/>
    <col min="8697" max="8697" width="9.140625" style="2"/>
    <col min="8698" max="8698" width="4.85546875" style="2" customWidth="1"/>
    <col min="8699" max="8699" width="30.5703125" style="2" customWidth="1"/>
    <col min="8700" max="8700" width="33.85546875" style="2" customWidth="1"/>
    <col min="8701" max="8701" width="5.140625" style="2" customWidth="1"/>
    <col min="8702" max="8703" width="17.5703125" style="2" customWidth="1"/>
    <col min="8704" max="8947" width="9.140625" style="2"/>
    <col min="8948" max="8948" width="3.5703125" style="2" customWidth="1"/>
    <col min="8949" max="8949" width="96.85546875" style="2" customWidth="1"/>
    <col min="8950" max="8950" width="30.85546875" style="2" customWidth="1"/>
    <col min="8951" max="8951" width="12.5703125" style="2" customWidth="1"/>
    <col min="8952" max="8952" width="5.140625" style="2" customWidth="1"/>
    <col min="8953" max="8953" width="9.140625" style="2"/>
    <col min="8954" max="8954" width="4.85546875" style="2" customWidth="1"/>
    <col min="8955" max="8955" width="30.5703125" style="2" customWidth="1"/>
    <col min="8956" max="8956" width="33.85546875" style="2" customWidth="1"/>
    <col min="8957" max="8957" width="5.140625" style="2" customWidth="1"/>
    <col min="8958" max="8959" width="17.5703125" style="2" customWidth="1"/>
    <col min="8960" max="9203" width="9.140625" style="2"/>
    <col min="9204" max="9204" width="3.5703125" style="2" customWidth="1"/>
    <col min="9205" max="9205" width="96.85546875" style="2" customWidth="1"/>
    <col min="9206" max="9206" width="30.85546875" style="2" customWidth="1"/>
    <col min="9207" max="9207" width="12.5703125" style="2" customWidth="1"/>
    <col min="9208" max="9208" width="5.140625" style="2" customWidth="1"/>
    <col min="9209" max="9209" width="9.140625" style="2"/>
    <col min="9210" max="9210" width="4.85546875" style="2" customWidth="1"/>
    <col min="9211" max="9211" width="30.5703125" style="2" customWidth="1"/>
    <col min="9212" max="9212" width="33.85546875" style="2" customWidth="1"/>
    <col min="9213" max="9213" width="5.140625" style="2" customWidth="1"/>
    <col min="9214" max="9215" width="17.5703125" style="2" customWidth="1"/>
    <col min="9216" max="9459" width="9.140625" style="2"/>
    <col min="9460" max="9460" width="3.5703125" style="2" customWidth="1"/>
    <col min="9461" max="9461" width="96.85546875" style="2" customWidth="1"/>
    <col min="9462" max="9462" width="30.85546875" style="2" customWidth="1"/>
    <col min="9463" max="9463" width="12.5703125" style="2" customWidth="1"/>
    <col min="9464" max="9464" width="5.140625" style="2" customWidth="1"/>
    <col min="9465" max="9465" width="9.140625" style="2"/>
    <col min="9466" max="9466" width="4.85546875" style="2" customWidth="1"/>
    <col min="9467" max="9467" width="30.5703125" style="2" customWidth="1"/>
    <col min="9468" max="9468" width="33.85546875" style="2" customWidth="1"/>
    <col min="9469" max="9469" width="5.140625" style="2" customWidth="1"/>
    <col min="9470" max="9471" width="17.5703125" style="2" customWidth="1"/>
    <col min="9472" max="9715" width="9.140625" style="2"/>
    <col min="9716" max="9716" width="3.5703125" style="2" customWidth="1"/>
    <col min="9717" max="9717" width="96.85546875" style="2" customWidth="1"/>
    <col min="9718" max="9718" width="30.85546875" style="2" customWidth="1"/>
    <col min="9719" max="9719" width="12.5703125" style="2" customWidth="1"/>
    <col min="9720" max="9720" width="5.140625" style="2" customWidth="1"/>
    <col min="9721" max="9721" width="9.140625" style="2"/>
    <col min="9722" max="9722" width="4.85546875" style="2" customWidth="1"/>
    <col min="9723" max="9723" width="30.5703125" style="2" customWidth="1"/>
    <col min="9724" max="9724" width="33.85546875" style="2" customWidth="1"/>
    <col min="9725" max="9725" width="5.140625" style="2" customWidth="1"/>
    <col min="9726" max="9727" width="17.5703125" style="2" customWidth="1"/>
    <col min="9728" max="9971" width="9.140625" style="2"/>
    <col min="9972" max="9972" width="3.5703125" style="2" customWidth="1"/>
    <col min="9973" max="9973" width="96.85546875" style="2" customWidth="1"/>
    <col min="9974" max="9974" width="30.85546875" style="2" customWidth="1"/>
    <col min="9975" max="9975" width="12.5703125" style="2" customWidth="1"/>
    <col min="9976" max="9976" width="5.140625" style="2" customWidth="1"/>
    <col min="9977" max="9977" width="9.140625" style="2"/>
    <col min="9978" max="9978" width="4.85546875" style="2" customWidth="1"/>
    <col min="9979" max="9979" width="30.5703125" style="2" customWidth="1"/>
    <col min="9980" max="9980" width="33.85546875" style="2" customWidth="1"/>
    <col min="9981" max="9981" width="5.140625" style="2" customWidth="1"/>
    <col min="9982" max="9983" width="17.5703125" style="2" customWidth="1"/>
    <col min="9984" max="10227" width="9.140625" style="2"/>
    <col min="10228" max="10228" width="3.5703125" style="2" customWidth="1"/>
    <col min="10229" max="10229" width="96.85546875" style="2" customWidth="1"/>
    <col min="10230" max="10230" width="30.85546875" style="2" customWidth="1"/>
    <col min="10231" max="10231" width="12.5703125" style="2" customWidth="1"/>
    <col min="10232" max="10232" width="5.140625" style="2" customWidth="1"/>
    <col min="10233" max="10233" width="9.140625" style="2"/>
    <col min="10234" max="10234" width="4.85546875" style="2" customWidth="1"/>
    <col min="10235" max="10235" width="30.5703125" style="2" customWidth="1"/>
    <col min="10236" max="10236" width="33.85546875" style="2" customWidth="1"/>
    <col min="10237" max="10237" width="5.140625" style="2" customWidth="1"/>
    <col min="10238" max="10239" width="17.5703125" style="2" customWidth="1"/>
    <col min="10240" max="10483" width="9.140625" style="2"/>
    <col min="10484" max="10484" width="3.5703125" style="2" customWidth="1"/>
    <col min="10485" max="10485" width="96.85546875" style="2" customWidth="1"/>
    <col min="10486" max="10486" width="30.85546875" style="2" customWidth="1"/>
    <col min="10487" max="10487" width="12.5703125" style="2" customWidth="1"/>
    <col min="10488" max="10488" width="5.140625" style="2" customWidth="1"/>
    <col min="10489" max="10489" width="9.140625" style="2"/>
    <col min="10490" max="10490" width="4.85546875" style="2" customWidth="1"/>
    <col min="10491" max="10491" width="30.5703125" style="2" customWidth="1"/>
    <col min="10492" max="10492" width="33.85546875" style="2" customWidth="1"/>
    <col min="10493" max="10493" width="5.140625" style="2" customWidth="1"/>
    <col min="10494" max="10495" width="17.5703125" style="2" customWidth="1"/>
    <col min="10496" max="10739" width="9.140625" style="2"/>
    <col min="10740" max="10740" width="3.5703125" style="2" customWidth="1"/>
    <col min="10741" max="10741" width="96.85546875" style="2" customWidth="1"/>
    <col min="10742" max="10742" width="30.85546875" style="2" customWidth="1"/>
    <col min="10743" max="10743" width="12.5703125" style="2" customWidth="1"/>
    <col min="10744" max="10744" width="5.140625" style="2" customWidth="1"/>
    <col min="10745" max="10745" width="9.140625" style="2"/>
    <col min="10746" max="10746" width="4.85546875" style="2" customWidth="1"/>
    <col min="10747" max="10747" width="30.5703125" style="2" customWidth="1"/>
    <col min="10748" max="10748" width="33.85546875" style="2" customWidth="1"/>
    <col min="10749" max="10749" width="5.140625" style="2" customWidth="1"/>
    <col min="10750" max="10751" width="17.5703125" style="2" customWidth="1"/>
    <col min="10752" max="10995" width="9.140625" style="2"/>
    <col min="10996" max="10996" width="3.5703125" style="2" customWidth="1"/>
    <col min="10997" max="10997" width="96.85546875" style="2" customWidth="1"/>
    <col min="10998" max="10998" width="30.85546875" style="2" customWidth="1"/>
    <col min="10999" max="10999" width="12.5703125" style="2" customWidth="1"/>
    <col min="11000" max="11000" width="5.140625" style="2" customWidth="1"/>
    <col min="11001" max="11001" width="9.140625" style="2"/>
    <col min="11002" max="11002" width="4.85546875" style="2" customWidth="1"/>
    <col min="11003" max="11003" width="30.5703125" style="2" customWidth="1"/>
    <col min="11004" max="11004" width="33.85546875" style="2" customWidth="1"/>
    <col min="11005" max="11005" width="5.140625" style="2" customWidth="1"/>
    <col min="11006" max="11007" width="17.5703125" style="2" customWidth="1"/>
    <col min="11008" max="11251" width="9.140625" style="2"/>
    <col min="11252" max="11252" width="3.5703125" style="2" customWidth="1"/>
    <col min="11253" max="11253" width="96.85546875" style="2" customWidth="1"/>
    <col min="11254" max="11254" width="30.85546875" style="2" customWidth="1"/>
    <col min="11255" max="11255" width="12.5703125" style="2" customWidth="1"/>
    <col min="11256" max="11256" width="5.140625" style="2" customWidth="1"/>
    <col min="11257" max="11257" width="9.140625" style="2"/>
    <col min="11258" max="11258" width="4.85546875" style="2" customWidth="1"/>
    <col min="11259" max="11259" width="30.5703125" style="2" customWidth="1"/>
    <col min="11260" max="11260" width="33.85546875" style="2" customWidth="1"/>
    <col min="11261" max="11261" width="5.140625" style="2" customWidth="1"/>
    <col min="11262" max="11263" width="17.5703125" style="2" customWidth="1"/>
    <col min="11264" max="11507" width="9.140625" style="2"/>
    <col min="11508" max="11508" width="3.5703125" style="2" customWidth="1"/>
    <col min="11509" max="11509" width="96.85546875" style="2" customWidth="1"/>
    <col min="11510" max="11510" width="30.85546875" style="2" customWidth="1"/>
    <col min="11511" max="11511" width="12.5703125" style="2" customWidth="1"/>
    <col min="11512" max="11512" width="5.140625" style="2" customWidth="1"/>
    <col min="11513" max="11513" width="9.140625" style="2"/>
    <col min="11514" max="11514" width="4.85546875" style="2" customWidth="1"/>
    <col min="11515" max="11515" width="30.5703125" style="2" customWidth="1"/>
    <col min="11516" max="11516" width="33.85546875" style="2" customWidth="1"/>
    <col min="11517" max="11517" width="5.140625" style="2" customWidth="1"/>
    <col min="11518" max="11519" width="17.5703125" style="2" customWidth="1"/>
    <col min="11520" max="11763" width="9.140625" style="2"/>
    <col min="11764" max="11764" width="3.5703125" style="2" customWidth="1"/>
    <col min="11765" max="11765" width="96.85546875" style="2" customWidth="1"/>
    <col min="11766" max="11766" width="30.85546875" style="2" customWidth="1"/>
    <col min="11767" max="11767" width="12.5703125" style="2" customWidth="1"/>
    <col min="11768" max="11768" width="5.140625" style="2" customWidth="1"/>
    <col min="11769" max="11769" width="9.140625" style="2"/>
    <col min="11770" max="11770" width="4.85546875" style="2" customWidth="1"/>
    <col min="11771" max="11771" width="30.5703125" style="2" customWidth="1"/>
    <col min="11772" max="11772" width="33.85546875" style="2" customWidth="1"/>
    <col min="11773" max="11773" width="5.140625" style="2" customWidth="1"/>
    <col min="11774" max="11775" width="17.5703125" style="2" customWidth="1"/>
    <col min="11776" max="12019" width="9.140625" style="2"/>
    <col min="12020" max="12020" width="3.5703125" style="2" customWidth="1"/>
    <col min="12021" max="12021" width="96.85546875" style="2" customWidth="1"/>
    <col min="12022" max="12022" width="30.85546875" style="2" customWidth="1"/>
    <col min="12023" max="12023" width="12.5703125" style="2" customWidth="1"/>
    <col min="12024" max="12024" width="5.140625" style="2" customWidth="1"/>
    <col min="12025" max="12025" width="9.140625" style="2"/>
    <col min="12026" max="12026" width="4.85546875" style="2" customWidth="1"/>
    <col min="12027" max="12027" width="30.5703125" style="2" customWidth="1"/>
    <col min="12028" max="12028" width="33.85546875" style="2" customWidth="1"/>
    <col min="12029" max="12029" width="5.140625" style="2" customWidth="1"/>
    <col min="12030" max="12031" width="17.5703125" style="2" customWidth="1"/>
    <col min="12032" max="12275" width="9.140625" style="2"/>
    <col min="12276" max="12276" width="3.5703125" style="2" customWidth="1"/>
    <col min="12277" max="12277" width="96.85546875" style="2" customWidth="1"/>
    <col min="12278" max="12278" width="30.85546875" style="2" customWidth="1"/>
    <col min="12279" max="12279" width="12.5703125" style="2" customWidth="1"/>
    <col min="12280" max="12280" width="5.140625" style="2" customWidth="1"/>
    <col min="12281" max="12281" width="9.140625" style="2"/>
    <col min="12282" max="12282" width="4.85546875" style="2" customWidth="1"/>
    <col min="12283" max="12283" width="30.5703125" style="2" customWidth="1"/>
    <col min="12284" max="12284" width="33.85546875" style="2" customWidth="1"/>
    <col min="12285" max="12285" width="5.140625" style="2" customWidth="1"/>
    <col min="12286" max="12287" width="17.5703125" style="2" customWidth="1"/>
    <col min="12288" max="12531" width="9.140625" style="2"/>
    <col min="12532" max="12532" width="3.5703125" style="2" customWidth="1"/>
    <col min="12533" max="12533" width="96.85546875" style="2" customWidth="1"/>
    <col min="12534" max="12534" width="30.85546875" style="2" customWidth="1"/>
    <col min="12535" max="12535" width="12.5703125" style="2" customWidth="1"/>
    <col min="12536" max="12536" width="5.140625" style="2" customWidth="1"/>
    <col min="12537" max="12537" width="9.140625" style="2"/>
    <col min="12538" max="12538" width="4.85546875" style="2" customWidth="1"/>
    <col min="12539" max="12539" width="30.5703125" style="2" customWidth="1"/>
    <col min="12540" max="12540" width="33.85546875" style="2" customWidth="1"/>
    <col min="12541" max="12541" width="5.140625" style="2" customWidth="1"/>
    <col min="12542" max="12543" width="17.5703125" style="2" customWidth="1"/>
    <col min="12544" max="12787" width="9.140625" style="2"/>
    <col min="12788" max="12788" width="3.5703125" style="2" customWidth="1"/>
    <col min="12789" max="12789" width="96.85546875" style="2" customWidth="1"/>
    <col min="12790" max="12790" width="30.85546875" style="2" customWidth="1"/>
    <col min="12791" max="12791" width="12.5703125" style="2" customWidth="1"/>
    <col min="12792" max="12792" width="5.140625" style="2" customWidth="1"/>
    <col min="12793" max="12793" width="9.140625" style="2"/>
    <col min="12794" max="12794" width="4.85546875" style="2" customWidth="1"/>
    <col min="12795" max="12795" width="30.5703125" style="2" customWidth="1"/>
    <col min="12796" max="12796" width="33.85546875" style="2" customWidth="1"/>
    <col min="12797" max="12797" width="5.140625" style="2" customWidth="1"/>
    <col min="12798" max="12799" width="17.5703125" style="2" customWidth="1"/>
    <col min="12800" max="13043" width="9.140625" style="2"/>
    <col min="13044" max="13044" width="3.5703125" style="2" customWidth="1"/>
    <col min="13045" max="13045" width="96.85546875" style="2" customWidth="1"/>
    <col min="13046" max="13046" width="30.85546875" style="2" customWidth="1"/>
    <col min="13047" max="13047" width="12.5703125" style="2" customWidth="1"/>
    <col min="13048" max="13048" width="5.140625" style="2" customWidth="1"/>
    <col min="13049" max="13049" width="9.140625" style="2"/>
    <col min="13050" max="13050" width="4.85546875" style="2" customWidth="1"/>
    <col min="13051" max="13051" width="30.5703125" style="2" customWidth="1"/>
    <col min="13052" max="13052" width="33.85546875" style="2" customWidth="1"/>
    <col min="13053" max="13053" width="5.140625" style="2" customWidth="1"/>
    <col min="13054" max="13055" width="17.5703125" style="2" customWidth="1"/>
    <col min="13056" max="13299" width="9.140625" style="2"/>
    <col min="13300" max="13300" width="3.5703125" style="2" customWidth="1"/>
    <col min="13301" max="13301" width="96.85546875" style="2" customWidth="1"/>
    <col min="13302" max="13302" width="30.85546875" style="2" customWidth="1"/>
    <col min="13303" max="13303" width="12.5703125" style="2" customWidth="1"/>
    <col min="13304" max="13304" width="5.140625" style="2" customWidth="1"/>
    <col min="13305" max="13305" width="9.140625" style="2"/>
    <col min="13306" max="13306" width="4.85546875" style="2" customWidth="1"/>
    <col min="13307" max="13307" width="30.5703125" style="2" customWidth="1"/>
    <col min="13308" max="13308" width="33.85546875" style="2" customWidth="1"/>
    <col min="13309" max="13309" width="5.140625" style="2" customWidth="1"/>
    <col min="13310" max="13311" width="17.5703125" style="2" customWidth="1"/>
    <col min="13312" max="13555" width="9.140625" style="2"/>
    <col min="13556" max="13556" width="3.5703125" style="2" customWidth="1"/>
    <col min="13557" max="13557" width="96.85546875" style="2" customWidth="1"/>
    <col min="13558" max="13558" width="30.85546875" style="2" customWidth="1"/>
    <col min="13559" max="13559" width="12.5703125" style="2" customWidth="1"/>
    <col min="13560" max="13560" width="5.140625" style="2" customWidth="1"/>
    <col min="13561" max="13561" width="9.140625" style="2"/>
    <col min="13562" max="13562" width="4.85546875" style="2" customWidth="1"/>
    <col min="13563" max="13563" width="30.5703125" style="2" customWidth="1"/>
    <col min="13564" max="13564" width="33.85546875" style="2" customWidth="1"/>
    <col min="13565" max="13565" width="5.140625" style="2" customWidth="1"/>
    <col min="13566" max="13567" width="17.5703125" style="2" customWidth="1"/>
    <col min="13568" max="13811" width="9.140625" style="2"/>
    <col min="13812" max="13812" width="3.5703125" style="2" customWidth="1"/>
    <col min="13813" max="13813" width="96.85546875" style="2" customWidth="1"/>
    <col min="13814" max="13814" width="30.85546875" style="2" customWidth="1"/>
    <col min="13815" max="13815" width="12.5703125" style="2" customWidth="1"/>
    <col min="13816" max="13816" width="5.140625" style="2" customWidth="1"/>
    <col min="13817" max="13817" width="9.140625" style="2"/>
    <col min="13818" max="13818" width="4.85546875" style="2" customWidth="1"/>
    <col min="13819" max="13819" width="30.5703125" style="2" customWidth="1"/>
    <col min="13820" max="13820" width="33.85546875" style="2" customWidth="1"/>
    <col min="13821" max="13821" width="5.140625" style="2" customWidth="1"/>
    <col min="13822" max="13823" width="17.5703125" style="2" customWidth="1"/>
    <col min="13824" max="14067" width="9.140625" style="2"/>
    <col min="14068" max="14068" width="3.5703125" style="2" customWidth="1"/>
    <col min="14069" max="14069" width="96.85546875" style="2" customWidth="1"/>
    <col min="14070" max="14070" width="30.85546875" style="2" customWidth="1"/>
    <col min="14071" max="14071" width="12.5703125" style="2" customWidth="1"/>
    <col min="14072" max="14072" width="5.140625" style="2" customWidth="1"/>
    <col min="14073" max="14073" width="9.140625" style="2"/>
    <col min="14074" max="14074" width="4.85546875" style="2" customWidth="1"/>
    <col min="14075" max="14075" width="30.5703125" style="2" customWidth="1"/>
    <col min="14076" max="14076" width="33.85546875" style="2" customWidth="1"/>
    <col min="14077" max="14077" width="5.140625" style="2" customWidth="1"/>
    <col min="14078" max="14079" width="17.5703125" style="2" customWidth="1"/>
    <col min="14080" max="14323" width="9.140625" style="2"/>
    <col min="14324" max="14324" width="3.5703125" style="2" customWidth="1"/>
    <col min="14325" max="14325" width="96.85546875" style="2" customWidth="1"/>
    <col min="14326" max="14326" width="30.85546875" style="2" customWidth="1"/>
    <col min="14327" max="14327" width="12.5703125" style="2" customWidth="1"/>
    <col min="14328" max="14328" width="5.140625" style="2" customWidth="1"/>
    <col min="14329" max="14329" width="9.140625" style="2"/>
    <col min="14330" max="14330" width="4.85546875" style="2" customWidth="1"/>
    <col min="14331" max="14331" width="30.5703125" style="2" customWidth="1"/>
    <col min="14332" max="14332" width="33.85546875" style="2" customWidth="1"/>
    <col min="14333" max="14333" width="5.140625" style="2" customWidth="1"/>
    <col min="14334" max="14335" width="17.5703125" style="2" customWidth="1"/>
    <col min="14336" max="14579" width="9.140625" style="2"/>
    <col min="14580" max="14580" width="3.5703125" style="2" customWidth="1"/>
    <col min="14581" max="14581" width="96.85546875" style="2" customWidth="1"/>
    <col min="14582" max="14582" width="30.85546875" style="2" customWidth="1"/>
    <col min="14583" max="14583" width="12.5703125" style="2" customWidth="1"/>
    <col min="14584" max="14584" width="5.140625" style="2" customWidth="1"/>
    <col min="14585" max="14585" width="9.140625" style="2"/>
    <col min="14586" max="14586" width="4.85546875" style="2" customWidth="1"/>
    <col min="14587" max="14587" width="30.5703125" style="2" customWidth="1"/>
    <col min="14588" max="14588" width="33.85546875" style="2" customWidth="1"/>
    <col min="14589" max="14589" width="5.140625" style="2" customWidth="1"/>
    <col min="14590" max="14591" width="17.5703125" style="2" customWidth="1"/>
    <col min="14592" max="14835" width="9.140625" style="2"/>
    <col min="14836" max="14836" width="3.5703125" style="2" customWidth="1"/>
    <col min="14837" max="14837" width="96.85546875" style="2" customWidth="1"/>
    <col min="14838" max="14838" width="30.85546875" style="2" customWidth="1"/>
    <col min="14839" max="14839" width="12.5703125" style="2" customWidth="1"/>
    <col min="14840" max="14840" width="5.140625" style="2" customWidth="1"/>
    <col min="14841" max="14841" width="9.140625" style="2"/>
    <col min="14842" max="14842" width="4.85546875" style="2" customWidth="1"/>
    <col min="14843" max="14843" width="30.5703125" style="2" customWidth="1"/>
    <col min="14844" max="14844" width="33.85546875" style="2" customWidth="1"/>
    <col min="14845" max="14845" width="5.140625" style="2" customWidth="1"/>
    <col min="14846" max="14847" width="17.5703125" style="2" customWidth="1"/>
    <col min="14848" max="15091" width="9.140625" style="2"/>
    <col min="15092" max="15092" width="3.5703125" style="2" customWidth="1"/>
    <col min="15093" max="15093" width="96.85546875" style="2" customWidth="1"/>
    <col min="15094" max="15094" width="30.85546875" style="2" customWidth="1"/>
    <col min="15095" max="15095" width="12.5703125" style="2" customWidth="1"/>
    <col min="15096" max="15096" width="5.140625" style="2" customWidth="1"/>
    <col min="15097" max="15097" width="9.140625" style="2"/>
    <col min="15098" max="15098" width="4.85546875" style="2" customWidth="1"/>
    <col min="15099" max="15099" width="30.5703125" style="2" customWidth="1"/>
    <col min="15100" max="15100" width="33.85546875" style="2" customWidth="1"/>
    <col min="15101" max="15101" width="5.140625" style="2" customWidth="1"/>
    <col min="15102" max="15103" width="17.5703125" style="2" customWidth="1"/>
    <col min="15104" max="15347" width="9.140625" style="2"/>
    <col min="15348" max="15348" width="3.5703125" style="2" customWidth="1"/>
    <col min="15349" max="15349" width="96.85546875" style="2" customWidth="1"/>
    <col min="15350" max="15350" width="30.85546875" style="2" customWidth="1"/>
    <col min="15351" max="15351" width="12.5703125" style="2" customWidth="1"/>
    <col min="15352" max="15352" width="5.140625" style="2" customWidth="1"/>
    <col min="15353" max="15353" width="9.140625" style="2"/>
    <col min="15354" max="15354" width="4.85546875" style="2" customWidth="1"/>
    <col min="15355" max="15355" width="30.5703125" style="2" customWidth="1"/>
    <col min="15356" max="15356" width="33.85546875" style="2" customWidth="1"/>
    <col min="15357" max="15357" width="5.140625" style="2" customWidth="1"/>
    <col min="15358" max="15359" width="17.5703125" style="2" customWidth="1"/>
    <col min="15360" max="15603" width="9.140625" style="2"/>
    <col min="15604" max="15604" width="3.5703125" style="2" customWidth="1"/>
    <col min="15605" max="15605" width="96.85546875" style="2" customWidth="1"/>
    <col min="15606" max="15606" width="30.85546875" style="2" customWidth="1"/>
    <col min="15607" max="15607" width="12.5703125" style="2" customWidth="1"/>
    <col min="15608" max="15608" width="5.140625" style="2" customWidth="1"/>
    <col min="15609" max="15609" width="9.140625" style="2"/>
    <col min="15610" max="15610" width="4.85546875" style="2" customWidth="1"/>
    <col min="15611" max="15611" width="30.5703125" style="2" customWidth="1"/>
    <col min="15612" max="15612" width="33.85546875" style="2" customWidth="1"/>
    <col min="15613" max="15613" width="5.140625" style="2" customWidth="1"/>
    <col min="15614" max="15615" width="17.5703125" style="2" customWidth="1"/>
    <col min="15616" max="15859" width="9.140625" style="2"/>
    <col min="15860" max="15860" width="3.5703125" style="2" customWidth="1"/>
    <col min="15861" max="15861" width="96.85546875" style="2" customWidth="1"/>
    <col min="15862" max="15862" width="30.85546875" style="2" customWidth="1"/>
    <col min="15863" max="15863" width="12.5703125" style="2" customWidth="1"/>
    <col min="15864" max="15864" width="5.140625" style="2" customWidth="1"/>
    <col min="15865" max="15865" width="9.140625" style="2"/>
    <col min="15866" max="15866" width="4.85546875" style="2" customWidth="1"/>
    <col min="15867" max="15867" width="30.5703125" style="2" customWidth="1"/>
    <col min="15868" max="15868" width="33.85546875" style="2" customWidth="1"/>
    <col min="15869" max="15869" width="5.140625" style="2" customWidth="1"/>
    <col min="15870" max="15871" width="17.5703125" style="2" customWidth="1"/>
    <col min="15872" max="16115" width="9.140625" style="2"/>
    <col min="16116" max="16116" width="3.5703125" style="2" customWidth="1"/>
    <col min="16117" max="16117" width="96.85546875" style="2" customWidth="1"/>
    <col min="16118" max="16118" width="30.85546875" style="2" customWidth="1"/>
    <col min="16119" max="16119" width="12.5703125" style="2" customWidth="1"/>
    <col min="16120" max="16120" width="5.140625" style="2" customWidth="1"/>
    <col min="16121" max="16121" width="9.140625" style="2"/>
    <col min="16122" max="16122" width="4.85546875" style="2" customWidth="1"/>
    <col min="16123" max="16123" width="30.5703125" style="2" customWidth="1"/>
    <col min="16124" max="16124" width="33.85546875" style="2" customWidth="1"/>
    <col min="16125" max="16125" width="5.140625" style="2" customWidth="1"/>
    <col min="16126" max="16127" width="17.5703125" style="2" customWidth="1"/>
    <col min="16128" max="16384" width="9.140625" style="2"/>
  </cols>
  <sheetData>
    <row r="1" spans="1:3" ht="48" customHeight="1" x14ac:dyDescent="0.2">
      <c r="A1" s="1"/>
      <c r="B1" s="143" t="s">
        <v>0</v>
      </c>
      <c r="C1" s="143"/>
    </row>
    <row r="2" spans="1:3" x14ac:dyDescent="0.2">
      <c r="A2" s="3"/>
      <c r="B2" s="4" t="s">
        <v>1</v>
      </c>
      <c r="C2" s="5">
        <v>46052</v>
      </c>
    </row>
    <row r="3" spans="1:3" x14ac:dyDescent="0.2">
      <c r="A3" s="3"/>
      <c r="B3" s="6" t="s">
        <v>2</v>
      </c>
    </row>
    <row r="4" spans="1:3" ht="25.5" x14ac:dyDescent="0.2">
      <c r="A4" s="8"/>
      <c r="B4" s="9" t="str">
        <f>[13]И1!D13</f>
        <v>Субъект Российской Федерации</v>
      </c>
      <c r="C4" s="10" t="str">
        <f>[13]И1!E13</f>
        <v>Новосибирская область</v>
      </c>
    </row>
    <row r="5" spans="1:3" ht="51.75" customHeight="1" x14ac:dyDescent="0.2">
      <c r="A5" s="8"/>
      <c r="B5" s="9" t="str">
        <f>[13]И1!D14</f>
        <v>Тип муниципального образования (выберите из списка)</v>
      </c>
      <c r="C5" s="10" t="str">
        <f>[14]И1!E14</f>
        <v xml:space="preserve">село Легостаево, Искитимский муниципальный район </v>
      </c>
    </row>
    <row r="6" spans="1:3" x14ac:dyDescent="0.2">
      <c r="A6" s="8"/>
      <c r="B6" s="9" t="str">
        <f>IF([13]И1!E15="","",[13]И1!D15)</f>
        <v/>
      </c>
      <c r="C6" s="10">
        <f>IF([13]И1!E15="","",[13]И1!E15)</f>
        <v>0</v>
      </c>
    </row>
    <row r="7" spans="1:3" x14ac:dyDescent="0.2">
      <c r="A7" s="8"/>
      <c r="B7" s="9" t="str">
        <f>[13]И1!D16</f>
        <v>Код ОКТМО</v>
      </c>
      <c r="C7" s="11" t="str">
        <f>[14]И1!E16</f>
        <v>(50615416101)</v>
      </c>
    </row>
    <row r="8" spans="1:3" x14ac:dyDescent="0.2">
      <c r="A8" s="8"/>
      <c r="B8" s="12" t="str">
        <f>[13]И1!D17</f>
        <v>Система теплоснабжения</v>
      </c>
      <c r="C8" s="13">
        <f>[13]И1!E17</f>
        <v>0</v>
      </c>
    </row>
    <row r="9" spans="1:3" x14ac:dyDescent="0.2">
      <c r="A9" s="8"/>
      <c r="B9" s="9" t="str">
        <f>[13]И1!D8</f>
        <v>Период регулирования (i)-й</v>
      </c>
      <c r="C9" s="14">
        <f>[13]И1!E8</f>
        <v>2026</v>
      </c>
    </row>
    <row r="10" spans="1:3" x14ac:dyDescent="0.2">
      <c r="A10" s="8"/>
      <c r="B10" s="9" t="str">
        <f>[13]И1!D9</f>
        <v>Период регулирования (i-1)-й</v>
      </c>
      <c r="C10" s="14">
        <f>[13]И1!E9</f>
        <v>2025</v>
      </c>
    </row>
    <row r="11" spans="1:3" x14ac:dyDescent="0.2">
      <c r="A11" s="8"/>
      <c r="B11" s="9" t="str">
        <f>[13]И1!D10</f>
        <v>Период регулирования (i-2)-й</v>
      </c>
      <c r="C11" s="14">
        <f>[13]И1!E10</f>
        <v>2024</v>
      </c>
    </row>
    <row r="12" spans="1:3" x14ac:dyDescent="0.2">
      <c r="A12" s="8"/>
      <c r="B12" s="9" t="str">
        <f>[13]И1!D11</f>
        <v>Базовый год (б)</v>
      </c>
      <c r="C12" s="14">
        <f>[13]И1!E11</f>
        <v>2019</v>
      </c>
    </row>
    <row r="13" spans="1:3" x14ac:dyDescent="0.2">
      <c r="A13" s="8"/>
      <c r="B13" s="9" t="str">
        <f>[13]И1!D18</f>
        <v>Вид топлива, использование которого преобладает в системе теплоснабжения</v>
      </c>
      <c r="C13" s="15" t="str">
        <f>[13]С1.1!E13</f>
        <v>каменный уголь</v>
      </c>
    </row>
    <row r="14" spans="1:3" ht="31.7" customHeight="1" thickBot="1" x14ac:dyDescent="0.25">
      <c r="A14" s="142" t="s">
        <v>3</v>
      </c>
      <c r="B14" s="142"/>
      <c r="C14" s="142"/>
    </row>
    <row r="15" spans="1:3" x14ac:dyDescent="0.2">
      <c r="A15" s="16" t="s">
        <v>4</v>
      </c>
      <c r="B15" s="17" t="s">
        <v>5</v>
      </c>
      <c r="C15" s="18" t="s">
        <v>6</v>
      </c>
    </row>
    <row r="16" spans="1:3" x14ac:dyDescent="0.2">
      <c r="A16" s="19">
        <v>1</v>
      </c>
      <c r="B16" s="20">
        <v>2</v>
      </c>
      <c r="C16" s="21">
        <v>3</v>
      </c>
    </row>
    <row r="17" spans="1:3" x14ac:dyDescent="0.2">
      <c r="A17" s="22">
        <v>1</v>
      </c>
      <c r="B17" s="23" t="s">
        <v>7</v>
      </c>
      <c r="C17" s="24">
        <f>SUM(C18:C22)</f>
        <v>5299.8381859609672</v>
      </c>
    </row>
    <row r="18" spans="1:3" ht="42.75" x14ac:dyDescent="0.2">
      <c r="A18" s="22" t="s">
        <v>8</v>
      </c>
      <c r="B18" s="25" t="s">
        <v>9</v>
      </c>
      <c r="C18" s="26">
        <f>[13]С1!F12</f>
        <v>720.34893333841308</v>
      </c>
    </row>
    <row r="19" spans="1:3" ht="42.75" x14ac:dyDescent="0.2">
      <c r="A19" s="22" t="s">
        <v>10</v>
      </c>
      <c r="B19" s="25" t="s">
        <v>11</v>
      </c>
      <c r="C19" s="26">
        <f>[13]С2!F12</f>
        <v>3097.7824122172187</v>
      </c>
    </row>
    <row r="20" spans="1:3" ht="30" x14ac:dyDescent="0.2">
      <c r="A20" s="22" t="s">
        <v>12</v>
      </c>
      <c r="B20" s="25" t="s">
        <v>13</v>
      </c>
      <c r="C20" s="26">
        <f>[13]С3!F12</f>
        <v>940.47266370947932</v>
      </c>
    </row>
    <row r="21" spans="1:3" ht="42.75" x14ac:dyDescent="0.2">
      <c r="A21" s="22" t="s">
        <v>14</v>
      </c>
      <c r="B21" s="25" t="s">
        <v>15</v>
      </c>
      <c r="C21" s="26">
        <f>[13]С4!F12</f>
        <v>520.41603669585561</v>
      </c>
    </row>
    <row r="22" spans="1:3" ht="30" x14ac:dyDescent="0.2">
      <c r="A22" s="22" t="s">
        <v>16</v>
      </c>
      <c r="B22" s="25" t="s">
        <v>17</v>
      </c>
      <c r="C22" s="26">
        <f>[13]С4!F13</f>
        <v>20.818139999999996</v>
      </c>
    </row>
    <row r="23" spans="1:3" ht="43.5" thickBot="1" x14ac:dyDescent="0.25">
      <c r="A23" s="27" t="s">
        <v>18</v>
      </c>
      <c r="B23" s="140" t="s">
        <v>19</v>
      </c>
      <c r="C23" s="28" t="str">
        <f>[13]С6!F12</f>
        <v>-</v>
      </c>
    </row>
    <row r="24" spans="1:3" ht="13.5" thickBot="1" x14ac:dyDescent="0.25">
      <c r="A24" s="3"/>
    </row>
    <row r="25" spans="1:3" x14ac:dyDescent="0.2">
      <c r="A25" s="16" t="s">
        <v>4</v>
      </c>
      <c r="B25" s="29" t="s">
        <v>5</v>
      </c>
      <c r="C25" s="30" t="s">
        <v>6</v>
      </c>
    </row>
    <row r="26" spans="1:3" x14ac:dyDescent="0.2">
      <c r="A26" s="19">
        <v>1</v>
      </c>
      <c r="B26" s="31">
        <v>2</v>
      </c>
      <c r="C26" s="32">
        <v>3</v>
      </c>
    </row>
    <row r="27" spans="1:3" ht="39.75" customHeight="1" x14ac:dyDescent="0.2">
      <c r="A27" s="22">
        <v>1</v>
      </c>
      <c r="B27" s="144" t="s">
        <v>20</v>
      </c>
      <c r="C27" s="144"/>
    </row>
    <row r="28" spans="1:3" ht="128.25" customHeight="1" x14ac:dyDescent="0.2">
      <c r="A28" s="22" t="s">
        <v>8</v>
      </c>
      <c r="B28" s="33" t="s">
        <v>21</v>
      </c>
      <c r="C28" s="34">
        <f>[13]С1.1!E16</f>
        <v>5100</v>
      </c>
    </row>
    <row r="29" spans="1:3" ht="57.75" customHeight="1" x14ac:dyDescent="0.2">
      <c r="A29" s="22" t="s">
        <v>10</v>
      </c>
      <c r="B29" s="33" t="s">
        <v>22</v>
      </c>
      <c r="C29" s="34">
        <f>[13]С1.1!E27</f>
        <v>3098</v>
      </c>
    </row>
    <row r="30" spans="1:3" ht="261.75" customHeight="1" x14ac:dyDescent="0.2">
      <c r="A30" s="22" t="s">
        <v>12</v>
      </c>
      <c r="B30" s="33" t="s">
        <v>23</v>
      </c>
      <c r="C30" s="35">
        <f>[13]С1.1!E19</f>
        <v>-0.11899999999999999</v>
      </c>
    </row>
    <row r="31" spans="1:3" ht="17.25" x14ac:dyDescent="0.2">
      <c r="A31" s="22" t="s">
        <v>14</v>
      </c>
      <c r="B31" s="33" t="s">
        <v>24</v>
      </c>
      <c r="C31" s="35">
        <f>[13]С1.1!E20</f>
        <v>4.0000000000000001E-3</v>
      </c>
    </row>
    <row r="32" spans="1:3" ht="30" x14ac:dyDescent="0.2">
      <c r="A32" s="22" t="s">
        <v>16</v>
      </c>
      <c r="B32" s="36" t="s">
        <v>25</v>
      </c>
      <c r="C32" s="37">
        <f>[13]С1!F13</f>
        <v>176.4</v>
      </c>
    </row>
    <row r="33" spans="1:3" x14ac:dyDescent="0.2">
      <c r="A33" s="22" t="s">
        <v>18</v>
      </c>
      <c r="B33" s="36" t="s">
        <v>26</v>
      </c>
      <c r="C33" s="38">
        <f>[13]С1!F16</f>
        <v>7000</v>
      </c>
    </row>
    <row r="34" spans="1:3" ht="14.25" x14ac:dyDescent="0.2">
      <c r="A34" s="22" t="s">
        <v>27</v>
      </c>
      <c r="B34" s="39" t="s">
        <v>28</v>
      </c>
      <c r="C34" s="40">
        <f>[13]С1!F17</f>
        <v>0.72857142857142854</v>
      </c>
    </row>
    <row r="35" spans="1:3" ht="15.75" x14ac:dyDescent="0.2">
      <c r="A35" s="41" t="s">
        <v>29</v>
      </c>
      <c r="B35" s="42" t="s">
        <v>30</v>
      </c>
      <c r="C35" s="40">
        <f>[13]С1!F20</f>
        <v>21.588411179999994</v>
      </c>
    </row>
    <row r="36" spans="1:3" ht="15.75" x14ac:dyDescent="0.2">
      <c r="A36" s="41" t="s">
        <v>31</v>
      </c>
      <c r="B36" s="43" t="s">
        <v>32</v>
      </c>
      <c r="C36" s="40">
        <f>[13]С1!F21</f>
        <v>20.818139999999996</v>
      </c>
    </row>
    <row r="37" spans="1:3" ht="14.25" x14ac:dyDescent="0.2">
      <c r="A37" s="41" t="s">
        <v>33</v>
      </c>
      <c r="B37" s="44" t="s">
        <v>34</v>
      </c>
      <c r="C37" s="40">
        <f>[13]С1!F22</f>
        <v>1.0369999999999999</v>
      </c>
    </row>
    <row r="38" spans="1:3" ht="53.25" thickBot="1" x14ac:dyDescent="0.25">
      <c r="A38" s="27" t="s">
        <v>35</v>
      </c>
      <c r="B38" s="45" t="s">
        <v>36</v>
      </c>
      <c r="C38" s="46">
        <f>[13]С1!F23</f>
        <v>1.0469999999999999</v>
      </c>
    </row>
    <row r="39" spans="1:3" ht="13.5" thickBot="1" x14ac:dyDescent="0.25">
      <c r="A39" s="47"/>
      <c r="B39" s="48"/>
      <c r="C39" s="49"/>
    </row>
    <row r="40" spans="1:3" ht="30" customHeight="1" x14ac:dyDescent="0.2">
      <c r="A40" s="50" t="s">
        <v>37</v>
      </c>
      <c r="B40" s="145" t="s">
        <v>38</v>
      </c>
      <c r="C40" s="145"/>
    </row>
    <row r="41" spans="1:3" ht="25.5" x14ac:dyDescent="0.2">
      <c r="A41" s="22" t="s">
        <v>39</v>
      </c>
      <c r="B41" s="36" t="s">
        <v>40</v>
      </c>
      <c r="C41" s="51" t="str">
        <f>[13]С2.1!E12</f>
        <v>V</v>
      </c>
    </row>
    <row r="42" spans="1:3" ht="233.25" customHeight="1" x14ac:dyDescent="0.2">
      <c r="A42" s="22" t="s">
        <v>41</v>
      </c>
      <c r="B42" s="33" t="s">
        <v>42</v>
      </c>
      <c r="C42" s="51" t="str">
        <f>[13]С2.1!E13</f>
        <v>6 и менее баллов</v>
      </c>
    </row>
    <row r="43" spans="1:3" ht="144.75" customHeight="1" x14ac:dyDescent="0.2">
      <c r="A43" s="22" t="s">
        <v>43</v>
      </c>
      <c r="B43" s="33" t="s">
        <v>44</v>
      </c>
      <c r="C43" s="51" t="str">
        <f>[13]С2.1!E14</f>
        <v>от 200 до 500</v>
      </c>
    </row>
    <row r="44" spans="1:3" ht="25.5" x14ac:dyDescent="0.2">
      <c r="A44" s="22" t="s">
        <v>45</v>
      </c>
      <c r="B44" s="33" t="s">
        <v>46</v>
      </c>
      <c r="C44" s="52" t="str">
        <f>[13]С2.1!E15</f>
        <v>нет</v>
      </c>
    </row>
    <row r="45" spans="1:3" ht="30" x14ac:dyDescent="0.2">
      <c r="A45" s="22" t="s">
        <v>47</v>
      </c>
      <c r="B45" s="33" t="s">
        <v>48</v>
      </c>
      <c r="C45" s="34">
        <f>[13]С2!F18</f>
        <v>40220.845230503684</v>
      </c>
    </row>
    <row r="46" spans="1:3" ht="30" x14ac:dyDescent="0.2">
      <c r="A46" s="22" t="s">
        <v>49</v>
      </c>
      <c r="B46" s="53" t="s">
        <v>50</v>
      </c>
      <c r="C46" s="34">
        <f>IF([13]С2!F19&gt;0,[13]С2!F19,[13]С2!F20)</f>
        <v>23441.524932855718</v>
      </c>
    </row>
    <row r="47" spans="1:3" ht="46.5" customHeight="1" x14ac:dyDescent="0.2">
      <c r="A47" s="22" t="s">
        <v>51</v>
      </c>
      <c r="B47" s="54" t="s">
        <v>52</v>
      </c>
      <c r="C47" s="34">
        <f>[13]С2.1!E19</f>
        <v>-38</v>
      </c>
    </row>
    <row r="48" spans="1:3" ht="25.5" x14ac:dyDescent="0.2">
      <c r="A48" s="22" t="s">
        <v>53</v>
      </c>
      <c r="B48" s="54" t="s">
        <v>54</v>
      </c>
      <c r="C48" s="34" t="str">
        <f>[13]С2.1!E22</f>
        <v>нет</v>
      </c>
    </row>
    <row r="49" spans="1:3" ht="38.25" x14ac:dyDescent="0.2">
      <c r="A49" s="22" t="s">
        <v>55</v>
      </c>
      <c r="B49" s="55" t="s">
        <v>56</v>
      </c>
      <c r="C49" s="34">
        <f>[13]С2.2!E10</f>
        <v>1287</v>
      </c>
    </row>
    <row r="50" spans="1:3" ht="25.5" x14ac:dyDescent="0.2">
      <c r="A50" s="22" t="s">
        <v>57</v>
      </c>
      <c r="B50" s="56" t="s">
        <v>58</v>
      </c>
      <c r="C50" s="34">
        <f>[13]С2.2!E12</f>
        <v>5.97</v>
      </c>
    </row>
    <row r="51" spans="1:3" ht="52.5" x14ac:dyDescent="0.2">
      <c r="A51" s="22" t="s">
        <v>59</v>
      </c>
      <c r="B51" s="57" t="s">
        <v>60</v>
      </c>
      <c r="C51" s="34">
        <f>[13]С2.2!E13</f>
        <v>1</v>
      </c>
    </row>
    <row r="52" spans="1:3" ht="27.75" x14ac:dyDescent="0.2">
      <c r="A52" s="22" t="s">
        <v>61</v>
      </c>
      <c r="B52" s="56" t="s">
        <v>62</v>
      </c>
      <c r="C52" s="34">
        <f>[13]С2.2!E14</f>
        <v>12104</v>
      </c>
    </row>
    <row r="53" spans="1:3" ht="79.5" customHeight="1" x14ac:dyDescent="0.2">
      <c r="A53" s="22" t="s">
        <v>63</v>
      </c>
      <c r="B53" s="57" t="s">
        <v>64</v>
      </c>
      <c r="C53" s="35">
        <f>[13]С2.2!E15</f>
        <v>4.8000000000000001E-2</v>
      </c>
    </row>
    <row r="54" spans="1:3" x14ac:dyDescent="0.2">
      <c r="A54" s="22" t="s">
        <v>65</v>
      </c>
      <c r="B54" s="57" t="s">
        <v>66</v>
      </c>
      <c r="C54" s="34">
        <f>[13]С2.2!E16</f>
        <v>1</v>
      </c>
    </row>
    <row r="55" spans="1:3" ht="15.75" x14ac:dyDescent="0.2">
      <c r="A55" s="22" t="s">
        <v>67</v>
      </c>
      <c r="B55" s="58" t="s">
        <v>68</v>
      </c>
      <c r="C55" s="34">
        <f>[13]С2!F21</f>
        <v>1</v>
      </c>
    </row>
    <row r="56" spans="1:3" ht="30" x14ac:dyDescent="0.2">
      <c r="A56" s="59" t="s">
        <v>69</v>
      </c>
      <c r="B56" s="33" t="s">
        <v>70</v>
      </c>
      <c r="C56" s="34">
        <f>[13]С2!F13</f>
        <v>210571.60987470482</v>
      </c>
    </row>
    <row r="57" spans="1:3" ht="30" x14ac:dyDescent="0.2">
      <c r="A57" s="59" t="s">
        <v>71</v>
      </c>
      <c r="B57" s="58" t="s">
        <v>72</v>
      </c>
      <c r="C57" s="34">
        <f>[13]С2!F14</f>
        <v>113455</v>
      </c>
    </row>
    <row r="58" spans="1:3" ht="15.75" x14ac:dyDescent="0.2">
      <c r="A58" s="59" t="s">
        <v>73</v>
      </c>
      <c r="B58" s="60" t="s">
        <v>74</v>
      </c>
      <c r="C58" s="40">
        <f>[13]С2!F15</f>
        <v>1.071</v>
      </c>
    </row>
    <row r="59" spans="1:3" ht="15.75" x14ac:dyDescent="0.2">
      <c r="A59" s="59" t="s">
        <v>75</v>
      </c>
      <c r="B59" s="60" t="s">
        <v>76</v>
      </c>
      <c r="C59" s="40">
        <f>[13]С2!F16</f>
        <v>1</v>
      </c>
    </row>
    <row r="60" spans="1:3" ht="17.25" x14ac:dyDescent="0.2">
      <c r="A60" s="59" t="s">
        <v>77</v>
      </c>
      <c r="B60" s="58" t="s">
        <v>78</v>
      </c>
      <c r="C60" s="34">
        <f>[13]С2!F17</f>
        <v>1.01</v>
      </c>
    </row>
    <row r="61" spans="1:3" s="63" customFormat="1" ht="14.25" x14ac:dyDescent="0.2">
      <c r="A61" s="59" t="s">
        <v>79</v>
      </c>
      <c r="B61" s="61" t="s">
        <v>80</v>
      </c>
      <c r="C61" s="62">
        <f>[13]С2!F33</f>
        <v>10</v>
      </c>
    </row>
    <row r="62" spans="1:3" ht="30" x14ac:dyDescent="0.2">
      <c r="A62" s="59" t="s">
        <v>81</v>
      </c>
      <c r="B62" s="64" t="s">
        <v>82</v>
      </c>
      <c r="C62" s="34">
        <f>[13]С2!F26</f>
        <v>3185.880383940208</v>
      </c>
    </row>
    <row r="63" spans="1:3" ht="168" customHeight="1" x14ac:dyDescent="0.2">
      <c r="A63" s="59" t="s">
        <v>83</v>
      </c>
      <c r="B63" s="53" t="s">
        <v>84</v>
      </c>
      <c r="C63" s="34">
        <f>[13]С2!F27</f>
        <v>0.44209422600000003</v>
      </c>
    </row>
    <row r="64" spans="1:3" ht="17.25" x14ac:dyDescent="0.2">
      <c r="A64" s="59" t="s">
        <v>85</v>
      </c>
      <c r="B64" s="58" t="s">
        <v>86</v>
      </c>
      <c r="C64" s="62">
        <f>[13]С2!F28</f>
        <v>4200</v>
      </c>
    </row>
    <row r="65" spans="1:3" ht="42.75" x14ac:dyDescent="0.2">
      <c r="A65" s="59" t="s">
        <v>87</v>
      </c>
      <c r="B65" s="33" t="s">
        <v>88</v>
      </c>
      <c r="C65" s="34">
        <f>[13]С2!F22</f>
        <v>4298.6978080550834</v>
      </c>
    </row>
    <row r="66" spans="1:3" ht="30" x14ac:dyDescent="0.2">
      <c r="A66" s="59" t="s">
        <v>89</v>
      </c>
      <c r="B66" s="60" t="s">
        <v>90</v>
      </c>
      <c r="C66" s="34">
        <f>[13]С2!F23</f>
        <v>1990</v>
      </c>
    </row>
    <row r="67" spans="1:3" ht="30" x14ac:dyDescent="0.2">
      <c r="A67" s="59" t="s">
        <v>91</v>
      </c>
      <c r="B67" s="53" t="s">
        <v>92</v>
      </c>
      <c r="C67" s="34">
        <f>[13]С2.1!E27</f>
        <v>246.24401</v>
      </c>
    </row>
    <row r="68" spans="1:3" ht="73.5" customHeight="1" x14ac:dyDescent="0.2">
      <c r="A68" s="59" t="s">
        <v>93</v>
      </c>
      <c r="B68" s="65" t="s">
        <v>94</v>
      </c>
      <c r="C68" s="52" t="str">
        <f>[13]С2.3!E21</f>
        <v>Муниципальное унитарное предприятие города Куйбышева Куйбышевского района Новосибирской области "Горводоканал"</v>
      </c>
    </row>
    <row r="69" spans="1:3" ht="25.5" x14ac:dyDescent="0.2">
      <c r="A69" s="59" t="s">
        <v>95</v>
      </c>
      <c r="B69" s="66" t="s">
        <v>96</v>
      </c>
      <c r="C69" s="67">
        <f>[13]С2.3!E11</f>
        <v>9.89</v>
      </c>
    </row>
    <row r="70" spans="1:3" ht="25.5" x14ac:dyDescent="0.2">
      <c r="A70" s="59" t="s">
        <v>97</v>
      </c>
      <c r="B70" s="66" t="s">
        <v>98</v>
      </c>
      <c r="C70" s="62">
        <f>[13]С2.3!E13</f>
        <v>300</v>
      </c>
    </row>
    <row r="71" spans="1:3" ht="192.75" customHeight="1" x14ac:dyDescent="0.2">
      <c r="A71" s="59" t="s">
        <v>99</v>
      </c>
      <c r="B71" s="65" t="s">
        <v>100</v>
      </c>
      <c r="C71" s="68">
        <f>IF([13]С2.3!E22&gt;0,[13]С2.3!E22,[13]С2.3!E14)</f>
        <v>8809</v>
      </c>
    </row>
    <row r="72" spans="1:3" ht="192.75" customHeight="1" x14ac:dyDescent="0.2">
      <c r="A72" s="59" t="s">
        <v>101</v>
      </c>
      <c r="B72" s="65" t="s">
        <v>102</v>
      </c>
      <c r="C72" s="68">
        <f>IF([13]С2.3!E23&gt;0,[13]С2.3!E23,[13]С2.3!E15)</f>
        <v>530.41</v>
      </c>
    </row>
    <row r="73" spans="1:3" ht="30" x14ac:dyDescent="0.2">
      <c r="A73" s="59" t="s">
        <v>103</v>
      </c>
      <c r="B73" s="53" t="s">
        <v>104</v>
      </c>
      <c r="C73" s="34">
        <f>[13]С2.1!E28</f>
        <v>269.12432000000001</v>
      </c>
    </row>
    <row r="74" spans="1:3" ht="87" customHeight="1" x14ac:dyDescent="0.2">
      <c r="A74" s="59" t="s">
        <v>105</v>
      </c>
      <c r="B74" s="65" t="s">
        <v>106</v>
      </c>
      <c r="C74" s="52" t="str">
        <f>[13]С2.3!E25</f>
        <v>Муниципальное унитарное предприятие города Куйбышева Куйбышевского района Новосибирской области "Геострой"</v>
      </c>
    </row>
    <row r="75" spans="1:3" ht="25.5" x14ac:dyDescent="0.2">
      <c r="A75" s="59" t="s">
        <v>107</v>
      </c>
      <c r="B75" s="66" t="s">
        <v>108</v>
      </c>
      <c r="C75" s="67">
        <f>[13]С2.3!E12</f>
        <v>0.56000000000000005</v>
      </c>
    </row>
    <row r="76" spans="1:3" ht="25.5" x14ac:dyDescent="0.2">
      <c r="A76" s="59" t="s">
        <v>109</v>
      </c>
      <c r="B76" s="66" t="s">
        <v>98</v>
      </c>
      <c r="C76" s="62">
        <f>[13]С2.3!E13</f>
        <v>300</v>
      </c>
    </row>
    <row r="77" spans="1:3" ht="183" customHeight="1" x14ac:dyDescent="0.2">
      <c r="A77" s="59" t="s">
        <v>110</v>
      </c>
      <c r="B77" s="69" t="s">
        <v>111</v>
      </c>
      <c r="C77" s="68">
        <f>IF([13]С2.3!E26&gt;0,[13]С2.3!E26,[13]С2.3!E16)</f>
        <v>21397</v>
      </c>
    </row>
    <row r="78" spans="1:3" ht="186.75" customHeight="1" x14ac:dyDescent="0.2">
      <c r="A78" s="59" t="s">
        <v>112</v>
      </c>
      <c r="B78" s="69" t="s">
        <v>113</v>
      </c>
      <c r="C78" s="68">
        <f>IF([13]С2.3!E27&gt;0,[13]С2.3!E27,[13]С2.3!E17)</f>
        <v>857.14</v>
      </c>
    </row>
    <row r="79" spans="1:3" ht="17.25" x14ac:dyDescent="0.2">
      <c r="A79" s="59" t="s">
        <v>114</v>
      </c>
      <c r="B79" s="33" t="s">
        <v>115</v>
      </c>
      <c r="C79" s="35">
        <f>[13]С2!F29</f>
        <v>0.21369165990259753</v>
      </c>
    </row>
    <row r="80" spans="1:3" ht="30" x14ac:dyDescent="0.2">
      <c r="A80" s="59" t="s">
        <v>116</v>
      </c>
      <c r="B80" s="53" t="s">
        <v>117</v>
      </c>
      <c r="C80" s="70">
        <f>[13]С2!F30</f>
        <v>0.20047619047619047</v>
      </c>
    </row>
    <row r="81" spans="1:3" ht="17.25" x14ac:dyDescent="0.2">
      <c r="A81" s="59" t="s">
        <v>118</v>
      </c>
      <c r="B81" s="71" t="s">
        <v>119</v>
      </c>
      <c r="C81" s="35">
        <f>[13]С2!F31</f>
        <v>0.13880000000000001</v>
      </c>
    </row>
    <row r="82" spans="1:3" s="63" customFormat="1" ht="18" thickBot="1" x14ac:dyDescent="0.25">
      <c r="A82" s="72" t="s">
        <v>120</v>
      </c>
      <c r="B82" s="73" t="s">
        <v>121</v>
      </c>
      <c r="C82" s="74">
        <f>[13]С2!F32</f>
        <v>0.12640000000000001</v>
      </c>
    </row>
    <row r="83" spans="1:3" ht="13.5" thickBot="1" x14ac:dyDescent="0.25">
      <c r="A83" s="47"/>
      <c r="B83" s="75"/>
      <c r="C83" s="15"/>
    </row>
    <row r="84" spans="1:3" s="63" customFormat="1" ht="30" customHeight="1" x14ac:dyDescent="0.2">
      <c r="A84" s="76" t="s">
        <v>122</v>
      </c>
      <c r="B84" s="145" t="s">
        <v>123</v>
      </c>
      <c r="C84" s="145"/>
    </row>
    <row r="85" spans="1:3" s="63" customFormat="1" ht="30" x14ac:dyDescent="0.2">
      <c r="A85" s="77" t="s">
        <v>124</v>
      </c>
      <c r="B85" s="33" t="s">
        <v>125</v>
      </c>
      <c r="C85" s="34">
        <f>[13]С3!F14</f>
        <v>15827.997028730506</v>
      </c>
    </row>
    <row r="86" spans="1:3" s="63" customFormat="1" ht="42.75" x14ac:dyDescent="0.2">
      <c r="A86" s="77" t="s">
        <v>126</v>
      </c>
      <c r="B86" s="53" t="s">
        <v>127</v>
      </c>
      <c r="C86" s="78">
        <f>[13]С3!F15</f>
        <v>0.25</v>
      </c>
    </row>
    <row r="87" spans="1:3" s="63" customFormat="1" ht="14.25" x14ac:dyDescent="0.2">
      <c r="A87" s="77" t="s">
        <v>128</v>
      </c>
      <c r="B87" s="79" t="s">
        <v>129</v>
      </c>
      <c r="C87" s="62">
        <f>[13]С3!F18</f>
        <v>15</v>
      </c>
    </row>
    <row r="88" spans="1:3" s="63" customFormat="1" ht="17.25" x14ac:dyDescent="0.2">
      <c r="A88" s="77" t="s">
        <v>130</v>
      </c>
      <c r="B88" s="33" t="s">
        <v>131</v>
      </c>
      <c r="C88" s="34">
        <f>[13]С3!F19</f>
        <v>3741.3369093945325</v>
      </c>
    </row>
    <row r="89" spans="1:3" s="63" customFormat="1" ht="55.5" x14ac:dyDescent="0.2">
      <c r="A89" s="77" t="s">
        <v>132</v>
      </c>
      <c r="B89" s="53" t="s">
        <v>133</v>
      </c>
      <c r="C89" s="80">
        <f>[13]С3!F20</f>
        <v>2.1999999999999999E-2</v>
      </c>
    </row>
    <row r="90" spans="1:3" s="63" customFormat="1" ht="14.25" x14ac:dyDescent="0.2">
      <c r="A90" s="77" t="s">
        <v>134</v>
      </c>
      <c r="B90" s="58" t="s">
        <v>80</v>
      </c>
      <c r="C90" s="62">
        <f>[13]С3!F21</f>
        <v>10</v>
      </c>
    </row>
    <row r="91" spans="1:3" s="63" customFormat="1" ht="17.25" x14ac:dyDescent="0.2">
      <c r="A91" s="77" t="s">
        <v>135</v>
      </c>
      <c r="B91" s="33" t="s">
        <v>136</v>
      </c>
      <c r="C91" s="34">
        <f>[13]С3!F22</f>
        <v>9.5576411518206239</v>
      </c>
    </row>
    <row r="92" spans="1:3" s="63" customFormat="1" ht="57" customHeight="1" x14ac:dyDescent="0.2">
      <c r="A92" s="77" t="s">
        <v>137</v>
      </c>
      <c r="B92" s="53" t="s">
        <v>138</v>
      </c>
      <c r="C92" s="80">
        <f>[13]С3!F23</f>
        <v>3.0000000000000001E-3</v>
      </c>
    </row>
    <row r="93" spans="1:3" s="63" customFormat="1" ht="27.75" thickBot="1" x14ac:dyDescent="0.25">
      <c r="A93" s="81" t="s">
        <v>139</v>
      </c>
      <c r="B93" s="82" t="s">
        <v>140</v>
      </c>
      <c r="C93" s="83">
        <f>[13]С3!F24</f>
        <v>3185.880383940208</v>
      </c>
    </row>
    <row r="94" spans="1:3" ht="13.5" thickBot="1" x14ac:dyDescent="0.25">
      <c r="A94" s="47"/>
      <c r="B94" s="75"/>
      <c r="C94" s="15"/>
    </row>
    <row r="95" spans="1:3" ht="30" customHeight="1" x14ac:dyDescent="0.2">
      <c r="A95" s="84" t="s">
        <v>141</v>
      </c>
      <c r="B95" s="145" t="s">
        <v>142</v>
      </c>
      <c r="C95" s="145"/>
    </row>
    <row r="96" spans="1:3" ht="30" x14ac:dyDescent="0.2">
      <c r="A96" s="59" t="s">
        <v>143</v>
      </c>
      <c r="B96" s="33" t="s">
        <v>144</v>
      </c>
      <c r="C96" s="34">
        <f>[13]С4!F16</f>
        <v>1652.5</v>
      </c>
    </row>
    <row r="97" spans="1:3" ht="30" x14ac:dyDescent="0.2">
      <c r="A97" s="59" t="s">
        <v>145</v>
      </c>
      <c r="B97" s="58" t="s">
        <v>146</v>
      </c>
      <c r="C97" s="34">
        <f>[13]С4!F17</f>
        <v>73547</v>
      </c>
    </row>
    <row r="98" spans="1:3" ht="17.25" x14ac:dyDescent="0.2">
      <c r="A98" s="59" t="s">
        <v>147</v>
      </c>
      <c r="B98" s="58" t="s">
        <v>148</v>
      </c>
      <c r="C98" s="40">
        <f>[13]С4!F18</f>
        <v>0.02</v>
      </c>
    </row>
    <row r="99" spans="1:3" ht="30" x14ac:dyDescent="0.2">
      <c r="A99" s="59" t="s">
        <v>149</v>
      </c>
      <c r="B99" s="58" t="s">
        <v>150</v>
      </c>
      <c r="C99" s="34">
        <f>[13]С4!F19</f>
        <v>12104</v>
      </c>
    </row>
    <row r="100" spans="1:3" ht="31.5" x14ac:dyDescent="0.2">
      <c r="A100" s="59" t="s">
        <v>151</v>
      </c>
      <c r="B100" s="58" t="s">
        <v>152</v>
      </c>
      <c r="C100" s="40">
        <f>[13]С4!F20</f>
        <v>1.4999999999999999E-2</v>
      </c>
    </row>
    <row r="101" spans="1:3" ht="30" x14ac:dyDescent="0.2">
      <c r="A101" s="59" t="s">
        <v>153</v>
      </c>
      <c r="B101" s="33" t="s">
        <v>154</v>
      </c>
      <c r="C101" s="34">
        <f>[13]С4!F21</f>
        <v>1933.1949342509995</v>
      </c>
    </row>
    <row r="102" spans="1:3" ht="35.25" customHeight="1" x14ac:dyDescent="0.2">
      <c r="A102" s="59" t="s">
        <v>155</v>
      </c>
      <c r="B102" s="53" t="s">
        <v>156</v>
      </c>
      <c r="C102" s="85" t="str">
        <f>IF([13]С4.2!F8="да",[13]С4.2!D21,[13]С4.2!D15)</f>
        <v>АО "Новосибирскэнергосбыт"</v>
      </c>
    </row>
    <row r="103" spans="1:3" ht="68.25" x14ac:dyDescent="0.2">
      <c r="A103" s="59" t="s">
        <v>157</v>
      </c>
      <c r="B103" s="53" t="s">
        <v>158</v>
      </c>
      <c r="C103" s="34">
        <f>[13]С4!F22</f>
        <v>3.6112641666666665</v>
      </c>
    </row>
    <row r="104" spans="1:3" ht="30" x14ac:dyDescent="0.2">
      <c r="A104" s="59" t="s">
        <v>159</v>
      </c>
      <c r="B104" s="58" t="s">
        <v>160</v>
      </c>
      <c r="C104" s="34">
        <f>[13]С4!F23</f>
        <v>180</v>
      </c>
    </row>
    <row r="105" spans="1:3" ht="14.25" x14ac:dyDescent="0.2">
      <c r="A105" s="59" t="s">
        <v>161</v>
      </c>
      <c r="B105" s="53" t="s">
        <v>162</v>
      </c>
      <c r="C105" s="34">
        <f>[13]С4!F24</f>
        <v>8497.1999999999989</v>
      </c>
    </row>
    <row r="106" spans="1:3" ht="14.25" x14ac:dyDescent="0.2">
      <c r="A106" s="59" t="s">
        <v>163</v>
      </c>
      <c r="B106" s="58" t="s">
        <v>164</v>
      </c>
      <c r="C106" s="40">
        <f>[13]С4!F25</f>
        <v>0.35</v>
      </c>
    </row>
    <row r="107" spans="1:3" ht="17.25" x14ac:dyDescent="0.2">
      <c r="A107" s="59" t="s">
        <v>165</v>
      </c>
      <c r="B107" s="33" t="s">
        <v>166</v>
      </c>
      <c r="C107" s="34">
        <f>[13]С4!F26</f>
        <v>92.173709999999986</v>
      </c>
    </row>
    <row r="108" spans="1:3" ht="75.75" customHeight="1" x14ac:dyDescent="0.2">
      <c r="A108" s="59" t="s">
        <v>167</v>
      </c>
      <c r="B108" s="53" t="s">
        <v>94</v>
      </c>
      <c r="C108" s="85">
        <f>[13]С4.3!E16</f>
        <v>0</v>
      </c>
    </row>
    <row r="109" spans="1:3" ht="25.5" x14ac:dyDescent="0.2">
      <c r="A109" s="59" t="s">
        <v>168</v>
      </c>
      <c r="B109" s="53" t="s">
        <v>169</v>
      </c>
      <c r="C109" s="34">
        <f>[13]С4.3!E17</f>
        <v>24.49</v>
      </c>
    </row>
    <row r="110" spans="1:3" ht="79.5" customHeight="1" x14ac:dyDescent="0.2">
      <c r="A110" s="59" t="s">
        <v>170</v>
      </c>
      <c r="B110" s="53" t="s">
        <v>106</v>
      </c>
      <c r="C110" s="85">
        <f>[13]С4.3!E18</f>
        <v>0</v>
      </c>
    </row>
    <row r="111" spans="1:3" x14ac:dyDescent="0.2">
      <c r="A111" s="59" t="s">
        <v>171</v>
      </c>
      <c r="B111" s="53" t="s">
        <v>172</v>
      </c>
      <c r="C111" s="34">
        <f>[13]С4.3!E19</f>
        <v>30.82</v>
      </c>
    </row>
    <row r="112" spans="1:3" x14ac:dyDescent="0.2">
      <c r="A112" s="59" t="s">
        <v>173</v>
      </c>
      <c r="B112" s="58" t="s">
        <v>174</v>
      </c>
      <c r="C112" s="34">
        <f>[13]С4.3!E11</f>
        <v>1871</v>
      </c>
    </row>
    <row r="113" spans="1:3" x14ac:dyDescent="0.2">
      <c r="A113" s="59" t="s">
        <v>175</v>
      </c>
      <c r="B113" s="58" t="s">
        <v>176</v>
      </c>
      <c r="C113" s="52">
        <f>[13]С4.3!E12</f>
        <v>1636</v>
      </c>
    </row>
    <row r="114" spans="1:3" x14ac:dyDescent="0.2">
      <c r="A114" s="59" t="s">
        <v>177</v>
      </c>
      <c r="B114" s="58" t="s">
        <v>178</v>
      </c>
      <c r="C114" s="52">
        <f>[13]С4.3!E13</f>
        <v>204</v>
      </c>
    </row>
    <row r="115" spans="1:3" ht="30" x14ac:dyDescent="0.2">
      <c r="A115" s="59" t="s">
        <v>179</v>
      </c>
      <c r="B115" s="33" t="s">
        <v>180</v>
      </c>
      <c r="C115" s="34">
        <f>[13]С4!F27</f>
        <v>1291.2863994686898</v>
      </c>
    </row>
    <row r="116" spans="1:3" ht="25.5" x14ac:dyDescent="0.2">
      <c r="A116" s="59" t="s">
        <v>181</v>
      </c>
      <c r="B116" s="53" t="s">
        <v>182</v>
      </c>
      <c r="C116" s="34">
        <f>[13]С4!F28</f>
        <v>991.77142816335618</v>
      </c>
    </row>
    <row r="117" spans="1:3" ht="42.75" x14ac:dyDescent="0.2">
      <c r="A117" s="59" t="s">
        <v>183</v>
      </c>
      <c r="B117" s="53" t="s">
        <v>184</v>
      </c>
      <c r="C117" s="34">
        <f>[13]С4!F29</f>
        <v>299.51497130533357</v>
      </c>
    </row>
    <row r="118" spans="1:3" ht="30" x14ac:dyDescent="0.2">
      <c r="A118" s="59" t="s">
        <v>185</v>
      </c>
      <c r="B118" s="39" t="s">
        <v>186</v>
      </c>
      <c r="C118" s="34">
        <f>[13]С4!F30</f>
        <v>2308.0438126579911</v>
      </c>
    </row>
    <row r="119" spans="1:3" ht="42.75" x14ac:dyDescent="0.2">
      <c r="A119" s="59" t="s">
        <v>187</v>
      </c>
      <c r="B119" s="86" t="s">
        <v>188</v>
      </c>
      <c r="C119" s="34">
        <f>[13]С4!F33</f>
        <v>1068.6450140162826</v>
      </c>
    </row>
    <row r="120" spans="1:3" ht="30" x14ac:dyDescent="0.2">
      <c r="A120" s="59" t="s">
        <v>189</v>
      </c>
      <c r="B120" s="87" t="s">
        <v>190</v>
      </c>
      <c r="C120" s="34">
        <f>[13]С4!F35</f>
        <v>18.902267999999999</v>
      </c>
    </row>
    <row r="121" spans="1:3" ht="14.25" x14ac:dyDescent="0.2">
      <c r="A121" s="59" t="s">
        <v>191</v>
      </c>
      <c r="B121" s="56" t="s">
        <v>192</v>
      </c>
      <c r="C121" s="34">
        <f>[13]С4!F36</f>
        <v>14319.9</v>
      </c>
    </row>
    <row r="122" spans="1:3" ht="43.5" customHeight="1" thickBot="1" x14ac:dyDescent="0.25">
      <c r="A122" s="72" t="s">
        <v>193</v>
      </c>
      <c r="B122" s="88" t="s">
        <v>194</v>
      </c>
      <c r="C122" s="83">
        <f>[13]С4!F37</f>
        <v>1.32</v>
      </c>
    </row>
    <row r="123" spans="1:3" s="89" customFormat="1" ht="13.5" thickBot="1" x14ac:dyDescent="0.25">
      <c r="A123" s="47"/>
      <c r="B123" s="75"/>
      <c r="C123" s="15"/>
    </row>
    <row r="124" spans="1:3" s="63" customFormat="1" ht="30" customHeight="1" x14ac:dyDescent="0.2">
      <c r="A124" s="76" t="s">
        <v>195</v>
      </c>
      <c r="B124" s="145" t="s">
        <v>196</v>
      </c>
      <c r="C124" s="145"/>
    </row>
    <row r="125" spans="1:3" ht="16.5" thickBot="1" x14ac:dyDescent="0.25">
      <c r="A125" s="27" t="s">
        <v>197</v>
      </c>
      <c r="B125" s="90" t="s">
        <v>198</v>
      </c>
      <c r="C125" s="83">
        <f>[13]С5!F17</f>
        <v>0.02</v>
      </c>
    </row>
    <row r="126" spans="1:3" s="89" customFormat="1" ht="13.5" thickBot="1" x14ac:dyDescent="0.25">
      <c r="A126" s="47"/>
      <c r="B126" s="75"/>
      <c r="C126" s="15"/>
    </row>
    <row r="127" spans="1:3" ht="42.75" customHeight="1" x14ac:dyDescent="0.2">
      <c r="A127" s="84" t="s">
        <v>199</v>
      </c>
      <c r="B127" s="146" t="s">
        <v>200</v>
      </c>
      <c r="C127" s="146"/>
    </row>
    <row r="128" spans="1:3" ht="68.25" x14ac:dyDescent="0.2">
      <c r="A128" s="59" t="s">
        <v>201</v>
      </c>
      <c r="B128" s="91" t="s">
        <v>202</v>
      </c>
      <c r="C128" s="34" t="s">
        <v>203</v>
      </c>
    </row>
    <row r="129" spans="1:3" ht="42.75" hidden="1" x14ac:dyDescent="0.2">
      <c r="A129" s="59" t="s">
        <v>204</v>
      </c>
      <c r="B129" s="86" t="s">
        <v>205</v>
      </c>
      <c r="C129" s="92"/>
    </row>
    <row r="130" spans="1:3" ht="69" thickBot="1" x14ac:dyDescent="0.25">
      <c r="A130" s="72" t="s">
        <v>206</v>
      </c>
      <c r="B130" s="93" t="s">
        <v>207</v>
      </c>
      <c r="C130" s="94" t="s">
        <v>203</v>
      </c>
    </row>
    <row r="131" spans="1:3" ht="62.25" hidden="1" customHeight="1" x14ac:dyDescent="0.2">
      <c r="A131" s="95" t="s">
        <v>208</v>
      </c>
      <c r="B131" s="96" t="s">
        <v>209</v>
      </c>
      <c r="C131" s="97"/>
    </row>
    <row r="132" spans="1:3" ht="68.25" hidden="1" x14ac:dyDescent="0.2">
      <c r="A132" s="59" t="s">
        <v>210</v>
      </c>
      <c r="B132" s="86" t="s">
        <v>211</v>
      </c>
      <c r="C132" s="35"/>
    </row>
    <row r="133" spans="1:3" ht="69" hidden="1" thickBot="1" x14ac:dyDescent="0.25">
      <c r="A133" s="72" t="s">
        <v>212</v>
      </c>
      <c r="B133" s="98" t="s">
        <v>213</v>
      </c>
      <c r="C133" s="74"/>
    </row>
    <row r="134" spans="1:3" s="89" customFormat="1" ht="13.5" thickBot="1" x14ac:dyDescent="0.25">
      <c r="A134" s="47"/>
      <c r="B134" s="75"/>
      <c r="C134" s="15"/>
    </row>
    <row r="135" spans="1:3" ht="26.25" customHeight="1" x14ac:dyDescent="0.2">
      <c r="A135" s="84" t="s">
        <v>214</v>
      </c>
      <c r="B135" s="99" t="s">
        <v>215</v>
      </c>
      <c r="C135" s="100">
        <f>[13]С2!F37</f>
        <v>20.818139999999996</v>
      </c>
    </row>
    <row r="136" spans="1:3" ht="14.25" x14ac:dyDescent="0.2">
      <c r="A136" s="59" t="s">
        <v>216</v>
      </c>
      <c r="B136" s="101" t="s">
        <v>217</v>
      </c>
      <c r="C136" s="34">
        <f>[13]С2!F38</f>
        <v>7</v>
      </c>
    </row>
    <row r="137" spans="1:3" ht="17.25" x14ac:dyDescent="0.2">
      <c r="A137" s="59" t="s">
        <v>218</v>
      </c>
      <c r="B137" s="101" t="s">
        <v>219</v>
      </c>
      <c r="C137" s="34">
        <f>[13]С2!F40</f>
        <v>0.97</v>
      </c>
    </row>
    <row r="138" spans="1:3" ht="15" thickBot="1" x14ac:dyDescent="0.25">
      <c r="A138" s="72" t="s">
        <v>220</v>
      </c>
      <c r="B138" s="102" t="s">
        <v>221</v>
      </c>
      <c r="C138" s="46">
        <f>[13]С2!F42</f>
        <v>0.35</v>
      </c>
    </row>
    <row r="139" spans="1:3" s="89" customFormat="1" ht="13.5" thickBot="1" x14ac:dyDescent="0.25">
      <c r="A139" s="47"/>
      <c r="B139" s="75"/>
      <c r="C139" s="15"/>
    </row>
    <row r="140" spans="1:3" ht="30" x14ac:dyDescent="0.2">
      <c r="A140" s="84" t="s">
        <v>222</v>
      </c>
      <c r="B140" s="103" t="s">
        <v>223</v>
      </c>
      <c r="C140" s="104">
        <f>[13]С2!F35</f>
        <v>1.7157947422665329</v>
      </c>
    </row>
    <row r="141" spans="1:3" ht="22.7" customHeight="1" thickBot="1" x14ac:dyDescent="0.25">
      <c r="A141" s="72" t="s">
        <v>224</v>
      </c>
      <c r="B141" s="141" t="s">
        <v>225</v>
      </c>
      <c r="C141" s="141"/>
    </row>
    <row r="142" spans="1:3" ht="13.5" thickBot="1" x14ac:dyDescent="0.25">
      <c r="A142" s="105"/>
      <c r="B142" s="106" t="s">
        <v>226</v>
      </c>
      <c r="C142" s="107"/>
    </row>
    <row r="143" spans="1:3" x14ac:dyDescent="0.2">
      <c r="A143" s="105"/>
      <c r="B143" s="108">
        <v>2020</v>
      </c>
      <c r="C143" s="109">
        <f>[13]С2.5!$E$11</f>
        <v>-2.9000000000000026E-2</v>
      </c>
    </row>
    <row r="144" spans="1:3" x14ac:dyDescent="0.2">
      <c r="A144" s="105"/>
      <c r="B144" s="110">
        <f>B143+1</f>
        <v>2021</v>
      </c>
      <c r="C144" s="111">
        <f>[13]С2.5!$F$11</f>
        <v>0.245</v>
      </c>
    </row>
    <row r="145" spans="1:3" x14ac:dyDescent="0.2">
      <c r="A145" s="105"/>
      <c r="B145" s="110">
        <f t="shared" ref="B145:B208" si="0">B144+1</f>
        <v>2022</v>
      </c>
      <c r="C145" s="111">
        <f>[13]С2.5!$G$11</f>
        <v>0.114</v>
      </c>
    </row>
    <row r="146" spans="1:3" ht="13.5" thickBot="1" x14ac:dyDescent="0.25">
      <c r="A146" s="105"/>
      <c r="B146" s="112">
        <f t="shared" si="0"/>
        <v>2023</v>
      </c>
      <c r="C146" s="113">
        <f>[13]С2.5!$H$11</f>
        <v>0.04</v>
      </c>
    </row>
    <row r="147" spans="1:3" x14ac:dyDescent="0.2">
      <c r="A147" s="105"/>
      <c r="B147" s="114">
        <f t="shared" si="0"/>
        <v>2024</v>
      </c>
      <c r="C147" s="115">
        <f>[13]С2.5!$I$11</f>
        <v>0.121</v>
      </c>
    </row>
    <row r="148" spans="1:3" x14ac:dyDescent="0.2">
      <c r="A148" s="105"/>
      <c r="B148" s="110">
        <f t="shared" si="0"/>
        <v>2025</v>
      </c>
      <c r="C148" s="111">
        <f>[13]С2.5!$J$11</f>
        <v>0.03</v>
      </c>
    </row>
    <row r="149" spans="1:3" x14ac:dyDescent="0.2">
      <c r="A149" s="105"/>
      <c r="B149" s="110">
        <f t="shared" si="0"/>
        <v>2026</v>
      </c>
      <c r="C149" s="111">
        <f>[13]С2.5!$K$11</f>
        <v>6.0999999999999999E-2</v>
      </c>
    </row>
    <row r="150" spans="1:3" hidden="1" x14ac:dyDescent="0.2">
      <c r="A150" s="105"/>
      <c r="B150" s="110">
        <f t="shared" si="0"/>
        <v>2027</v>
      </c>
      <c r="C150" s="111">
        <f>[13]С2.5!$L$11</f>
        <v>3.2682303599220003E-2</v>
      </c>
    </row>
    <row r="151" spans="1:3" hidden="1" x14ac:dyDescent="0.2">
      <c r="A151" s="105"/>
      <c r="B151" s="110">
        <f t="shared" si="0"/>
        <v>2028</v>
      </c>
      <c r="C151" s="111">
        <f>[13]С2.5!$M$11</f>
        <v>0</v>
      </c>
    </row>
    <row r="152" spans="1:3" hidden="1" x14ac:dyDescent="0.2">
      <c r="A152" s="105"/>
      <c r="B152" s="110">
        <f t="shared" si="0"/>
        <v>2029</v>
      </c>
      <c r="C152" s="111">
        <f>[13]С2.5!$N$11</f>
        <v>0</v>
      </c>
    </row>
    <row r="153" spans="1:3" hidden="1" x14ac:dyDescent="0.2">
      <c r="A153" s="105"/>
      <c r="B153" s="110">
        <f t="shared" si="0"/>
        <v>2030</v>
      </c>
      <c r="C153" s="111">
        <f>[13]С2.5!$O$11</f>
        <v>0</v>
      </c>
    </row>
    <row r="154" spans="1:3" hidden="1" x14ac:dyDescent="0.2">
      <c r="A154" s="105"/>
      <c r="B154" s="110">
        <f t="shared" si="0"/>
        <v>2031</v>
      </c>
      <c r="C154" s="111">
        <f>[13]С2.5!$P$11</f>
        <v>0</v>
      </c>
    </row>
    <row r="155" spans="1:3" hidden="1" x14ac:dyDescent="0.2">
      <c r="A155" s="89"/>
      <c r="B155" s="110">
        <f t="shared" si="0"/>
        <v>2032</v>
      </c>
      <c r="C155" s="111">
        <f>[13]С2.5!$Q$11</f>
        <v>0</v>
      </c>
    </row>
    <row r="156" spans="1:3" hidden="1" x14ac:dyDescent="0.2">
      <c r="A156" s="89"/>
      <c r="B156" s="110">
        <f t="shared" si="0"/>
        <v>2033</v>
      </c>
      <c r="C156" s="111">
        <f>[13]С2.5!$R$11</f>
        <v>0</v>
      </c>
    </row>
    <row r="157" spans="1:3" hidden="1" x14ac:dyDescent="0.2">
      <c r="B157" s="110">
        <f t="shared" si="0"/>
        <v>2034</v>
      </c>
      <c r="C157" s="111">
        <f>[13]С2.5!$S$11</f>
        <v>0</v>
      </c>
    </row>
    <row r="158" spans="1:3" hidden="1" x14ac:dyDescent="0.2">
      <c r="B158" s="110">
        <f t="shared" si="0"/>
        <v>2035</v>
      </c>
      <c r="C158" s="111">
        <f>[13]С2.5!$T$11</f>
        <v>0</v>
      </c>
    </row>
    <row r="159" spans="1:3" hidden="1" x14ac:dyDescent="0.2">
      <c r="B159" s="110">
        <f t="shared" si="0"/>
        <v>2036</v>
      </c>
      <c r="C159" s="111">
        <f>[13]С2.5!$U$11</f>
        <v>0</v>
      </c>
    </row>
    <row r="160" spans="1:3" hidden="1" x14ac:dyDescent="0.2">
      <c r="B160" s="110">
        <f t="shared" si="0"/>
        <v>2037</v>
      </c>
      <c r="C160" s="111">
        <f>[13]С2.5!$V$11</f>
        <v>0</v>
      </c>
    </row>
    <row r="161" spans="2:3" hidden="1" x14ac:dyDescent="0.2">
      <c r="B161" s="110">
        <f t="shared" si="0"/>
        <v>2038</v>
      </c>
      <c r="C161" s="111">
        <f>[13]С2.5!$W$11</f>
        <v>0</v>
      </c>
    </row>
    <row r="162" spans="2:3" hidden="1" x14ac:dyDescent="0.2">
      <c r="B162" s="110">
        <f t="shared" si="0"/>
        <v>2039</v>
      </c>
      <c r="C162" s="111">
        <f>[13]С2.5!$X$11</f>
        <v>0</v>
      </c>
    </row>
    <row r="163" spans="2:3" hidden="1" x14ac:dyDescent="0.2">
      <c r="B163" s="110">
        <f t="shared" si="0"/>
        <v>2040</v>
      </c>
      <c r="C163" s="111">
        <f>[13]С2.5!$Y$11</f>
        <v>0</v>
      </c>
    </row>
    <row r="164" spans="2:3" hidden="1" x14ac:dyDescent="0.2">
      <c r="B164" s="110">
        <f t="shared" si="0"/>
        <v>2041</v>
      </c>
      <c r="C164" s="111">
        <f>[13]С2.5!$Z$11</f>
        <v>0</v>
      </c>
    </row>
    <row r="165" spans="2:3" hidden="1" x14ac:dyDescent="0.2">
      <c r="B165" s="110">
        <f t="shared" si="0"/>
        <v>2042</v>
      </c>
      <c r="C165" s="111">
        <f>[13]С2.5!$AA$11</f>
        <v>0</v>
      </c>
    </row>
    <row r="166" spans="2:3" hidden="1" x14ac:dyDescent="0.2">
      <c r="B166" s="110">
        <f t="shared" si="0"/>
        <v>2043</v>
      </c>
      <c r="C166" s="111">
        <f>[13]С2.5!$AB$11</f>
        <v>0</v>
      </c>
    </row>
    <row r="167" spans="2:3" hidden="1" x14ac:dyDescent="0.2">
      <c r="B167" s="110">
        <f t="shared" si="0"/>
        <v>2044</v>
      </c>
      <c r="C167" s="111">
        <f>[13]С2.5!$AC$11</f>
        <v>0</v>
      </c>
    </row>
    <row r="168" spans="2:3" hidden="1" x14ac:dyDescent="0.2">
      <c r="B168" s="110">
        <f t="shared" si="0"/>
        <v>2045</v>
      </c>
      <c r="C168" s="111">
        <f>[13]С2.5!$AD$11</f>
        <v>0</v>
      </c>
    </row>
    <row r="169" spans="2:3" hidden="1" x14ac:dyDescent="0.2">
      <c r="B169" s="110">
        <f t="shared" si="0"/>
        <v>2046</v>
      </c>
      <c r="C169" s="111">
        <f>[13]С2.5!$AE$11</f>
        <v>0</v>
      </c>
    </row>
    <row r="170" spans="2:3" hidden="1" x14ac:dyDescent="0.2">
      <c r="B170" s="110">
        <f t="shared" si="0"/>
        <v>2047</v>
      </c>
      <c r="C170" s="111">
        <f>[13]С2.5!$AF$11</f>
        <v>0</v>
      </c>
    </row>
    <row r="171" spans="2:3" hidden="1" x14ac:dyDescent="0.2">
      <c r="B171" s="110">
        <f t="shared" si="0"/>
        <v>2048</v>
      </c>
      <c r="C171" s="111">
        <f>[13]С2.5!$AG$11</f>
        <v>0</v>
      </c>
    </row>
    <row r="172" spans="2:3" hidden="1" x14ac:dyDescent="0.2">
      <c r="B172" s="110">
        <f t="shared" si="0"/>
        <v>2049</v>
      </c>
      <c r="C172" s="111">
        <f>[13]С2.5!$AH$11</f>
        <v>0</v>
      </c>
    </row>
    <row r="173" spans="2:3" hidden="1" x14ac:dyDescent="0.2">
      <c r="B173" s="110">
        <f t="shared" si="0"/>
        <v>2050</v>
      </c>
      <c r="C173" s="111">
        <f>[13]С2.5!$AI$11</f>
        <v>0</v>
      </c>
    </row>
    <row r="174" spans="2:3" hidden="1" x14ac:dyDescent="0.2">
      <c r="B174" s="110">
        <f t="shared" si="0"/>
        <v>2051</v>
      </c>
      <c r="C174" s="111">
        <f>[13]С2.5!$AJ$11</f>
        <v>0</v>
      </c>
    </row>
    <row r="175" spans="2:3" hidden="1" x14ac:dyDescent="0.2">
      <c r="B175" s="110">
        <f t="shared" si="0"/>
        <v>2052</v>
      </c>
      <c r="C175" s="111">
        <f>[13]С2.5!$AK$11</f>
        <v>0</v>
      </c>
    </row>
    <row r="176" spans="2:3" hidden="1" x14ac:dyDescent="0.2">
      <c r="B176" s="110">
        <f t="shared" si="0"/>
        <v>2053</v>
      </c>
      <c r="C176" s="111">
        <f>[13]С2.5!$AL$11</f>
        <v>0</v>
      </c>
    </row>
    <row r="177" spans="2:3" hidden="1" x14ac:dyDescent="0.2">
      <c r="B177" s="110">
        <f t="shared" si="0"/>
        <v>2054</v>
      </c>
      <c r="C177" s="111">
        <f>[13]С2.5!$AM$11</f>
        <v>0</v>
      </c>
    </row>
    <row r="178" spans="2:3" hidden="1" x14ac:dyDescent="0.2">
      <c r="B178" s="110">
        <f t="shared" si="0"/>
        <v>2055</v>
      </c>
      <c r="C178" s="111">
        <f>[13]С2.5!$AN$11</f>
        <v>0</v>
      </c>
    </row>
    <row r="179" spans="2:3" hidden="1" x14ac:dyDescent="0.2">
      <c r="B179" s="110">
        <f t="shared" si="0"/>
        <v>2056</v>
      </c>
      <c r="C179" s="111">
        <f>[13]С2.5!$AO$11</f>
        <v>0</v>
      </c>
    </row>
    <row r="180" spans="2:3" hidden="1" x14ac:dyDescent="0.2">
      <c r="B180" s="110">
        <f t="shared" si="0"/>
        <v>2057</v>
      </c>
      <c r="C180" s="111">
        <f>[13]С2.5!$AP$11</f>
        <v>0</v>
      </c>
    </row>
    <row r="181" spans="2:3" hidden="1" x14ac:dyDescent="0.2">
      <c r="B181" s="110">
        <f t="shared" si="0"/>
        <v>2058</v>
      </c>
      <c r="C181" s="111">
        <f>[13]С2.5!$AQ$11</f>
        <v>0</v>
      </c>
    </row>
    <row r="182" spans="2:3" hidden="1" x14ac:dyDescent="0.2">
      <c r="B182" s="110">
        <f t="shared" si="0"/>
        <v>2059</v>
      </c>
      <c r="C182" s="111">
        <f>[13]С2.5!$AR$11</f>
        <v>0</v>
      </c>
    </row>
    <row r="183" spans="2:3" hidden="1" x14ac:dyDescent="0.2">
      <c r="B183" s="110">
        <f t="shared" si="0"/>
        <v>2060</v>
      </c>
      <c r="C183" s="111">
        <f>[13]С2.5!$AS$11</f>
        <v>0</v>
      </c>
    </row>
    <row r="184" spans="2:3" hidden="1" x14ac:dyDescent="0.2">
      <c r="B184" s="110">
        <f t="shared" si="0"/>
        <v>2061</v>
      </c>
      <c r="C184" s="111">
        <f>[13]С2.5!$AT$11</f>
        <v>0</v>
      </c>
    </row>
    <row r="185" spans="2:3" hidden="1" x14ac:dyDescent="0.2">
      <c r="B185" s="110">
        <f t="shared" si="0"/>
        <v>2062</v>
      </c>
      <c r="C185" s="111">
        <f>[13]С2.5!$AU$11</f>
        <v>0</v>
      </c>
    </row>
    <row r="186" spans="2:3" hidden="1" x14ac:dyDescent="0.2">
      <c r="B186" s="110">
        <f t="shared" si="0"/>
        <v>2063</v>
      </c>
      <c r="C186" s="111">
        <f>[13]С2.5!$AV$11</f>
        <v>0</v>
      </c>
    </row>
    <row r="187" spans="2:3" hidden="1" x14ac:dyDescent="0.2">
      <c r="B187" s="110">
        <f t="shared" si="0"/>
        <v>2064</v>
      </c>
      <c r="C187" s="111">
        <f>[13]С2.5!$AW$11</f>
        <v>0</v>
      </c>
    </row>
    <row r="188" spans="2:3" hidden="1" x14ac:dyDescent="0.2">
      <c r="B188" s="110">
        <f t="shared" si="0"/>
        <v>2065</v>
      </c>
      <c r="C188" s="111">
        <f>[13]С2.5!$AX$11</f>
        <v>0</v>
      </c>
    </row>
    <row r="189" spans="2:3" hidden="1" x14ac:dyDescent="0.2">
      <c r="B189" s="110">
        <f t="shared" si="0"/>
        <v>2066</v>
      </c>
      <c r="C189" s="111">
        <f>[13]С2.5!$AY$11</f>
        <v>0</v>
      </c>
    </row>
    <row r="190" spans="2:3" hidden="1" x14ac:dyDescent="0.2">
      <c r="B190" s="110">
        <f t="shared" si="0"/>
        <v>2067</v>
      </c>
      <c r="C190" s="111">
        <f>[13]С2.5!$AZ$11</f>
        <v>0</v>
      </c>
    </row>
    <row r="191" spans="2:3" hidden="1" x14ac:dyDescent="0.2">
      <c r="B191" s="110">
        <f t="shared" si="0"/>
        <v>2068</v>
      </c>
      <c r="C191" s="111">
        <f>[13]С2.5!$BA$11</f>
        <v>0</v>
      </c>
    </row>
    <row r="192" spans="2:3" hidden="1" x14ac:dyDescent="0.2">
      <c r="B192" s="110">
        <f t="shared" si="0"/>
        <v>2069</v>
      </c>
      <c r="C192" s="111">
        <f>[13]С2.5!$BB$11</f>
        <v>0</v>
      </c>
    </row>
    <row r="193" spans="2:3" hidden="1" x14ac:dyDescent="0.2">
      <c r="B193" s="110">
        <f t="shared" si="0"/>
        <v>2070</v>
      </c>
      <c r="C193" s="111">
        <f>[13]С2.5!$BC$11</f>
        <v>0</v>
      </c>
    </row>
    <row r="194" spans="2:3" hidden="1" x14ac:dyDescent="0.2">
      <c r="B194" s="110">
        <f t="shared" si="0"/>
        <v>2071</v>
      </c>
      <c r="C194" s="111">
        <f>[13]С2.5!$BD$11</f>
        <v>0</v>
      </c>
    </row>
    <row r="195" spans="2:3" hidden="1" x14ac:dyDescent="0.2">
      <c r="B195" s="110">
        <f t="shared" si="0"/>
        <v>2072</v>
      </c>
      <c r="C195" s="111">
        <f>[13]С2.5!$BE$11</f>
        <v>0</v>
      </c>
    </row>
    <row r="196" spans="2:3" hidden="1" x14ac:dyDescent="0.2">
      <c r="B196" s="110">
        <f t="shared" si="0"/>
        <v>2073</v>
      </c>
      <c r="C196" s="111">
        <f>[13]С2.5!$BF$11</f>
        <v>0</v>
      </c>
    </row>
    <row r="197" spans="2:3" hidden="1" x14ac:dyDescent="0.2">
      <c r="B197" s="110">
        <f t="shared" si="0"/>
        <v>2074</v>
      </c>
      <c r="C197" s="111">
        <f>[13]С2.5!$BG$11</f>
        <v>0</v>
      </c>
    </row>
    <row r="198" spans="2:3" hidden="1" x14ac:dyDescent="0.2">
      <c r="B198" s="110">
        <f t="shared" si="0"/>
        <v>2075</v>
      </c>
      <c r="C198" s="111">
        <f>[13]С2.5!$BH$11</f>
        <v>0</v>
      </c>
    </row>
    <row r="199" spans="2:3" hidden="1" x14ac:dyDescent="0.2">
      <c r="B199" s="110">
        <f t="shared" si="0"/>
        <v>2076</v>
      </c>
      <c r="C199" s="111">
        <f>[13]С2.5!$BI$11</f>
        <v>0</v>
      </c>
    </row>
    <row r="200" spans="2:3" hidden="1" x14ac:dyDescent="0.2">
      <c r="B200" s="110">
        <f t="shared" si="0"/>
        <v>2077</v>
      </c>
      <c r="C200" s="111">
        <f>[13]С2.5!$BJ$11</f>
        <v>0</v>
      </c>
    </row>
    <row r="201" spans="2:3" hidden="1" x14ac:dyDescent="0.2">
      <c r="B201" s="110">
        <f t="shared" si="0"/>
        <v>2078</v>
      </c>
      <c r="C201" s="111">
        <f>[13]С2.5!$BK$11</f>
        <v>0</v>
      </c>
    </row>
    <row r="202" spans="2:3" hidden="1" x14ac:dyDescent="0.2">
      <c r="B202" s="110">
        <f t="shared" si="0"/>
        <v>2079</v>
      </c>
      <c r="C202" s="111">
        <f>[13]С2.5!$BL$11</f>
        <v>0</v>
      </c>
    </row>
    <row r="203" spans="2:3" hidden="1" x14ac:dyDescent="0.2">
      <c r="B203" s="110">
        <f t="shared" si="0"/>
        <v>2080</v>
      </c>
      <c r="C203" s="111">
        <f>[13]С2.5!$BM$11</f>
        <v>0</v>
      </c>
    </row>
    <row r="204" spans="2:3" hidden="1" x14ac:dyDescent="0.2">
      <c r="B204" s="110">
        <f t="shared" si="0"/>
        <v>2081</v>
      </c>
      <c r="C204" s="111">
        <f>[13]С2.5!$BN$11</f>
        <v>0</v>
      </c>
    </row>
    <row r="205" spans="2:3" hidden="1" x14ac:dyDescent="0.2">
      <c r="B205" s="110">
        <f t="shared" si="0"/>
        <v>2082</v>
      </c>
      <c r="C205" s="111">
        <f>[13]С2.5!$BO$11</f>
        <v>0</v>
      </c>
    </row>
    <row r="206" spans="2:3" hidden="1" x14ac:dyDescent="0.2">
      <c r="B206" s="110">
        <f t="shared" si="0"/>
        <v>2083</v>
      </c>
      <c r="C206" s="111">
        <f>[13]С2.5!$BP$11</f>
        <v>0</v>
      </c>
    </row>
    <row r="207" spans="2:3" hidden="1" x14ac:dyDescent="0.2">
      <c r="B207" s="110">
        <f t="shared" si="0"/>
        <v>2084</v>
      </c>
      <c r="C207" s="111">
        <f>[13]С2.5!$BQ$11</f>
        <v>0</v>
      </c>
    </row>
    <row r="208" spans="2:3" hidden="1" x14ac:dyDescent="0.2">
      <c r="B208" s="110">
        <f t="shared" si="0"/>
        <v>2085</v>
      </c>
      <c r="C208" s="111">
        <f>[13]С2.5!$BR$11</f>
        <v>0</v>
      </c>
    </row>
    <row r="209" spans="2:3" hidden="1" x14ac:dyDescent="0.2">
      <c r="B209" s="110">
        <f t="shared" ref="B209:B223" si="1">B208+1</f>
        <v>2086</v>
      </c>
      <c r="C209" s="111">
        <f>[13]С2.5!$BS$11</f>
        <v>0</v>
      </c>
    </row>
    <row r="210" spans="2:3" hidden="1" x14ac:dyDescent="0.2">
      <c r="B210" s="110">
        <f t="shared" si="1"/>
        <v>2087</v>
      </c>
      <c r="C210" s="111">
        <f>[13]С2.5!$BT$11</f>
        <v>0</v>
      </c>
    </row>
    <row r="211" spans="2:3" hidden="1" x14ac:dyDescent="0.2">
      <c r="B211" s="110">
        <f t="shared" si="1"/>
        <v>2088</v>
      </c>
      <c r="C211" s="111">
        <f>[13]С2.5!$BU$11</f>
        <v>0</v>
      </c>
    </row>
    <row r="212" spans="2:3" hidden="1" x14ac:dyDescent="0.2">
      <c r="B212" s="110">
        <f t="shared" si="1"/>
        <v>2089</v>
      </c>
      <c r="C212" s="111">
        <f>[13]С2.5!$BV$11</f>
        <v>0</v>
      </c>
    </row>
    <row r="213" spans="2:3" hidden="1" x14ac:dyDescent="0.2">
      <c r="B213" s="110">
        <f t="shared" si="1"/>
        <v>2090</v>
      </c>
      <c r="C213" s="111">
        <f>[13]С2.5!$BW$11</f>
        <v>0</v>
      </c>
    </row>
    <row r="214" spans="2:3" hidden="1" x14ac:dyDescent="0.2">
      <c r="B214" s="110">
        <f t="shared" si="1"/>
        <v>2091</v>
      </c>
      <c r="C214" s="111">
        <f>[13]С2.5!$BX$11</f>
        <v>0</v>
      </c>
    </row>
    <row r="215" spans="2:3" hidden="1" x14ac:dyDescent="0.2">
      <c r="B215" s="110">
        <f t="shared" si="1"/>
        <v>2092</v>
      </c>
      <c r="C215" s="111">
        <f>[13]С2.5!$BY$11</f>
        <v>0</v>
      </c>
    </row>
    <row r="216" spans="2:3" hidden="1" x14ac:dyDescent="0.2">
      <c r="B216" s="110">
        <f t="shared" si="1"/>
        <v>2093</v>
      </c>
      <c r="C216" s="111">
        <f>[13]С2.5!$BZ$11</f>
        <v>0</v>
      </c>
    </row>
    <row r="217" spans="2:3" hidden="1" x14ac:dyDescent="0.2">
      <c r="B217" s="110">
        <f t="shared" si="1"/>
        <v>2094</v>
      </c>
      <c r="C217" s="111">
        <f>[13]С2.5!$CA$11</f>
        <v>0</v>
      </c>
    </row>
    <row r="218" spans="2:3" hidden="1" x14ac:dyDescent="0.2">
      <c r="B218" s="110">
        <f t="shared" si="1"/>
        <v>2095</v>
      </c>
      <c r="C218" s="111">
        <f>[13]С2.5!$CB$11</f>
        <v>0</v>
      </c>
    </row>
    <row r="219" spans="2:3" hidden="1" x14ac:dyDescent="0.2">
      <c r="B219" s="110">
        <f t="shared" si="1"/>
        <v>2096</v>
      </c>
      <c r="C219" s="111">
        <f>[13]С2.5!$CC$11</f>
        <v>0</v>
      </c>
    </row>
    <row r="220" spans="2:3" hidden="1" x14ac:dyDescent="0.2">
      <c r="B220" s="110">
        <f t="shared" si="1"/>
        <v>2097</v>
      </c>
      <c r="C220" s="111">
        <f>[13]С2.5!$CD$11</f>
        <v>0</v>
      </c>
    </row>
    <row r="221" spans="2:3" hidden="1" x14ac:dyDescent="0.2">
      <c r="B221" s="110">
        <f t="shared" si="1"/>
        <v>2098</v>
      </c>
      <c r="C221" s="111">
        <f>[13]С2.5!$CE$11</f>
        <v>0</v>
      </c>
    </row>
    <row r="222" spans="2:3" hidden="1" x14ac:dyDescent="0.2">
      <c r="B222" s="110">
        <f t="shared" si="1"/>
        <v>2099</v>
      </c>
      <c r="C222" s="111">
        <f>[13]С2.5!$CF$11</f>
        <v>0</v>
      </c>
    </row>
    <row r="223" spans="2:3" ht="13.5" hidden="1" thickBot="1" x14ac:dyDescent="0.25">
      <c r="B223" s="112">
        <f t="shared" si="1"/>
        <v>2100</v>
      </c>
      <c r="C223" s="113">
        <f>[13]С2.5!$CG$11</f>
        <v>0</v>
      </c>
    </row>
    <row r="224" spans="2:3" hidden="1" x14ac:dyDescent="0.2">
      <c r="C224" s="116"/>
    </row>
    <row r="225" spans="3:3" hidden="1" x14ac:dyDescent="0.2">
      <c r="C225" s="116"/>
    </row>
    <row r="226" spans="3:3" x14ac:dyDescent="0.2">
      <c r="C226" s="116"/>
    </row>
  </sheetData>
  <mergeCells count="9">
    <mergeCell ref="B141:C141"/>
    <mergeCell ref="A14:C14"/>
    <mergeCell ref="B1:C1"/>
    <mergeCell ref="B27:C27"/>
    <mergeCell ref="B40:C40"/>
    <mergeCell ref="B84:C84"/>
    <mergeCell ref="B95:C95"/>
    <mergeCell ref="B124:C124"/>
    <mergeCell ref="B127:C127"/>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26"/>
  <sheetViews>
    <sheetView workbookViewId="0">
      <selection activeCell="C7" sqref="C7"/>
    </sheetView>
  </sheetViews>
  <sheetFormatPr defaultRowHeight="12.75" x14ac:dyDescent="0.2"/>
  <cols>
    <col min="1" max="1" width="9.140625" style="2" customWidth="1"/>
    <col min="2" max="2" width="100.5703125" style="2" customWidth="1"/>
    <col min="3" max="3" width="20.85546875" style="7" customWidth="1"/>
    <col min="4" max="244" width="9.140625" style="2"/>
    <col min="245" max="245" width="3.5703125" style="2" customWidth="1"/>
    <col min="246" max="246" width="96.85546875" style="2" customWidth="1"/>
    <col min="247" max="247" width="30.85546875" style="2" customWidth="1"/>
    <col min="248" max="248" width="12.5703125" style="2" customWidth="1"/>
    <col min="249" max="249" width="5.140625" style="2" customWidth="1"/>
    <col min="250" max="250" width="9.140625" style="2"/>
    <col min="251" max="251" width="4.85546875" style="2" customWidth="1"/>
    <col min="252" max="252" width="30.5703125" style="2" customWidth="1"/>
    <col min="253" max="253" width="33.85546875" style="2" customWidth="1"/>
    <col min="254" max="254" width="5.140625" style="2" customWidth="1"/>
    <col min="255" max="256" width="17.5703125" style="2" customWidth="1"/>
    <col min="257" max="500" width="9.140625" style="2"/>
    <col min="501" max="501" width="3.5703125" style="2" customWidth="1"/>
    <col min="502" max="502" width="96.85546875" style="2" customWidth="1"/>
    <col min="503" max="503" width="30.85546875" style="2" customWidth="1"/>
    <col min="504" max="504" width="12.5703125" style="2" customWidth="1"/>
    <col min="505" max="505" width="5.140625" style="2" customWidth="1"/>
    <col min="506" max="506" width="9.140625" style="2"/>
    <col min="507" max="507" width="4.85546875" style="2" customWidth="1"/>
    <col min="508" max="508" width="30.5703125" style="2" customWidth="1"/>
    <col min="509" max="509" width="33.85546875" style="2" customWidth="1"/>
    <col min="510" max="510" width="5.140625" style="2" customWidth="1"/>
    <col min="511" max="512" width="17.5703125" style="2" customWidth="1"/>
    <col min="513" max="756" width="9.140625" style="2"/>
    <col min="757" max="757" width="3.5703125" style="2" customWidth="1"/>
    <col min="758" max="758" width="96.85546875" style="2" customWidth="1"/>
    <col min="759" max="759" width="30.85546875" style="2" customWidth="1"/>
    <col min="760" max="760" width="12.5703125" style="2" customWidth="1"/>
    <col min="761" max="761" width="5.140625" style="2" customWidth="1"/>
    <col min="762" max="762" width="9.140625" style="2"/>
    <col min="763" max="763" width="4.85546875" style="2" customWidth="1"/>
    <col min="764" max="764" width="30.5703125" style="2" customWidth="1"/>
    <col min="765" max="765" width="33.85546875" style="2" customWidth="1"/>
    <col min="766" max="766" width="5.140625" style="2" customWidth="1"/>
    <col min="767" max="768" width="17.5703125" style="2" customWidth="1"/>
    <col min="769" max="1012" width="9.140625" style="2"/>
    <col min="1013" max="1013" width="3.5703125" style="2" customWidth="1"/>
    <col min="1014" max="1014" width="96.85546875" style="2" customWidth="1"/>
    <col min="1015" max="1015" width="30.85546875" style="2" customWidth="1"/>
    <col min="1016" max="1016" width="12.5703125" style="2" customWidth="1"/>
    <col min="1017" max="1017" width="5.140625" style="2" customWidth="1"/>
    <col min="1018" max="1018" width="9.140625" style="2"/>
    <col min="1019" max="1019" width="4.85546875" style="2" customWidth="1"/>
    <col min="1020" max="1020" width="30.5703125" style="2" customWidth="1"/>
    <col min="1021" max="1021" width="33.85546875" style="2" customWidth="1"/>
    <col min="1022" max="1022" width="5.140625" style="2" customWidth="1"/>
    <col min="1023" max="1024" width="17.5703125" style="2" customWidth="1"/>
    <col min="1025" max="1268" width="9.140625" style="2"/>
    <col min="1269" max="1269" width="3.5703125" style="2" customWidth="1"/>
    <col min="1270" max="1270" width="96.85546875" style="2" customWidth="1"/>
    <col min="1271" max="1271" width="30.85546875" style="2" customWidth="1"/>
    <col min="1272" max="1272" width="12.5703125" style="2" customWidth="1"/>
    <col min="1273" max="1273" width="5.140625" style="2" customWidth="1"/>
    <col min="1274" max="1274" width="9.140625" style="2"/>
    <col min="1275" max="1275" width="4.85546875" style="2" customWidth="1"/>
    <col min="1276" max="1276" width="30.5703125" style="2" customWidth="1"/>
    <col min="1277" max="1277" width="33.85546875" style="2" customWidth="1"/>
    <col min="1278" max="1278" width="5.140625" style="2" customWidth="1"/>
    <col min="1279" max="1280" width="17.5703125" style="2" customWidth="1"/>
    <col min="1281" max="1524" width="9.140625" style="2"/>
    <col min="1525" max="1525" width="3.5703125" style="2" customWidth="1"/>
    <col min="1526" max="1526" width="96.85546875" style="2" customWidth="1"/>
    <col min="1527" max="1527" width="30.85546875" style="2" customWidth="1"/>
    <col min="1528" max="1528" width="12.5703125" style="2" customWidth="1"/>
    <col min="1529" max="1529" width="5.140625" style="2" customWidth="1"/>
    <col min="1530" max="1530" width="9.140625" style="2"/>
    <col min="1531" max="1531" width="4.85546875" style="2" customWidth="1"/>
    <col min="1532" max="1532" width="30.5703125" style="2" customWidth="1"/>
    <col min="1533" max="1533" width="33.85546875" style="2" customWidth="1"/>
    <col min="1534" max="1534" width="5.140625" style="2" customWidth="1"/>
    <col min="1535" max="1536" width="17.5703125" style="2" customWidth="1"/>
    <col min="1537" max="1780" width="9.140625" style="2"/>
    <col min="1781" max="1781" width="3.5703125" style="2" customWidth="1"/>
    <col min="1782" max="1782" width="96.85546875" style="2" customWidth="1"/>
    <col min="1783" max="1783" width="30.85546875" style="2" customWidth="1"/>
    <col min="1784" max="1784" width="12.5703125" style="2" customWidth="1"/>
    <col min="1785" max="1785" width="5.140625" style="2" customWidth="1"/>
    <col min="1786" max="1786" width="9.140625" style="2"/>
    <col min="1787" max="1787" width="4.85546875" style="2" customWidth="1"/>
    <col min="1788" max="1788" width="30.5703125" style="2" customWidth="1"/>
    <col min="1789" max="1789" width="33.85546875" style="2" customWidth="1"/>
    <col min="1790" max="1790" width="5.140625" style="2" customWidth="1"/>
    <col min="1791" max="1792" width="17.5703125" style="2" customWidth="1"/>
    <col min="1793" max="2036" width="9.140625" style="2"/>
    <col min="2037" max="2037" width="3.5703125" style="2" customWidth="1"/>
    <col min="2038" max="2038" width="96.85546875" style="2" customWidth="1"/>
    <col min="2039" max="2039" width="30.85546875" style="2" customWidth="1"/>
    <col min="2040" max="2040" width="12.5703125" style="2" customWidth="1"/>
    <col min="2041" max="2041" width="5.140625" style="2" customWidth="1"/>
    <col min="2042" max="2042" width="9.140625" style="2"/>
    <col min="2043" max="2043" width="4.85546875" style="2" customWidth="1"/>
    <col min="2044" max="2044" width="30.5703125" style="2" customWidth="1"/>
    <col min="2045" max="2045" width="33.85546875" style="2" customWidth="1"/>
    <col min="2046" max="2046" width="5.140625" style="2" customWidth="1"/>
    <col min="2047" max="2048" width="17.5703125" style="2" customWidth="1"/>
    <col min="2049" max="2292" width="9.140625" style="2"/>
    <col min="2293" max="2293" width="3.5703125" style="2" customWidth="1"/>
    <col min="2294" max="2294" width="96.85546875" style="2" customWidth="1"/>
    <col min="2295" max="2295" width="30.85546875" style="2" customWidth="1"/>
    <col min="2296" max="2296" width="12.5703125" style="2" customWidth="1"/>
    <col min="2297" max="2297" width="5.140625" style="2" customWidth="1"/>
    <col min="2298" max="2298" width="9.140625" style="2"/>
    <col min="2299" max="2299" width="4.85546875" style="2" customWidth="1"/>
    <col min="2300" max="2300" width="30.5703125" style="2" customWidth="1"/>
    <col min="2301" max="2301" width="33.85546875" style="2" customWidth="1"/>
    <col min="2302" max="2302" width="5.140625" style="2" customWidth="1"/>
    <col min="2303" max="2304" width="17.5703125" style="2" customWidth="1"/>
    <col min="2305" max="2548" width="9.140625" style="2"/>
    <col min="2549" max="2549" width="3.5703125" style="2" customWidth="1"/>
    <col min="2550" max="2550" width="96.85546875" style="2" customWidth="1"/>
    <col min="2551" max="2551" width="30.85546875" style="2" customWidth="1"/>
    <col min="2552" max="2552" width="12.5703125" style="2" customWidth="1"/>
    <col min="2553" max="2553" width="5.140625" style="2" customWidth="1"/>
    <col min="2554" max="2554" width="9.140625" style="2"/>
    <col min="2555" max="2555" width="4.85546875" style="2" customWidth="1"/>
    <col min="2556" max="2556" width="30.5703125" style="2" customWidth="1"/>
    <col min="2557" max="2557" width="33.85546875" style="2" customWidth="1"/>
    <col min="2558" max="2558" width="5.140625" style="2" customWidth="1"/>
    <col min="2559" max="2560" width="17.5703125" style="2" customWidth="1"/>
    <col min="2561" max="2804" width="9.140625" style="2"/>
    <col min="2805" max="2805" width="3.5703125" style="2" customWidth="1"/>
    <col min="2806" max="2806" width="96.85546875" style="2" customWidth="1"/>
    <col min="2807" max="2807" width="30.85546875" style="2" customWidth="1"/>
    <col min="2808" max="2808" width="12.5703125" style="2" customWidth="1"/>
    <col min="2809" max="2809" width="5.140625" style="2" customWidth="1"/>
    <col min="2810" max="2810" width="9.140625" style="2"/>
    <col min="2811" max="2811" width="4.85546875" style="2" customWidth="1"/>
    <col min="2812" max="2812" width="30.5703125" style="2" customWidth="1"/>
    <col min="2813" max="2813" width="33.85546875" style="2" customWidth="1"/>
    <col min="2814" max="2814" width="5.140625" style="2" customWidth="1"/>
    <col min="2815" max="2816" width="17.5703125" style="2" customWidth="1"/>
    <col min="2817" max="3060" width="9.140625" style="2"/>
    <col min="3061" max="3061" width="3.5703125" style="2" customWidth="1"/>
    <col min="3062" max="3062" width="96.85546875" style="2" customWidth="1"/>
    <col min="3063" max="3063" width="30.85546875" style="2" customWidth="1"/>
    <col min="3064" max="3064" width="12.5703125" style="2" customWidth="1"/>
    <col min="3065" max="3065" width="5.140625" style="2" customWidth="1"/>
    <col min="3066" max="3066" width="9.140625" style="2"/>
    <col min="3067" max="3067" width="4.85546875" style="2" customWidth="1"/>
    <col min="3068" max="3068" width="30.5703125" style="2" customWidth="1"/>
    <col min="3069" max="3069" width="33.85546875" style="2" customWidth="1"/>
    <col min="3070" max="3070" width="5.140625" style="2" customWidth="1"/>
    <col min="3071" max="3072" width="17.5703125" style="2" customWidth="1"/>
    <col min="3073" max="3316" width="9.140625" style="2"/>
    <col min="3317" max="3317" width="3.5703125" style="2" customWidth="1"/>
    <col min="3318" max="3318" width="96.85546875" style="2" customWidth="1"/>
    <col min="3319" max="3319" width="30.85546875" style="2" customWidth="1"/>
    <col min="3320" max="3320" width="12.5703125" style="2" customWidth="1"/>
    <col min="3321" max="3321" width="5.140625" style="2" customWidth="1"/>
    <col min="3322" max="3322" width="9.140625" style="2"/>
    <col min="3323" max="3323" width="4.85546875" style="2" customWidth="1"/>
    <col min="3324" max="3324" width="30.5703125" style="2" customWidth="1"/>
    <col min="3325" max="3325" width="33.85546875" style="2" customWidth="1"/>
    <col min="3326" max="3326" width="5.140625" style="2" customWidth="1"/>
    <col min="3327" max="3328" width="17.5703125" style="2" customWidth="1"/>
    <col min="3329" max="3572" width="9.140625" style="2"/>
    <col min="3573" max="3573" width="3.5703125" style="2" customWidth="1"/>
    <col min="3574" max="3574" width="96.85546875" style="2" customWidth="1"/>
    <col min="3575" max="3575" width="30.85546875" style="2" customWidth="1"/>
    <col min="3576" max="3576" width="12.5703125" style="2" customWidth="1"/>
    <col min="3577" max="3577" width="5.140625" style="2" customWidth="1"/>
    <col min="3578" max="3578" width="9.140625" style="2"/>
    <col min="3579" max="3579" width="4.85546875" style="2" customWidth="1"/>
    <col min="3580" max="3580" width="30.5703125" style="2" customWidth="1"/>
    <col min="3581" max="3581" width="33.85546875" style="2" customWidth="1"/>
    <col min="3582" max="3582" width="5.140625" style="2" customWidth="1"/>
    <col min="3583" max="3584" width="17.5703125" style="2" customWidth="1"/>
    <col min="3585" max="3828" width="9.140625" style="2"/>
    <col min="3829" max="3829" width="3.5703125" style="2" customWidth="1"/>
    <col min="3830" max="3830" width="96.85546875" style="2" customWidth="1"/>
    <col min="3831" max="3831" width="30.85546875" style="2" customWidth="1"/>
    <col min="3832" max="3832" width="12.5703125" style="2" customWidth="1"/>
    <col min="3833" max="3833" width="5.140625" style="2" customWidth="1"/>
    <col min="3834" max="3834" width="9.140625" style="2"/>
    <col min="3835" max="3835" width="4.85546875" style="2" customWidth="1"/>
    <col min="3836" max="3836" width="30.5703125" style="2" customWidth="1"/>
    <col min="3837" max="3837" width="33.85546875" style="2" customWidth="1"/>
    <col min="3838" max="3838" width="5.140625" style="2" customWidth="1"/>
    <col min="3839" max="3840" width="17.5703125" style="2" customWidth="1"/>
    <col min="3841" max="4084" width="9.140625" style="2"/>
    <col min="4085" max="4085" width="3.5703125" style="2" customWidth="1"/>
    <col min="4086" max="4086" width="96.85546875" style="2" customWidth="1"/>
    <col min="4087" max="4087" width="30.85546875" style="2" customWidth="1"/>
    <col min="4088" max="4088" width="12.5703125" style="2" customWidth="1"/>
    <col min="4089" max="4089" width="5.140625" style="2" customWidth="1"/>
    <col min="4090" max="4090" width="9.140625" style="2"/>
    <col min="4091" max="4091" width="4.85546875" style="2" customWidth="1"/>
    <col min="4092" max="4092" width="30.5703125" style="2" customWidth="1"/>
    <col min="4093" max="4093" width="33.85546875" style="2" customWidth="1"/>
    <col min="4094" max="4094" width="5.140625" style="2" customWidth="1"/>
    <col min="4095" max="4096" width="17.5703125" style="2" customWidth="1"/>
    <col min="4097" max="4340" width="9.140625" style="2"/>
    <col min="4341" max="4341" width="3.5703125" style="2" customWidth="1"/>
    <col min="4342" max="4342" width="96.85546875" style="2" customWidth="1"/>
    <col min="4343" max="4343" width="30.85546875" style="2" customWidth="1"/>
    <col min="4344" max="4344" width="12.5703125" style="2" customWidth="1"/>
    <col min="4345" max="4345" width="5.140625" style="2" customWidth="1"/>
    <col min="4346" max="4346" width="9.140625" style="2"/>
    <col min="4347" max="4347" width="4.85546875" style="2" customWidth="1"/>
    <col min="4348" max="4348" width="30.5703125" style="2" customWidth="1"/>
    <col min="4349" max="4349" width="33.85546875" style="2" customWidth="1"/>
    <col min="4350" max="4350" width="5.140625" style="2" customWidth="1"/>
    <col min="4351" max="4352" width="17.5703125" style="2" customWidth="1"/>
    <col min="4353" max="4596" width="9.140625" style="2"/>
    <col min="4597" max="4597" width="3.5703125" style="2" customWidth="1"/>
    <col min="4598" max="4598" width="96.85546875" style="2" customWidth="1"/>
    <col min="4599" max="4599" width="30.85546875" style="2" customWidth="1"/>
    <col min="4600" max="4600" width="12.5703125" style="2" customWidth="1"/>
    <col min="4601" max="4601" width="5.140625" style="2" customWidth="1"/>
    <col min="4602" max="4602" width="9.140625" style="2"/>
    <col min="4603" max="4603" width="4.85546875" style="2" customWidth="1"/>
    <col min="4604" max="4604" width="30.5703125" style="2" customWidth="1"/>
    <col min="4605" max="4605" width="33.85546875" style="2" customWidth="1"/>
    <col min="4606" max="4606" width="5.140625" style="2" customWidth="1"/>
    <col min="4607" max="4608" width="17.5703125" style="2" customWidth="1"/>
    <col min="4609" max="4852" width="9.140625" style="2"/>
    <col min="4853" max="4853" width="3.5703125" style="2" customWidth="1"/>
    <col min="4854" max="4854" width="96.85546875" style="2" customWidth="1"/>
    <col min="4855" max="4855" width="30.85546875" style="2" customWidth="1"/>
    <col min="4856" max="4856" width="12.5703125" style="2" customWidth="1"/>
    <col min="4857" max="4857" width="5.140625" style="2" customWidth="1"/>
    <col min="4858" max="4858" width="9.140625" style="2"/>
    <col min="4859" max="4859" width="4.85546875" style="2" customWidth="1"/>
    <col min="4860" max="4860" width="30.5703125" style="2" customWidth="1"/>
    <col min="4861" max="4861" width="33.85546875" style="2" customWidth="1"/>
    <col min="4862" max="4862" width="5.140625" style="2" customWidth="1"/>
    <col min="4863" max="4864" width="17.5703125" style="2" customWidth="1"/>
    <col min="4865" max="5108" width="9.140625" style="2"/>
    <col min="5109" max="5109" width="3.5703125" style="2" customWidth="1"/>
    <col min="5110" max="5110" width="96.85546875" style="2" customWidth="1"/>
    <col min="5111" max="5111" width="30.85546875" style="2" customWidth="1"/>
    <col min="5112" max="5112" width="12.5703125" style="2" customWidth="1"/>
    <col min="5113" max="5113" width="5.140625" style="2" customWidth="1"/>
    <col min="5114" max="5114" width="9.140625" style="2"/>
    <col min="5115" max="5115" width="4.85546875" style="2" customWidth="1"/>
    <col min="5116" max="5116" width="30.5703125" style="2" customWidth="1"/>
    <col min="5117" max="5117" width="33.85546875" style="2" customWidth="1"/>
    <col min="5118" max="5118" width="5.140625" style="2" customWidth="1"/>
    <col min="5119" max="5120" width="17.5703125" style="2" customWidth="1"/>
    <col min="5121" max="5364" width="9.140625" style="2"/>
    <col min="5365" max="5365" width="3.5703125" style="2" customWidth="1"/>
    <col min="5366" max="5366" width="96.85546875" style="2" customWidth="1"/>
    <col min="5367" max="5367" width="30.85546875" style="2" customWidth="1"/>
    <col min="5368" max="5368" width="12.5703125" style="2" customWidth="1"/>
    <col min="5369" max="5369" width="5.140625" style="2" customWidth="1"/>
    <col min="5370" max="5370" width="9.140625" style="2"/>
    <col min="5371" max="5371" width="4.85546875" style="2" customWidth="1"/>
    <col min="5372" max="5372" width="30.5703125" style="2" customWidth="1"/>
    <col min="5373" max="5373" width="33.85546875" style="2" customWidth="1"/>
    <col min="5374" max="5374" width="5.140625" style="2" customWidth="1"/>
    <col min="5375" max="5376" width="17.5703125" style="2" customWidth="1"/>
    <col min="5377" max="5620" width="9.140625" style="2"/>
    <col min="5621" max="5621" width="3.5703125" style="2" customWidth="1"/>
    <col min="5622" max="5622" width="96.85546875" style="2" customWidth="1"/>
    <col min="5623" max="5623" width="30.85546875" style="2" customWidth="1"/>
    <col min="5624" max="5624" width="12.5703125" style="2" customWidth="1"/>
    <col min="5625" max="5625" width="5.140625" style="2" customWidth="1"/>
    <col min="5626" max="5626" width="9.140625" style="2"/>
    <col min="5627" max="5627" width="4.85546875" style="2" customWidth="1"/>
    <col min="5628" max="5628" width="30.5703125" style="2" customWidth="1"/>
    <col min="5629" max="5629" width="33.85546875" style="2" customWidth="1"/>
    <col min="5630" max="5630" width="5.140625" style="2" customWidth="1"/>
    <col min="5631" max="5632" width="17.5703125" style="2" customWidth="1"/>
    <col min="5633" max="5876" width="9.140625" style="2"/>
    <col min="5877" max="5877" width="3.5703125" style="2" customWidth="1"/>
    <col min="5878" max="5878" width="96.85546875" style="2" customWidth="1"/>
    <col min="5879" max="5879" width="30.85546875" style="2" customWidth="1"/>
    <col min="5880" max="5880" width="12.5703125" style="2" customWidth="1"/>
    <col min="5881" max="5881" width="5.140625" style="2" customWidth="1"/>
    <col min="5882" max="5882" width="9.140625" style="2"/>
    <col min="5883" max="5883" width="4.85546875" style="2" customWidth="1"/>
    <col min="5884" max="5884" width="30.5703125" style="2" customWidth="1"/>
    <col min="5885" max="5885" width="33.85546875" style="2" customWidth="1"/>
    <col min="5886" max="5886" width="5.140625" style="2" customWidth="1"/>
    <col min="5887" max="5888" width="17.5703125" style="2" customWidth="1"/>
    <col min="5889" max="6132" width="9.140625" style="2"/>
    <col min="6133" max="6133" width="3.5703125" style="2" customWidth="1"/>
    <col min="6134" max="6134" width="96.85546875" style="2" customWidth="1"/>
    <col min="6135" max="6135" width="30.85546875" style="2" customWidth="1"/>
    <col min="6136" max="6136" width="12.5703125" style="2" customWidth="1"/>
    <col min="6137" max="6137" width="5.140625" style="2" customWidth="1"/>
    <col min="6138" max="6138" width="9.140625" style="2"/>
    <col min="6139" max="6139" width="4.85546875" style="2" customWidth="1"/>
    <col min="6140" max="6140" width="30.5703125" style="2" customWidth="1"/>
    <col min="6141" max="6141" width="33.85546875" style="2" customWidth="1"/>
    <col min="6142" max="6142" width="5.140625" style="2" customWidth="1"/>
    <col min="6143" max="6144" width="17.5703125" style="2" customWidth="1"/>
    <col min="6145" max="6388" width="9.140625" style="2"/>
    <col min="6389" max="6389" width="3.5703125" style="2" customWidth="1"/>
    <col min="6390" max="6390" width="96.85546875" style="2" customWidth="1"/>
    <col min="6391" max="6391" width="30.85546875" style="2" customWidth="1"/>
    <col min="6392" max="6392" width="12.5703125" style="2" customWidth="1"/>
    <col min="6393" max="6393" width="5.140625" style="2" customWidth="1"/>
    <col min="6394" max="6394" width="9.140625" style="2"/>
    <col min="6395" max="6395" width="4.85546875" style="2" customWidth="1"/>
    <col min="6396" max="6396" width="30.5703125" style="2" customWidth="1"/>
    <col min="6397" max="6397" width="33.85546875" style="2" customWidth="1"/>
    <col min="6398" max="6398" width="5.140625" style="2" customWidth="1"/>
    <col min="6399" max="6400" width="17.5703125" style="2" customWidth="1"/>
    <col min="6401" max="6644" width="9.140625" style="2"/>
    <col min="6645" max="6645" width="3.5703125" style="2" customWidth="1"/>
    <col min="6646" max="6646" width="96.85546875" style="2" customWidth="1"/>
    <col min="6647" max="6647" width="30.85546875" style="2" customWidth="1"/>
    <col min="6648" max="6648" width="12.5703125" style="2" customWidth="1"/>
    <col min="6649" max="6649" width="5.140625" style="2" customWidth="1"/>
    <col min="6650" max="6650" width="9.140625" style="2"/>
    <col min="6651" max="6651" width="4.85546875" style="2" customWidth="1"/>
    <col min="6652" max="6652" width="30.5703125" style="2" customWidth="1"/>
    <col min="6653" max="6653" width="33.85546875" style="2" customWidth="1"/>
    <col min="6654" max="6654" width="5.140625" style="2" customWidth="1"/>
    <col min="6655" max="6656" width="17.5703125" style="2" customWidth="1"/>
    <col min="6657" max="6900" width="9.140625" style="2"/>
    <col min="6901" max="6901" width="3.5703125" style="2" customWidth="1"/>
    <col min="6902" max="6902" width="96.85546875" style="2" customWidth="1"/>
    <col min="6903" max="6903" width="30.85546875" style="2" customWidth="1"/>
    <col min="6904" max="6904" width="12.5703125" style="2" customWidth="1"/>
    <col min="6905" max="6905" width="5.140625" style="2" customWidth="1"/>
    <col min="6906" max="6906" width="9.140625" style="2"/>
    <col min="6907" max="6907" width="4.85546875" style="2" customWidth="1"/>
    <col min="6908" max="6908" width="30.5703125" style="2" customWidth="1"/>
    <col min="6909" max="6909" width="33.85546875" style="2" customWidth="1"/>
    <col min="6910" max="6910" width="5.140625" style="2" customWidth="1"/>
    <col min="6911" max="6912" width="17.5703125" style="2" customWidth="1"/>
    <col min="6913" max="7156" width="9.140625" style="2"/>
    <col min="7157" max="7157" width="3.5703125" style="2" customWidth="1"/>
    <col min="7158" max="7158" width="96.85546875" style="2" customWidth="1"/>
    <col min="7159" max="7159" width="30.85546875" style="2" customWidth="1"/>
    <col min="7160" max="7160" width="12.5703125" style="2" customWidth="1"/>
    <col min="7161" max="7161" width="5.140625" style="2" customWidth="1"/>
    <col min="7162" max="7162" width="9.140625" style="2"/>
    <col min="7163" max="7163" width="4.85546875" style="2" customWidth="1"/>
    <col min="7164" max="7164" width="30.5703125" style="2" customWidth="1"/>
    <col min="7165" max="7165" width="33.85546875" style="2" customWidth="1"/>
    <col min="7166" max="7166" width="5.140625" style="2" customWidth="1"/>
    <col min="7167" max="7168" width="17.5703125" style="2" customWidth="1"/>
    <col min="7169" max="7412" width="9.140625" style="2"/>
    <col min="7413" max="7413" width="3.5703125" style="2" customWidth="1"/>
    <col min="7414" max="7414" width="96.85546875" style="2" customWidth="1"/>
    <col min="7415" max="7415" width="30.85546875" style="2" customWidth="1"/>
    <col min="7416" max="7416" width="12.5703125" style="2" customWidth="1"/>
    <col min="7417" max="7417" width="5.140625" style="2" customWidth="1"/>
    <col min="7418" max="7418" width="9.140625" style="2"/>
    <col min="7419" max="7419" width="4.85546875" style="2" customWidth="1"/>
    <col min="7420" max="7420" width="30.5703125" style="2" customWidth="1"/>
    <col min="7421" max="7421" width="33.85546875" style="2" customWidth="1"/>
    <col min="7422" max="7422" width="5.140625" style="2" customWidth="1"/>
    <col min="7423" max="7424" width="17.5703125" style="2" customWidth="1"/>
    <col min="7425" max="7668" width="9.140625" style="2"/>
    <col min="7669" max="7669" width="3.5703125" style="2" customWidth="1"/>
    <col min="7670" max="7670" width="96.85546875" style="2" customWidth="1"/>
    <col min="7671" max="7671" width="30.85546875" style="2" customWidth="1"/>
    <col min="7672" max="7672" width="12.5703125" style="2" customWidth="1"/>
    <col min="7673" max="7673" width="5.140625" style="2" customWidth="1"/>
    <col min="7674" max="7674" width="9.140625" style="2"/>
    <col min="7675" max="7675" width="4.85546875" style="2" customWidth="1"/>
    <col min="7676" max="7676" width="30.5703125" style="2" customWidth="1"/>
    <col min="7677" max="7677" width="33.85546875" style="2" customWidth="1"/>
    <col min="7678" max="7678" width="5.140625" style="2" customWidth="1"/>
    <col min="7679" max="7680" width="17.5703125" style="2" customWidth="1"/>
    <col min="7681" max="7924" width="9.140625" style="2"/>
    <col min="7925" max="7925" width="3.5703125" style="2" customWidth="1"/>
    <col min="7926" max="7926" width="96.85546875" style="2" customWidth="1"/>
    <col min="7927" max="7927" width="30.85546875" style="2" customWidth="1"/>
    <col min="7928" max="7928" width="12.5703125" style="2" customWidth="1"/>
    <col min="7929" max="7929" width="5.140625" style="2" customWidth="1"/>
    <col min="7930" max="7930" width="9.140625" style="2"/>
    <col min="7931" max="7931" width="4.85546875" style="2" customWidth="1"/>
    <col min="7932" max="7932" width="30.5703125" style="2" customWidth="1"/>
    <col min="7933" max="7933" width="33.85546875" style="2" customWidth="1"/>
    <col min="7934" max="7934" width="5.140625" style="2" customWidth="1"/>
    <col min="7935" max="7936" width="17.5703125" style="2" customWidth="1"/>
    <col min="7937" max="8180" width="9.140625" style="2"/>
    <col min="8181" max="8181" width="3.5703125" style="2" customWidth="1"/>
    <col min="8182" max="8182" width="96.85546875" style="2" customWidth="1"/>
    <col min="8183" max="8183" width="30.85546875" style="2" customWidth="1"/>
    <col min="8184" max="8184" width="12.5703125" style="2" customWidth="1"/>
    <col min="8185" max="8185" width="5.140625" style="2" customWidth="1"/>
    <col min="8186" max="8186" width="9.140625" style="2"/>
    <col min="8187" max="8187" width="4.85546875" style="2" customWidth="1"/>
    <col min="8188" max="8188" width="30.5703125" style="2" customWidth="1"/>
    <col min="8189" max="8189" width="33.85546875" style="2" customWidth="1"/>
    <col min="8190" max="8190" width="5.140625" style="2" customWidth="1"/>
    <col min="8191" max="8192" width="17.5703125" style="2" customWidth="1"/>
    <col min="8193" max="8436" width="9.140625" style="2"/>
    <col min="8437" max="8437" width="3.5703125" style="2" customWidth="1"/>
    <col min="8438" max="8438" width="96.85546875" style="2" customWidth="1"/>
    <col min="8439" max="8439" width="30.85546875" style="2" customWidth="1"/>
    <col min="8440" max="8440" width="12.5703125" style="2" customWidth="1"/>
    <col min="8441" max="8441" width="5.140625" style="2" customWidth="1"/>
    <col min="8442" max="8442" width="9.140625" style="2"/>
    <col min="8443" max="8443" width="4.85546875" style="2" customWidth="1"/>
    <col min="8444" max="8444" width="30.5703125" style="2" customWidth="1"/>
    <col min="8445" max="8445" width="33.85546875" style="2" customWidth="1"/>
    <col min="8446" max="8446" width="5.140625" style="2" customWidth="1"/>
    <col min="8447" max="8448" width="17.5703125" style="2" customWidth="1"/>
    <col min="8449" max="8692" width="9.140625" style="2"/>
    <col min="8693" max="8693" width="3.5703125" style="2" customWidth="1"/>
    <col min="8694" max="8694" width="96.85546875" style="2" customWidth="1"/>
    <col min="8695" max="8695" width="30.85546875" style="2" customWidth="1"/>
    <col min="8696" max="8696" width="12.5703125" style="2" customWidth="1"/>
    <col min="8697" max="8697" width="5.140625" style="2" customWidth="1"/>
    <col min="8698" max="8698" width="9.140625" style="2"/>
    <col min="8699" max="8699" width="4.85546875" style="2" customWidth="1"/>
    <col min="8700" max="8700" width="30.5703125" style="2" customWidth="1"/>
    <col min="8701" max="8701" width="33.85546875" style="2" customWidth="1"/>
    <col min="8702" max="8702" width="5.140625" style="2" customWidth="1"/>
    <col min="8703" max="8704" width="17.5703125" style="2" customWidth="1"/>
    <col min="8705" max="8948" width="9.140625" style="2"/>
    <col min="8949" max="8949" width="3.5703125" style="2" customWidth="1"/>
    <col min="8950" max="8950" width="96.85546875" style="2" customWidth="1"/>
    <col min="8951" max="8951" width="30.85546875" style="2" customWidth="1"/>
    <col min="8952" max="8952" width="12.5703125" style="2" customWidth="1"/>
    <col min="8953" max="8953" width="5.140625" style="2" customWidth="1"/>
    <col min="8954" max="8954" width="9.140625" style="2"/>
    <col min="8955" max="8955" width="4.85546875" style="2" customWidth="1"/>
    <col min="8956" max="8956" width="30.5703125" style="2" customWidth="1"/>
    <col min="8957" max="8957" width="33.85546875" style="2" customWidth="1"/>
    <col min="8958" max="8958" width="5.140625" style="2" customWidth="1"/>
    <col min="8959" max="8960" width="17.5703125" style="2" customWidth="1"/>
    <col min="8961" max="9204" width="9.140625" style="2"/>
    <col min="9205" max="9205" width="3.5703125" style="2" customWidth="1"/>
    <col min="9206" max="9206" width="96.85546875" style="2" customWidth="1"/>
    <col min="9207" max="9207" width="30.85546875" style="2" customWidth="1"/>
    <col min="9208" max="9208" width="12.5703125" style="2" customWidth="1"/>
    <col min="9209" max="9209" width="5.140625" style="2" customWidth="1"/>
    <col min="9210" max="9210" width="9.140625" style="2"/>
    <col min="9211" max="9211" width="4.85546875" style="2" customWidth="1"/>
    <col min="9212" max="9212" width="30.5703125" style="2" customWidth="1"/>
    <col min="9213" max="9213" width="33.85546875" style="2" customWidth="1"/>
    <col min="9214" max="9214" width="5.140625" style="2" customWidth="1"/>
    <col min="9215" max="9216" width="17.5703125" style="2" customWidth="1"/>
    <col min="9217" max="9460" width="9.140625" style="2"/>
    <col min="9461" max="9461" width="3.5703125" style="2" customWidth="1"/>
    <col min="9462" max="9462" width="96.85546875" style="2" customWidth="1"/>
    <col min="9463" max="9463" width="30.85546875" style="2" customWidth="1"/>
    <col min="9464" max="9464" width="12.5703125" style="2" customWidth="1"/>
    <col min="9465" max="9465" width="5.140625" style="2" customWidth="1"/>
    <col min="9466" max="9466" width="9.140625" style="2"/>
    <col min="9467" max="9467" width="4.85546875" style="2" customWidth="1"/>
    <col min="9468" max="9468" width="30.5703125" style="2" customWidth="1"/>
    <col min="9469" max="9469" width="33.85546875" style="2" customWidth="1"/>
    <col min="9470" max="9470" width="5.140625" style="2" customWidth="1"/>
    <col min="9471" max="9472" width="17.5703125" style="2" customWidth="1"/>
    <col min="9473" max="9716" width="9.140625" style="2"/>
    <col min="9717" max="9717" width="3.5703125" style="2" customWidth="1"/>
    <col min="9718" max="9718" width="96.85546875" style="2" customWidth="1"/>
    <col min="9719" max="9719" width="30.85546875" style="2" customWidth="1"/>
    <col min="9720" max="9720" width="12.5703125" style="2" customWidth="1"/>
    <col min="9721" max="9721" width="5.140625" style="2" customWidth="1"/>
    <col min="9722" max="9722" width="9.140625" style="2"/>
    <col min="9723" max="9723" width="4.85546875" style="2" customWidth="1"/>
    <col min="9724" max="9724" width="30.5703125" style="2" customWidth="1"/>
    <col min="9725" max="9725" width="33.85546875" style="2" customWidth="1"/>
    <col min="9726" max="9726" width="5.140625" style="2" customWidth="1"/>
    <col min="9727" max="9728" width="17.5703125" style="2" customWidth="1"/>
    <col min="9729" max="9972" width="9.140625" style="2"/>
    <col min="9973" max="9973" width="3.5703125" style="2" customWidth="1"/>
    <col min="9974" max="9974" width="96.85546875" style="2" customWidth="1"/>
    <col min="9975" max="9975" width="30.85546875" style="2" customWidth="1"/>
    <col min="9976" max="9976" width="12.5703125" style="2" customWidth="1"/>
    <col min="9977" max="9977" width="5.140625" style="2" customWidth="1"/>
    <col min="9978" max="9978" width="9.140625" style="2"/>
    <col min="9979" max="9979" width="4.85546875" style="2" customWidth="1"/>
    <col min="9980" max="9980" width="30.5703125" style="2" customWidth="1"/>
    <col min="9981" max="9981" width="33.85546875" style="2" customWidth="1"/>
    <col min="9982" max="9982" width="5.140625" style="2" customWidth="1"/>
    <col min="9983" max="9984" width="17.5703125" style="2" customWidth="1"/>
    <col min="9985" max="10228" width="9.140625" style="2"/>
    <col min="10229" max="10229" width="3.5703125" style="2" customWidth="1"/>
    <col min="10230" max="10230" width="96.85546875" style="2" customWidth="1"/>
    <col min="10231" max="10231" width="30.85546875" style="2" customWidth="1"/>
    <col min="10232" max="10232" width="12.5703125" style="2" customWidth="1"/>
    <col min="10233" max="10233" width="5.140625" style="2" customWidth="1"/>
    <col min="10234" max="10234" width="9.140625" style="2"/>
    <col min="10235" max="10235" width="4.85546875" style="2" customWidth="1"/>
    <col min="10236" max="10236" width="30.5703125" style="2" customWidth="1"/>
    <col min="10237" max="10237" width="33.85546875" style="2" customWidth="1"/>
    <col min="10238" max="10238" width="5.140625" style="2" customWidth="1"/>
    <col min="10239" max="10240" width="17.5703125" style="2" customWidth="1"/>
    <col min="10241" max="10484" width="9.140625" style="2"/>
    <col min="10485" max="10485" width="3.5703125" style="2" customWidth="1"/>
    <col min="10486" max="10486" width="96.85546875" style="2" customWidth="1"/>
    <col min="10487" max="10487" width="30.85546875" style="2" customWidth="1"/>
    <col min="10488" max="10488" width="12.5703125" style="2" customWidth="1"/>
    <col min="10489" max="10489" width="5.140625" style="2" customWidth="1"/>
    <col min="10490" max="10490" width="9.140625" style="2"/>
    <col min="10491" max="10491" width="4.85546875" style="2" customWidth="1"/>
    <col min="10492" max="10492" width="30.5703125" style="2" customWidth="1"/>
    <col min="10493" max="10493" width="33.85546875" style="2" customWidth="1"/>
    <col min="10494" max="10494" width="5.140625" style="2" customWidth="1"/>
    <col min="10495" max="10496" width="17.5703125" style="2" customWidth="1"/>
    <col min="10497" max="10740" width="9.140625" style="2"/>
    <col min="10741" max="10741" width="3.5703125" style="2" customWidth="1"/>
    <col min="10742" max="10742" width="96.85546875" style="2" customWidth="1"/>
    <col min="10743" max="10743" width="30.85546875" style="2" customWidth="1"/>
    <col min="10744" max="10744" width="12.5703125" style="2" customWidth="1"/>
    <col min="10745" max="10745" width="5.140625" style="2" customWidth="1"/>
    <col min="10746" max="10746" width="9.140625" style="2"/>
    <col min="10747" max="10747" width="4.85546875" style="2" customWidth="1"/>
    <col min="10748" max="10748" width="30.5703125" style="2" customWidth="1"/>
    <col min="10749" max="10749" width="33.85546875" style="2" customWidth="1"/>
    <col min="10750" max="10750" width="5.140625" style="2" customWidth="1"/>
    <col min="10751" max="10752" width="17.5703125" style="2" customWidth="1"/>
    <col min="10753" max="10996" width="9.140625" style="2"/>
    <col min="10997" max="10997" width="3.5703125" style="2" customWidth="1"/>
    <col min="10998" max="10998" width="96.85546875" style="2" customWidth="1"/>
    <col min="10999" max="10999" width="30.85546875" style="2" customWidth="1"/>
    <col min="11000" max="11000" width="12.5703125" style="2" customWidth="1"/>
    <col min="11001" max="11001" width="5.140625" style="2" customWidth="1"/>
    <col min="11002" max="11002" width="9.140625" style="2"/>
    <col min="11003" max="11003" width="4.85546875" style="2" customWidth="1"/>
    <col min="11004" max="11004" width="30.5703125" style="2" customWidth="1"/>
    <col min="11005" max="11005" width="33.85546875" style="2" customWidth="1"/>
    <col min="11006" max="11006" width="5.140625" style="2" customWidth="1"/>
    <col min="11007" max="11008" width="17.5703125" style="2" customWidth="1"/>
    <col min="11009" max="11252" width="9.140625" style="2"/>
    <col min="11253" max="11253" width="3.5703125" style="2" customWidth="1"/>
    <col min="11254" max="11254" width="96.85546875" style="2" customWidth="1"/>
    <col min="11255" max="11255" width="30.85546875" style="2" customWidth="1"/>
    <col min="11256" max="11256" width="12.5703125" style="2" customWidth="1"/>
    <col min="11257" max="11257" width="5.140625" style="2" customWidth="1"/>
    <col min="11258" max="11258" width="9.140625" style="2"/>
    <col min="11259" max="11259" width="4.85546875" style="2" customWidth="1"/>
    <col min="11260" max="11260" width="30.5703125" style="2" customWidth="1"/>
    <col min="11261" max="11261" width="33.85546875" style="2" customWidth="1"/>
    <col min="11262" max="11262" width="5.140625" style="2" customWidth="1"/>
    <col min="11263" max="11264" width="17.5703125" style="2" customWidth="1"/>
    <col min="11265" max="11508" width="9.140625" style="2"/>
    <col min="11509" max="11509" width="3.5703125" style="2" customWidth="1"/>
    <col min="11510" max="11510" width="96.85546875" style="2" customWidth="1"/>
    <col min="11511" max="11511" width="30.85546875" style="2" customWidth="1"/>
    <col min="11512" max="11512" width="12.5703125" style="2" customWidth="1"/>
    <col min="11513" max="11513" width="5.140625" style="2" customWidth="1"/>
    <col min="11514" max="11514" width="9.140625" style="2"/>
    <col min="11515" max="11515" width="4.85546875" style="2" customWidth="1"/>
    <col min="11516" max="11516" width="30.5703125" style="2" customWidth="1"/>
    <col min="11517" max="11517" width="33.85546875" style="2" customWidth="1"/>
    <col min="11518" max="11518" width="5.140625" style="2" customWidth="1"/>
    <col min="11519" max="11520" width="17.5703125" style="2" customWidth="1"/>
    <col min="11521" max="11764" width="9.140625" style="2"/>
    <col min="11765" max="11765" width="3.5703125" style="2" customWidth="1"/>
    <col min="11766" max="11766" width="96.85546875" style="2" customWidth="1"/>
    <col min="11767" max="11767" width="30.85546875" style="2" customWidth="1"/>
    <col min="11768" max="11768" width="12.5703125" style="2" customWidth="1"/>
    <col min="11769" max="11769" width="5.140625" style="2" customWidth="1"/>
    <col min="11770" max="11770" width="9.140625" style="2"/>
    <col min="11771" max="11771" width="4.85546875" style="2" customWidth="1"/>
    <col min="11772" max="11772" width="30.5703125" style="2" customWidth="1"/>
    <col min="11773" max="11773" width="33.85546875" style="2" customWidth="1"/>
    <col min="11774" max="11774" width="5.140625" style="2" customWidth="1"/>
    <col min="11775" max="11776" width="17.5703125" style="2" customWidth="1"/>
    <col min="11777" max="12020" width="9.140625" style="2"/>
    <col min="12021" max="12021" width="3.5703125" style="2" customWidth="1"/>
    <col min="12022" max="12022" width="96.85546875" style="2" customWidth="1"/>
    <col min="12023" max="12023" width="30.85546875" style="2" customWidth="1"/>
    <col min="12024" max="12024" width="12.5703125" style="2" customWidth="1"/>
    <col min="12025" max="12025" width="5.140625" style="2" customWidth="1"/>
    <col min="12026" max="12026" width="9.140625" style="2"/>
    <col min="12027" max="12027" width="4.85546875" style="2" customWidth="1"/>
    <col min="12028" max="12028" width="30.5703125" style="2" customWidth="1"/>
    <col min="12029" max="12029" width="33.85546875" style="2" customWidth="1"/>
    <col min="12030" max="12030" width="5.140625" style="2" customWidth="1"/>
    <col min="12031" max="12032" width="17.5703125" style="2" customWidth="1"/>
    <col min="12033" max="12276" width="9.140625" style="2"/>
    <col min="12277" max="12277" width="3.5703125" style="2" customWidth="1"/>
    <col min="12278" max="12278" width="96.85546875" style="2" customWidth="1"/>
    <col min="12279" max="12279" width="30.85546875" style="2" customWidth="1"/>
    <col min="12280" max="12280" width="12.5703125" style="2" customWidth="1"/>
    <col min="12281" max="12281" width="5.140625" style="2" customWidth="1"/>
    <col min="12282" max="12282" width="9.140625" style="2"/>
    <col min="12283" max="12283" width="4.85546875" style="2" customWidth="1"/>
    <col min="12284" max="12284" width="30.5703125" style="2" customWidth="1"/>
    <col min="12285" max="12285" width="33.85546875" style="2" customWidth="1"/>
    <col min="12286" max="12286" width="5.140625" style="2" customWidth="1"/>
    <col min="12287" max="12288" width="17.5703125" style="2" customWidth="1"/>
    <col min="12289" max="12532" width="9.140625" style="2"/>
    <col min="12533" max="12533" width="3.5703125" style="2" customWidth="1"/>
    <col min="12534" max="12534" width="96.85546875" style="2" customWidth="1"/>
    <col min="12535" max="12535" width="30.85546875" style="2" customWidth="1"/>
    <col min="12536" max="12536" width="12.5703125" style="2" customWidth="1"/>
    <col min="12537" max="12537" width="5.140625" style="2" customWidth="1"/>
    <col min="12538" max="12538" width="9.140625" style="2"/>
    <col min="12539" max="12539" width="4.85546875" style="2" customWidth="1"/>
    <col min="12540" max="12540" width="30.5703125" style="2" customWidth="1"/>
    <col min="12541" max="12541" width="33.85546875" style="2" customWidth="1"/>
    <col min="12542" max="12542" width="5.140625" style="2" customWidth="1"/>
    <col min="12543" max="12544" width="17.5703125" style="2" customWidth="1"/>
    <col min="12545" max="12788" width="9.140625" style="2"/>
    <col min="12789" max="12789" width="3.5703125" style="2" customWidth="1"/>
    <col min="12790" max="12790" width="96.85546875" style="2" customWidth="1"/>
    <col min="12791" max="12791" width="30.85546875" style="2" customWidth="1"/>
    <col min="12792" max="12792" width="12.5703125" style="2" customWidth="1"/>
    <col min="12793" max="12793" width="5.140625" style="2" customWidth="1"/>
    <col min="12794" max="12794" width="9.140625" style="2"/>
    <col min="12795" max="12795" width="4.85546875" style="2" customWidth="1"/>
    <col min="12796" max="12796" width="30.5703125" style="2" customWidth="1"/>
    <col min="12797" max="12797" width="33.85546875" style="2" customWidth="1"/>
    <col min="12798" max="12798" width="5.140625" style="2" customWidth="1"/>
    <col min="12799" max="12800" width="17.5703125" style="2" customWidth="1"/>
    <col min="12801" max="13044" width="9.140625" style="2"/>
    <col min="13045" max="13045" width="3.5703125" style="2" customWidth="1"/>
    <col min="13046" max="13046" width="96.85546875" style="2" customWidth="1"/>
    <col min="13047" max="13047" width="30.85546875" style="2" customWidth="1"/>
    <col min="13048" max="13048" width="12.5703125" style="2" customWidth="1"/>
    <col min="13049" max="13049" width="5.140625" style="2" customWidth="1"/>
    <col min="13050" max="13050" width="9.140625" style="2"/>
    <col min="13051" max="13051" width="4.85546875" style="2" customWidth="1"/>
    <col min="13052" max="13052" width="30.5703125" style="2" customWidth="1"/>
    <col min="13053" max="13053" width="33.85546875" style="2" customWidth="1"/>
    <col min="13054" max="13054" width="5.140625" style="2" customWidth="1"/>
    <col min="13055" max="13056" width="17.5703125" style="2" customWidth="1"/>
    <col min="13057" max="13300" width="9.140625" style="2"/>
    <col min="13301" max="13301" width="3.5703125" style="2" customWidth="1"/>
    <col min="13302" max="13302" width="96.85546875" style="2" customWidth="1"/>
    <col min="13303" max="13303" width="30.85546875" style="2" customWidth="1"/>
    <col min="13304" max="13304" width="12.5703125" style="2" customWidth="1"/>
    <col min="13305" max="13305" width="5.140625" style="2" customWidth="1"/>
    <col min="13306" max="13306" width="9.140625" style="2"/>
    <col min="13307" max="13307" width="4.85546875" style="2" customWidth="1"/>
    <col min="13308" max="13308" width="30.5703125" style="2" customWidth="1"/>
    <col min="13309" max="13309" width="33.85546875" style="2" customWidth="1"/>
    <col min="13310" max="13310" width="5.140625" style="2" customWidth="1"/>
    <col min="13311" max="13312" width="17.5703125" style="2" customWidth="1"/>
    <col min="13313" max="13556" width="9.140625" style="2"/>
    <col min="13557" max="13557" width="3.5703125" style="2" customWidth="1"/>
    <col min="13558" max="13558" width="96.85546875" style="2" customWidth="1"/>
    <col min="13559" max="13559" width="30.85546875" style="2" customWidth="1"/>
    <col min="13560" max="13560" width="12.5703125" style="2" customWidth="1"/>
    <col min="13561" max="13561" width="5.140625" style="2" customWidth="1"/>
    <col min="13562" max="13562" width="9.140625" style="2"/>
    <col min="13563" max="13563" width="4.85546875" style="2" customWidth="1"/>
    <col min="13564" max="13564" width="30.5703125" style="2" customWidth="1"/>
    <col min="13565" max="13565" width="33.85546875" style="2" customWidth="1"/>
    <col min="13566" max="13566" width="5.140625" style="2" customWidth="1"/>
    <col min="13567" max="13568" width="17.5703125" style="2" customWidth="1"/>
    <col min="13569" max="13812" width="9.140625" style="2"/>
    <col min="13813" max="13813" width="3.5703125" style="2" customWidth="1"/>
    <col min="13814" max="13814" width="96.85546875" style="2" customWidth="1"/>
    <col min="13815" max="13815" width="30.85546875" style="2" customWidth="1"/>
    <col min="13816" max="13816" width="12.5703125" style="2" customWidth="1"/>
    <col min="13817" max="13817" width="5.140625" style="2" customWidth="1"/>
    <col min="13818" max="13818" width="9.140625" style="2"/>
    <col min="13819" max="13819" width="4.85546875" style="2" customWidth="1"/>
    <col min="13820" max="13820" width="30.5703125" style="2" customWidth="1"/>
    <col min="13821" max="13821" width="33.85546875" style="2" customWidth="1"/>
    <col min="13822" max="13822" width="5.140625" style="2" customWidth="1"/>
    <col min="13823" max="13824" width="17.5703125" style="2" customWidth="1"/>
    <col min="13825" max="14068" width="9.140625" style="2"/>
    <col min="14069" max="14069" width="3.5703125" style="2" customWidth="1"/>
    <col min="14070" max="14070" width="96.85546875" style="2" customWidth="1"/>
    <col min="14071" max="14071" width="30.85546875" style="2" customWidth="1"/>
    <col min="14072" max="14072" width="12.5703125" style="2" customWidth="1"/>
    <col min="14073" max="14073" width="5.140625" style="2" customWidth="1"/>
    <col min="14074" max="14074" width="9.140625" style="2"/>
    <col min="14075" max="14075" width="4.85546875" style="2" customWidth="1"/>
    <col min="14076" max="14076" width="30.5703125" style="2" customWidth="1"/>
    <col min="14077" max="14077" width="33.85546875" style="2" customWidth="1"/>
    <col min="14078" max="14078" width="5.140625" style="2" customWidth="1"/>
    <col min="14079" max="14080" width="17.5703125" style="2" customWidth="1"/>
    <col min="14081" max="14324" width="9.140625" style="2"/>
    <col min="14325" max="14325" width="3.5703125" style="2" customWidth="1"/>
    <col min="14326" max="14326" width="96.85546875" style="2" customWidth="1"/>
    <col min="14327" max="14327" width="30.85546875" style="2" customWidth="1"/>
    <col min="14328" max="14328" width="12.5703125" style="2" customWidth="1"/>
    <col min="14329" max="14329" width="5.140625" style="2" customWidth="1"/>
    <col min="14330" max="14330" width="9.140625" style="2"/>
    <col min="14331" max="14331" width="4.85546875" style="2" customWidth="1"/>
    <col min="14332" max="14332" width="30.5703125" style="2" customWidth="1"/>
    <col min="14333" max="14333" width="33.85546875" style="2" customWidth="1"/>
    <col min="14334" max="14334" width="5.140625" style="2" customWidth="1"/>
    <col min="14335" max="14336" width="17.5703125" style="2" customWidth="1"/>
    <col min="14337" max="14580" width="9.140625" style="2"/>
    <col min="14581" max="14581" width="3.5703125" style="2" customWidth="1"/>
    <col min="14582" max="14582" width="96.85546875" style="2" customWidth="1"/>
    <col min="14583" max="14583" width="30.85546875" style="2" customWidth="1"/>
    <col min="14584" max="14584" width="12.5703125" style="2" customWidth="1"/>
    <col min="14585" max="14585" width="5.140625" style="2" customWidth="1"/>
    <col min="14586" max="14586" width="9.140625" style="2"/>
    <col min="14587" max="14587" width="4.85546875" style="2" customWidth="1"/>
    <col min="14588" max="14588" width="30.5703125" style="2" customWidth="1"/>
    <col min="14589" max="14589" width="33.85546875" style="2" customWidth="1"/>
    <col min="14590" max="14590" width="5.140625" style="2" customWidth="1"/>
    <col min="14591" max="14592" width="17.5703125" style="2" customWidth="1"/>
    <col min="14593" max="14836" width="9.140625" style="2"/>
    <col min="14837" max="14837" width="3.5703125" style="2" customWidth="1"/>
    <col min="14838" max="14838" width="96.85546875" style="2" customWidth="1"/>
    <col min="14839" max="14839" width="30.85546875" style="2" customWidth="1"/>
    <col min="14840" max="14840" width="12.5703125" style="2" customWidth="1"/>
    <col min="14841" max="14841" width="5.140625" style="2" customWidth="1"/>
    <col min="14842" max="14842" width="9.140625" style="2"/>
    <col min="14843" max="14843" width="4.85546875" style="2" customWidth="1"/>
    <col min="14844" max="14844" width="30.5703125" style="2" customWidth="1"/>
    <col min="14845" max="14845" width="33.85546875" style="2" customWidth="1"/>
    <col min="14846" max="14846" width="5.140625" style="2" customWidth="1"/>
    <col min="14847" max="14848" width="17.5703125" style="2" customWidth="1"/>
    <col min="14849" max="15092" width="9.140625" style="2"/>
    <col min="15093" max="15093" width="3.5703125" style="2" customWidth="1"/>
    <col min="15094" max="15094" width="96.85546875" style="2" customWidth="1"/>
    <col min="15095" max="15095" width="30.85546875" style="2" customWidth="1"/>
    <col min="15096" max="15096" width="12.5703125" style="2" customWidth="1"/>
    <col min="15097" max="15097" width="5.140625" style="2" customWidth="1"/>
    <col min="15098" max="15098" width="9.140625" style="2"/>
    <col min="15099" max="15099" width="4.85546875" style="2" customWidth="1"/>
    <col min="15100" max="15100" width="30.5703125" style="2" customWidth="1"/>
    <col min="15101" max="15101" width="33.85546875" style="2" customWidth="1"/>
    <col min="15102" max="15102" width="5.140625" style="2" customWidth="1"/>
    <col min="15103" max="15104" width="17.5703125" style="2" customWidth="1"/>
    <col min="15105" max="15348" width="9.140625" style="2"/>
    <col min="15349" max="15349" width="3.5703125" style="2" customWidth="1"/>
    <col min="15350" max="15350" width="96.85546875" style="2" customWidth="1"/>
    <col min="15351" max="15351" width="30.85546875" style="2" customWidth="1"/>
    <col min="15352" max="15352" width="12.5703125" style="2" customWidth="1"/>
    <col min="15353" max="15353" width="5.140625" style="2" customWidth="1"/>
    <col min="15354" max="15354" width="9.140625" style="2"/>
    <col min="15355" max="15355" width="4.85546875" style="2" customWidth="1"/>
    <col min="15356" max="15356" width="30.5703125" style="2" customWidth="1"/>
    <col min="15357" max="15357" width="33.85546875" style="2" customWidth="1"/>
    <col min="15358" max="15358" width="5.140625" style="2" customWidth="1"/>
    <col min="15359" max="15360" width="17.5703125" style="2" customWidth="1"/>
    <col min="15361" max="15604" width="9.140625" style="2"/>
    <col min="15605" max="15605" width="3.5703125" style="2" customWidth="1"/>
    <col min="15606" max="15606" width="96.85546875" style="2" customWidth="1"/>
    <col min="15607" max="15607" width="30.85546875" style="2" customWidth="1"/>
    <col min="15608" max="15608" width="12.5703125" style="2" customWidth="1"/>
    <col min="15609" max="15609" width="5.140625" style="2" customWidth="1"/>
    <col min="15610" max="15610" width="9.140625" style="2"/>
    <col min="15611" max="15611" width="4.85546875" style="2" customWidth="1"/>
    <col min="15612" max="15612" width="30.5703125" style="2" customWidth="1"/>
    <col min="15613" max="15613" width="33.85546875" style="2" customWidth="1"/>
    <col min="15614" max="15614" width="5.140625" style="2" customWidth="1"/>
    <col min="15615" max="15616" width="17.5703125" style="2" customWidth="1"/>
    <col min="15617" max="15860" width="9.140625" style="2"/>
    <col min="15861" max="15861" width="3.5703125" style="2" customWidth="1"/>
    <col min="15862" max="15862" width="96.85546875" style="2" customWidth="1"/>
    <col min="15863" max="15863" width="30.85546875" style="2" customWidth="1"/>
    <col min="15864" max="15864" width="12.5703125" style="2" customWidth="1"/>
    <col min="15865" max="15865" width="5.140625" style="2" customWidth="1"/>
    <col min="15866" max="15866" width="9.140625" style="2"/>
    <col min="15867" max="15867" width="4.85546875" style="2" customWidth="1"/>
    <col min="15868" max="15868" width="30.5703125" style="2" customWidth="1"/>
    <col min="15869" max="15869" width="33.85546875" style="2" customWidth="1"/>
    <col min="15870" max="15870" width="5.140625" style="2" customWidth="1"/>
    <col min="15871" max="15872" width="17.5703125" style="2" customWidth="1"/>
    <col min="15873" max="16116" width="9.140625" style="2"/>
    <col min="16117" max="16117" width="3.5703125" style="2" customWidth="1"/>
    <col min="16118" max="16118" width="96.85546875" style="2" customWidth="1"/>
    <col min="16119" max="16119" width="30.85546875" style="2" customWidth="1"/>
    <col min="16120" max="16120" width="12.5703125" style="2" customWidth="1"/>
    <col min="16121" max="16121" width="5.140625" style="2" customWidth="1"/>
    <col min="16122" max="16122" width="9.140625" style="2"/>
    <col min="16123" max="16123" width="4.85546875" style="2" customWidth="1"/>
    <col min="16124" max="16124" width="30.5703125" style="2" customWidth="1"/>
    <col min="16125" max="16125" width="33.85546875" style="2" customWidth="1"/>
    <col min="16126" max="16126" width="5.140625" style="2" customWidth="1"/>
    <col min="16127" max="16128" width="17.5703125" style="2" customWidth="1"/>
    <col min="16129" max="16384" width="9.140625" style="2"/>
  </cols>
  <sheetData>
    <row r="1" spans="1:3" ht="48" customHeight="1" x14ac:dyDescent="0.2">
      <c r="A1" s="1"/>
      <c r="B1" s="143" t="s">
        <v>0</v>
      </c>
      <c r="C1" s="143"/>
    </row>
    <row r="2" spans="1:3" x14ac:dyDescent="0.2">
      <c r="A2" s="3"/>
      <c r="B2" s="4" t="s">
        <v>1</v>
      </c>
      <c r="C2" s="5">
        <v>46052</v>
      </c>
    </row>
    <row r="3" spans="1:3" x14ac:dyDescent="0.2">
      <c r="A3" s="3"/>
      <c r="B3" s="6" t="s">
        <v>2</v>
      </c>
    </row>
    <row r="4" spans="1:3" ht="25.5" x14ac:dyDescent="0.2">
      <c r="A4" s="8"/>
      <c r="B4" s="9" t="str">
        <f>[15]И1!D13</f>
        <v>Субъект Российской Федерации</v>
      </c>
      <c r="C4" s="10" t="str">
        <f>[15]И1!E13</f>
        <v>Новосибирская область</v>
      </c>
    </row>
    <row r="5" spans="1:3" ht="51.75" customHeight="1" x14ac:dyDescent="0.2">
      <c r="A5" s="8"/>
      <c r="B5" s="9" t="str">
        <f>[15]И1!D14</f>
        <v>Тип муниципального образования (выберите из списка)</v>
      </c>
      <c r="C5" s="10" t="str">
        <f>[16]И1!E14</f>
        <v xml:space="preserve">поселок Листвянский, Искитимский муниципальный район </v>
      </c>
    </row>
    <row r="6" spans="1:3" x14ac:dyDescent="0.2">
      <c r="A6" s="8"/>
      <c r="B6" s="9" t="str">
        <f>IF([15]И1!E15="","",[15]И1!D15)</f>
        <v/>
      </c>
      <c r="C6" s="10">
        <f>IF([15]И1!E15="","",[15]И1!E15)</f>
        <v>0</v>
      </c>
    </row>
    <row r="7" spans="1:3" x14ac:dyDescent="0.2">
      <c r="A7" s="8"/>
      <c r="B7" s="9" t="str">
        <f>[15]И1!D16</f>
        <v>Код ОКТМО</v>
      </c>
      <c r="C7" s="11" t="str">
        <f>[16]И1!E16</f>
        <v>(50615415101)</v>
      </c>
    </row>
    <row r="8" spans="1:3" x14ac:dyDescent="0.2">
      <c r="A8" s="8"/>
      <c r="B8" s="12" t="str">
        <f>[15]И1!D17</f>
        <v>Система теплоснабжения</v>
      </c>
      <c r="C8" s="13">
        <f>[15]И1!E17</f>
        <v>0</v>
      </c>
    </row>
    <row r="9" spans="1:3" x14ac:dyDescent="0.2">
      <c r="A9" s="8"/>
      <c r="B9" s="9" t="str">
        <f>[15]И1!D8</f>
        <v>Период регулирования (i)-й</v>
      </c>
      <c r="C9" s="14">
        <f>[15]И1!E8</f>
        <v>2026</v>
      </c>
    </row>
    <row r="10" spans="1:3" x14ac:dyDescent="0.2">
      <c r="A10" s="8"/>
      <c r="B10" s="9" t="str">
        <f>[15]И1!D9</f>
        <v>Период регулирования (i-1)-й</v>
      </c>
      <c r="C10" s="14">
        <f>[15]И1!E9</f>
        <v>2025</v>
      </c>
    </row>
    <row r="11" spans="1:3" x14ac:dyDescent="0.2">
      <c r="A11" s="8"/>
      <c r="B11" s="9" t="str">
        <f>[15]И1!D10</f>
        <v>Период регулирования (i-2)-й</v>
      </c>
      <c r="C11" s="14">
        <f>[15]И1!E10</f>
        <v>2024</v>
      </c>
    </row>
    <row r="12" spans="1:3" x14ac:dyDescent="0.2">
      <c r="A12" s="8"/>
      <c r="B12" s="9" t="str">
        <f>[15]И1!D11</f>
        <v>Базовый год (б)</v>
      </c>
      <c r="C12" s="14">
        <f>[15]И1!E11</f>
        <v>2019</v>
      </c>
    </row>
    <row r="13" spans="1:3" x14ac:dyDescent="0.2">
      <c r="A13" s="8"/>
      <c r="B13" s="9" t="str">
        <f>[15]И1!D18</f>
        <v>Вид топлива, использование которого преобладает в системе теплоснабжения</v>
      </c>
      <c r="C13" s="15" t="str">
        <f>[15]С1.1!E13</f>
        <v>каменный уголь</v>
      </c>
    </row>
    <row r="14" spans="1:3" ht="31.7" customHeight="1" thickBot="1" x14ac:dyDescent="0.25">
      <c r="A14" s="142" t="s">
        <v>3</v>
      </c>
      <c r="B14" s="142"/>
      <c r="C14" s="142"/>
    </row>
    <row r="15" spans="1:3" x14ac:dyDescent="0.2">
      <c r="A15" s="16" t="s">
        <v>4</v>
      </c>
      <c r="B15" s="17" t="s">
        <v>5</v>
      </c>
      <c r="C15" s="18" t="s">
        <v>6</v>
      </c>
    </row>
    <row r="16" spans="1:3" x14ac:dyDescent="0.2">
      <c r="A16" s="19">
        <v>1</v>
      </c>
      <c r="B16" s="20">
        <v>2</v>
      </c>
      <c r="C16" s="21">
        <v>3</v>
      </c>
    </row>
    <row r="17" spans="1:3" x14ac:dyDescent="0.2">
      <c r="A17" s="22">
        <v>1</v>
      </c>
      <c r="B17" s="23" t="s">
        <v>7</v>
      </c>
      <c r="C17" s="24">
        <f>SUM(C18:C22)</f>
        <v>5785.9941482499235</v>
      </c>
    </row>
    <row r="18" spans="1:3" ht="42.75" x14ac:dyDescent="0.2">
      <c r="A18" s="22" t="s">
        <v>8</v>
      </c>
      <c r="B18" s="25" t="s">
        <v>9</v>
      </c>
      <c r="C18" s="26">
        <f>[15]С1!F12</f>
        <v>1088.8197363347713</v>
      </c>
    </row>
    <row r="19" spans="1:3" ht="42.75" x14ac:dyDescent="0.2">
      <c r="A19" s="22" t="s">
        <v>10</v>
      </c>
      <c r="B19" s="25" t="s">
        <v>11</v>
      </c>
      <c r="C19" s="26">
        <f>[15]С2!F12</f>
        <v>3097.7824122172187</v>
      </c>
    </row>
    <row r="20" spans="1:3" ht="30" x14ac:dyDescent="0.2">
      <c r="A20" s="22" t="s">
        <v>12</v>
      </c>
      <c r="B20" s="25" t="s">
        <v>13</v>
      </c>
      <c r="C20" s="26">
        <f>[15]С3!F12</f>
        <v>940.47266370947932</v>
      </c>
    </row>
    <row r="21" spans="1:3" ht="42.75" x14ac:dyDescent="0.2">
      <c r="A21" s="22" t="s">
        <v>14</v>
      </c>
      <c r="B21" s="25" t="s">
        <v>15</v>
      </c>
      <c r="C21" s="26">
        <f>[15]С4!F12</f>
        <v>545.46847033649465</v>
      </c>
    </row>
    <row r="22" spans="1:3" ht="30" x14ac:dyDescent="0.2">
      <c r="A22" s="22" t="s">
        <v>16</v>
      </c>
      <c r="B22" s="25" t="s">
        <v>17</v>
      </c>
      <c r="C22" s="26">
        <f>[15]С5!F12</f>
        <v>113.45086565195929</v>
      </c>
    </row>
    <row r="23" spans="1:3" ht="43.5" thickBot="1" x14ac:dyDescent="0.25">
      <c r="A23" s="27" t="s">
        <v>18</v>
      </c>
      <c r="B23" s="140" t="s">
        <v>19</v>
      </c>
      <c r="C23" s="28" t="str">
        <f>[15]С6!F12</f>
        <v>-</v>
      </c>
    </row>
    <row r="24" spans="1:3" ht="13.5" thickBot="1" x14ac:dyDescent="0.25">
      <c r="A24" s="3"/>
    </row>
    <row r="25" spans="1:3" x14ac:dyDescent="0.2">
      <c r="A25" s="16" t="s">
        <v>4</v>
      </c>
      <c r="B25" s="29" t="s">
        <v>5</v>
      </c>
      <c r="C25" s="30" t="s">
        <v>6</v>
      </c>
    </row>
    <row r="26" spans="1:3" x14ac:dyDescent="0.2">
      <c r="A26" s="19">
        <v>1</v>
      </c>
      <c r="B26" s="31">
        <v>2</v>
      </c>
      <c r="C26" s="32">
        <v>3</v>
      </c>
    </row>
    <row r="27" spans="1:3" ht="39.75" customHeight="1" x14ac:dyDescent="0.2">
      <c r="A27" s="22">
        <v>1</v>
      </c>
      <c r="B27" s="144" t="s">
        <v>20</v>
      </c>
      <c r="C27" s="144"/>
    </row>
    <row r="28" spans="1:3" ht="128.25" customHeight="1" x14ac:dyDescent="0.2">
      <c r="A28" s="22" t="s">
        <v>8</v>
      </c>
      <c r="B28" s="33" t="s">
        <v>21</v>
      </c>
      <c r="C28" s="34">
        <f>[15]С1.1!E16</f>
        <v>5100</v>
      </c>
    </row>
    <row r="29" spans="1:3" ht="57.75" customHeight="1" x14ac:dyDescent="0.2">
      <c r="A29" s="22" t="s">
        <v>10</v>
      </c>
      <c r="B29" s="33" t="s">
        <v>22</v>
      </c>
      <c r="C29" s="34">
        <f>[15]С1.1!E27</f>
        <v>4682.68</v>
      </c>
    </row>
    <row r="30" spans="1:3" ht="261.75" customHeight="1" x14ac:dyDescent="0.2">
      <c r="A30" s="22" t="s">
        <v>12</v>
      </c>
      <c r="B30" s="33" t="s">
        <v>23</v>
      </c>
      <c r="C30" s="35">
        <f>[15]С1.1!E19</f>
        <v>-0.11899999999999999</v>
      </c>
    </row>
    <row r="31" spans="1:3" ht="17.25" x14ac:dyDescent="0.2">
      <c r="A31" s="22" t="s">
        <v>14</v>
      </c>
      <c r="B31" s="33" t="s">
        <v>24</v>
      </c>
      <c r="C31" s="35">
        <f>[15]С1.1!E20</f>
        <v>4.0000000000000001E-3</v>
      </c>
    </row>
    <row r="32" spans="1:3" ht="30" x14ac:dyDescent="0.2">
      <c r="A32" s="22" t="s">
        <v>16</v>
      </c>
      <c r="B32" s="36" t="s">
        <v>25</v>
      </c>
      <c r="C32" s="37">
        <f>[15]С1!F13</f>
        <v>176.4</v>
      </c>
    </row>
    <row r="33" spans="1:3" x14ac:dyDescent="0.2">
      <c r="A33" s="22" t="s">
        <v>18</v>
      </c>
      <c r="B33" s="36" t="s">
        <v>26</v>
      </c>
      <c r="C33" s="38">
        <f>[15]С1!F16</f>
        <v>7000</v>
      </c>
    </row>
    <row r="34" spans="1:3" ht="14.25" x14ac:dyDescent="0.2">
      <c r="A34" s="22" t="s">
        <v>27</v>
      </c>
      <c r="B34" s="39" t="s">
        <v>28</v>
      </c>
      <c r="C34" s="40">
        <f>[15]С1!F17</f>
        <v>0.72857142857142854</v>
      </c>
    </row>
    <row r="35" spans="1:3" ht="15.75" x14ac:dyDescent="0.2">
      <c r="A35" s="41" t="s">
        <v>29</v>
      </c>
      <c r="B35" s="42" t="s">
        <v>30</v>
      </c>
      <c r="C35" s="40">
        <f>[15]С1!F20</f>
        <v>21.588411179999994</v>
      </c>
    </row>
    <row r="36" spans="1:3" ht="15.75" x14ac:dyDescent="0.2">
      <c r="A36" s="41" t="s">
        <v>31</v>
      </c>
      <c r="B36" s="43" t="s">
        <v>32</v>
      </c>
      <c r="C36" s="40">
        <f>[15]С1!F21</f>
        <v>20.818139999999996</v>
      </c>
    </row>
    <row r="37" spans="1:3" ht="14.25" x14ac:dyDescent="0.2">
      <c r="A37" s="41" t="s">
        <v>33</v>
      </c>
      <c r="B37" s="44" t="s">
        <v>34</v>
      </c>
      <c r="C37" s="40">
        <f>[15]С1!F22</f>
        <v>1.0369999999999999</v>
      </c>
    </row>
    <row r="38" spans="1:3" ht="53.25" thickBot="1" x14ac:dyDescent="0.25">
      <c r="A38" s="27" t="s">
        <v>35</v>
      </c>
      <c r="B38" s="45" t="s">
        <v>36</v>
      </c>
      <c r="C38" s="46">
        <f>[15]С1!F23</f>
        <v>1.0469999999999999</v>
      </c>
    </row>
    <row r="39" spans="1:3" ht="13.5" thickBot="1" x14ac:dyDescent="0.25">
      <c r="A39" s="47"/>
      <c r="B39" s="48"/>
      <c r="C39" s="49"/>
    </row>
    <row r="40" spans="1:3" ht="30" customHeight="1" x14ac:dyDescent="0.2">
      <c r="A40" s="50" t="s">
        <v>37</v>
      </c>
      <c r="B40" s="145" t="s">
        <v>38</v>
      </c>
      <c r="C40" s="145"/>
    </row>
    <row r="41" spans="1:3" ht="25.5" x14ac:dyDescent="0.2">
      <c r="A41" s="22" t="s">
        <v>39</v>
      </c>
      <c r="B41" s="36" t="s">
        <v>40</v>
      </c>
      <c r="C41" s="51" t="str">
        <f>[15]С2.1!E12</f>
        <v>V</v>
      </c>
    </row>
    <row r="42" spans="1:3" ht="233.25" customHeight="1" x14ac:dyDescent="0.2">
      <c r="A42" s="22" t="s">
        <v>41</v>
      </c>
      <c r="B42" s="33" t="s">
        <v>42</v>
      </c>
      <c r="C42" s="51" t="str">
        <f>[15]С2.1!E13</f>
        <v>6 и менее баллов</v>
      </c>
    </row>
    <row r="43" spans="1:3" ht="144.75" customHeight="1" x14ac:dyDescent="0.2">
      <c r="A43" s="22" t="s">
        <v>43</v>
      </c>
      <c r="B43" s="33" t="s">
        <v>44</v>
      </c>
      <c r="C43" s="51" t="str">
        <f>[15]С2.1!E14</f>
        <v>от 200 до 500</v>
      </c>
    </row>
    <row r="44" spans="1:3" ht="25.5" x14ac:dyDescent="0.2">
      <c r="A44" s="22" t="s">
        <v>45</v>
      </c>
      <c r="B44" s="33" t="s">
        <v>46</v>
      </c>
      <c r="C44" s="52" t="str">
        <f>[15]С2.1!E15</f>
        <v>нет</v>
      </c>
    </row>
    <row r="45" spans="1:3" ht="30" x14ac:dyDescent="0.2">
      <c r="A45" s="22" t="s">
        <v>47</v>
      </c>
      <c r="B45" s="33" t="s">
        <v>48</v>
      </c>
      <c r="C45" s="34">
        <f>[15]С2!F18</f>
        <v>40220.845230503684</v>
      </c>
    </row>
    <row r="46" spans="1:3" ht="30" x14ac:dyDescent="0.2">
      <c r="A46" s="22" t="s">
        <v>49</v>
      </c>
      <c r="B46" s="53" t="s">
        <v>50</v>
      </c>
      <c r="C46" s="34">
        <f>IF([15]С2!F19&gt;0,[15]С2!F19,[15]С2!F20)</f>
        <v>23441.524932855718</v>
      </c>
    </row>
    <row r="47" spans="1:3" ht="46.5" customHeight="1" x14ac:dyDescent="0.2">
      <c r="A47" s="22" t="s">
        <v>51</v>
      </c>
      <c r="B47" s="54" t="s">
        <v>52</v>
      </c>
      <c r="C47" s="34">
        <f>[15]С2.1!E19</f>
        <v>-38</v>
      </c>
    </row>
    <row r="48" spans="1:3" ht="25.5" x14ac:dyDescent="0.2">
      <c r="A48" s="22" t="s">
        <v>53</v>
      </c>
      <c r="B48" s="54" t="s">
        <v>54</v>
      </c>
      <c r="C48" s="34" t="str">
        <f>[15]С2.1!E22</f>
        <v>нет</v>
      </c>
    </row>
    <row r="49" spans="1:3" ht="38.25" x14ac:dyDescent="0.2">
      <c r="A49" s="22" t="s">
        <v>55</v>
      </c>
      <c r="B49" s="55" t="s">
        <v>56</v>
      </c>
      <c r="C49" s="34">
        <f>[15]С2.2!E10</f>
        <v>1287</v>
      </c>
    </row>
    <row r="50" spans="1:3" ht="25.5" x14ac:dyDescent="0.2">
      <c r="A50" s="22" t="s">
        <v>57</v>
      </c>
      <c r="B50" s="56" t="s">
        <v>58</v>
      </c>
      <c r="C50" s="34">
        <f>[15]С2.2!E12</f>
        <v>5.97</v>
      </c>
    </row>
    <row r="51" spans="1:3" ht="52.5" x14ac:dyDescent="0.2">
      <c r="A51" s="22" t="s">
        <v>59</v>
      </c>
      <c r="B51" s="57" t="s">
        <v>60</v>
      </c>
      <c r="C51" s="34">
        <f>[15]С2.2!E13</f>
        <v>1</v>
      </c>
    </row>
    <row r="52" spans="1:3" ht="27.75" x14ac:dyDescent="0.2">
      <c r="A52" s="22" t="s">
        <v>61</v>
      </c>
      <c r="B52" s="56" t="s">
        <v>62</v>
      </c>
      <c r="C52" s="34">
        <f>[15]С2.2!E14</f>
        <v>12104</v>
      </c>
    </row>
    <row r="53" spans="1:3" ht="79.5" customHeight="1" x14ac:dyDescent="0.2">
      <c r="A53" s="22" t="s">
        <v>63</v>
      </c>
      <c r="B53" s="57" t="s">
        <v>64</v>
      </c>
      <c r="C53" s="35">
        <f>[15]С2.2!E15</f>
        <v>4.8000000000000001E-2</v>
      </c>
    </row>
    <row r="54" spans="1:3" x14ac:dyDescent="0.2">
      <c r="A54" s="22" t="s">
        <v>65</v>
      </c>
      <c r="B54" s="57" t="s">
        <v>66</v>
      </c>
      <c r="C54" s="34">
        <f>[15]С2.2!E16</f>
        <v>1</v>
      </c>
    </row>
    <row r="55" spans="1:3" ht="15.75" x14ac:dyDescent="0.2">
      <c r="A55" s="22" t="s">
        <v>67</v>
      </c>
      <c r="B55" s="58" t="s">
        <v>68</v>
      </c>
      <c r="C55" s="34">
        <f>[15]С2!F21</f>
        <v>1</v>
      </c>
    </row>
    <row r="56" spans="1:3" ht="30" x14ac:dyDescent="0.2">
      <c r="A56" s="59" t="s">
        <v>69</v>
      </c>
      <c r="B56" s="33" t="s">
        <v>70</v>
      </c>
      <c r="C56" s="34">
        <f>[15]С2!F13</f>
        <v>210571.60987470482</v>
      </c>
    </row>
    <row r="57" spans="1:3" ht="30" x14ac:dyDescent="0.2">
      <c r="A57" s="59" t="s">
        <v>71</v>
      </c>
      <c r="B57" s="58" t="s">
        <v>72</v>
      </c>
      <c r="C57" s="34">
        <f>[15]С2!F14</f>
        <v>113455</v>
      </c>
    </row>
    <row r="58" spans="1:3" ht="15.75" x14ac:dyDescent="0.2">
      <c r="A58" s="59" t="s">
        <v>73</v>
      </c>
      <c r="B58" s="60" t="s">
        <v>74</v>
      </c>
      <c r="C58" s="40">
        <f>[15]С2!F15</f>
        <v>1.071</v>
      </c>
    </row>
    <row r="59" spans="1:3" ht="15.75" x14ac:dyDescent="0.2">
      <c r="A59" s="59" t="s">
        <v>75</v>
      </c>
      <c r="B59" s="60" t="s">
        <v>76</v>
      </c>
      <c r="C59" s="40">
        <f>[15]С2!F16</f>
        <v>1</v>
      </c>
    </row>
    <row r="60" spans="1:3" ht="17.25" x14ac:dyDescent="0.2">
      <c r="A60" s="59" t="s">
        <v>77</v>
      </c>
      <c r="B60" s="58" t="s">
        <v>78</v>
      </c>
      <c r="C60" s="34">
        <f>[15]С2!F17</f>
        <v>1.01</v>
      </c>
    </row>
    <row r="61" spans="1:3" s="63" customFormat="1" ht="14.25" x14ac:dyDescent="0.2">
      <c r="A61" s="59" t="s">
        <v>79</v>
      </c>
      <c r="B61" s="61" t="s">
        <v>80</v>
      </c>
      <c r="C61" s="62">
        <f>[15]С2!F33</f>
        <v>10</v>
      </c>
    </row>
    <row r="62" spans="1:3" ht="30" x14ac:dyDescent="0.2">
      <c r="A62" s="59" t="s">
        <v>81</v>
      </c>
      <c r="B62" s="64" t="s">
        <v>82</v>
      </c>
      <c r="C62" s="34">
        <f>[15]С2!F26</f>
        <v>3185.880383940208</v>
      </c>
    </row>
    <row r="63" spans="1:3" ht="168" customHeight="1" x14ac:dyDescent="0.2">
      <c r="A63" s="59" t="s">
        <v>83</v>
      </c>
      <c r="B63" s="53" t="s">
        <v>84</v>
      </c>
      <c r="C63" s="34">
        <f>[15]С2!F27</f>
        <v>0.44209422600000003</v>
      </c>
    </row>
    <row r="64" spans="1:3" ht="17.25" x14ac:dyDescent="0.2">
      <c r="A64" s="59" t="s">
        <v>85</v>
      </c>
      <c r="B64" s="58" t="s">
        <v>86</v>
      </c>
      <c r="C64" s="62">
        <f>[15]С2!F28</f>
        <v>4200</v>
      </c>
    </row>
    <row r="65" spans="1:3" ht="42.75" x14ac:dyDescent="0.2">
      <c r="A65" s="59" t="s">
        <v>87</v>
      </c>
      <c r="B65" s="33" t="s">
        <v>88</v>
      </c>
      <c r="C65" s="34">
        <f>[15]С2!F22</f>
        <v>4298.6978080550834</v>
      </c>
    </row>
    <row r="66" spans="1:3" ht="30" x14ac:dyDescent="0.2">
      <c r="A66" s="59" t="s">
        <v>89</v>
      </c>
      <c r="B66" s="60" t="s">
        <v>90</v>
      </c>
      <c r="C66" s="34">
        <f>[15]С2!F23</f>
        <v>1990</v>
      </c>
    </row>
    <row r="67" spans="1:3" ht="30" x14ac:dyDescent="0.2">
      <c r="A67" s="59" t="s">
        <v>91</v>
      </c>
      <c r="B67" s="53" t="s">
        <v>92</v>
      </c>
      <c r="C67" s="34">
        <f>[15]С2.1!E27</f>
        <v>246.24401</v>
      </c>
    </row>
    <row r="68" spans="1:3" ht="73.5" customHeight="1" x14ac:dyDescent="0.2">
      <c r="A68" s="59" t="s">
        <v>93</v>
      </c>
      <c r="B68" s="65" t="s">
        <v>94</v>
      </c>
      <c r="C68" s="52" t="str">
        <f>[15]С2.3!E21</f>
        <v>Муниципальное унитарное предприятие города Куйбышева Куйбышевского района Новосибирской области "Горводоканал"</v>
      </c>
    </row>
    <row r="69" spans="1:3" ht="25.5" x14ac:dyDescent="0.2">
      <c r="A69" s="59" t="s">
        <v>95</v>
      </c>
      <c r="B69" s="66" t="s">
        <v>96</v>
      </c>
      <c r="C69" s="67">
        <f>[15]С2.3!E11</f>
        <v>9.89</v>
      </c>
    </row>
    <row r="70" spans="1:3" ht="25.5" x14ac:dyDescent="0.2">
      <c r="A70" s="59" t="s">
        <v>97</v>
      </c>
      <c r="B70" s="66" t="s">
        <v>98</v>
      </c>
      <c r="C70" s="62">
        <f>[15]С2.3!E13</f>
        <v>300</v>
      </c>
    </row>
    <row r="71" spans="1:3" ht="192.75" customHeight="1" x14ac:dyDescent="0.2">
      <c r="A71" s="59" t="s">
        <v>99</v>
      </c>
      <c r="B71" s="65" t="s">
        <v>100</v>
      </c>
      <c r="C71" s="68">
        <f>IF([15]С2.3!E22&gt;0,[15]С2.3!E22,[15]С2.3!E14)</f>
        <v>8809</v>
      </c>
    </row>
    <row r="72" spans="1:3" ht="192.75" customHeight="1" x14ac:dyDescent="0.2">
      <c r="A72" s="59" t="s">
        <v>101</v>
      </c>
      <c r="B72" s="65" t="s">
        <v>102</v>
      </c>
      <c r="C72" s="68">
        <f>IF([15]С2.3!E23&gt;0,[15]С2.3!E23,[15]С2.3!E15)</f>
        <v>530.41</v>
      </c>
    </row>
    <row r="73" spans="1:3" ht="30" x14ac:dyDescent="0.2">
      <c r="A73" s="59" t="s">
        <v>103</v>
      </c>
      <c r="B73" s="53" t="s">
        <v>104</v>
      </c>
      <c r="C73" s="34">
        <f>[15]С2.1!E28</f>
        <v>269.12432000000001</v>
      </c>
    </row>
    <row r="74" spans="1:3" ht="87" customHeight="1" x14ac:dyDescent="0.2">
      <c r="A74" s="59" t="s">
        <v>105</v>
      </c>
      <c r="B74" s="65" t="s">
        <v>106</v>
      </c>
      <c r="C74" s="52" t="str">
        <f>[15]С2.3!E25</f>
        <v>Муниципальное унитарное предприятие города Куйбышева Куйбышевского района Новосибирской области "Геострой"</v>
      </c>
    </row>
    <row r="75" spans="1:3" ht="25.5" x14ac:dyDescent="0.2">
      <c r="A75" s="59" t="s">
        <v>107</v>
      </c>
      <c r="B75" s="66" t="s">
        <v>108</v>
      </c>
      <c r="C75" s="67">
        <f>[15]С2.3!E12</f>
        <v>0.56000000000000005</v>
      </c>
    </row>
    <row r="76" spans="1:3" ht="25.5" x14ac:dyDescent="0.2">
      <c r="A76" s="59" t="s">
        <v>109</v>
      </c>
      <c r="B76" s="66" t="s">
        <v>98</v>
      </c>
      <c r="C76" s="62">
        <f>[15]С2.3!E13</f>
        <v>300</v>
      </c>
    </row>
    <row r="77" spans="1:3" ht="183" customHeight="1" x14ac:dyDescent="0.2">
      <c r="A77" s="59" t="s">
        <v>110</v>
      </c>
      <c r="B77" s="69" t="s">
        <v>111</v>
      </c>
      <c r="C77" s="68">
        <f>IF([15]С2.3!E26&gt;0,[15]С2.3!E26,[15]С2.3!E16)</f>
        <v>21397</v>
      </c>
    </row>
    <row r="78" spans="1:3" ht="186.75" customHeight="1" x14ac:dyDescent="0.2">
      <c r="A78" s="59" t="s">
        <v>112</v>
      </c>
      <c r="B78" s="69" t="s">
        <v>113</v>
      </c>
      <c r="C78" s="68">
        <f>IF([15]С2.3!E27&gt;0,[15]С2.3!E27,[15]С2.3!E17)</f>
        <v>857.14</v>
      </c>
    </row>
    <row r="79" spans="1:3" ht="17.25" x14ac:dyDescent="0.2">
      <c r="A79" s="59" t="s">
        <v>114</v>
      </c>
      <c r="B79" s="33" t="s">
        <v>115</v>
      </c>
      <c r="C79" s="35">
        <f>[15]С2!F29</f>
        <v>0.21369165990259753</v>
      </c>
    </row>
    <row r="80" spans="1:3" ht="30" x14ac:dyDescent="0.2">
      <c r="A80" s="59" t="s">
        <v>116</v>
      </c>
      <c r="B80" s="53" t="s">
        <v>117</v>
      </c>
      <c r="C80" s="70">
        <f>[15]С2!F30</f>
        <v>0.20047619047619047</v>
      </c>
    </row>
    <row r="81" spans="1:3" ht="17.25" x14ac:dyDescent="0.2">
      <c r="A81" s="59" t="s">
        <v>118</v>
      </c>
      <c r="B81" s="71" t="s">
        <v>119</v>
      </c>
      <c r="C81" s="35">
        <f>[15]С2!F31</f>
        <v>0.13880000000000001</v>
      </c>
    </row>
    <row r="82" spans="1:3" s="63" customFormat="1" ht="18" thickBot="1" x14ac:dyDescent="0.25">
      <c r="A82" s="72" t="s">
        <v>120</v>
      </c>
      <c r="B82" s="73" t="s">
        <v>121</v>
      </c>
      <c r="C82" s="74">
        <f>[15]С2!F32</f>
        <v>0.12640000000000001</v>
      </c>
    </row>
    <row r="83" spans="1:3" ht="13.5" thickBot="1" x14ac:dyDescent="0.25">
      <c r="A83" s="47"/>
      <c r="B83" s="75"/>
      <c r="C83" s="15"/>
    </row>
    <row r="84" spans="1:3" s="63" customFormat="1" ht="30" customHeight="1" x14ac:dyDescent="0.2">
      <c r="A84" s="76" t="s">
        <v>122</v>
      </c>
      <c r="B84" s="145" t="s">
        <v>123</v>
      </c>
      <c r="C84" s="145"/>
    </row>
    <row r="85" spans="1:3" s="63" customFormat="1" ht="30" x14ac:dyDescent="0.2">
      <c r="A85" s="77" t="s">
        <v>124</v>
      </c>
      <c r="B85" s="33" t="s">
        <v>125</v>
      </c>
      <c r="C85" s="34">
        <f>[15]С3!F14</f>
        <v>15827.997028730506</v>
      </c>
    </row>
    <row r="86" spans="1:3" s="63" customFormat="1" ht="42.75" x14ac:dyDescent="0.2">
      <c r="A86" s="77" t="s">
        <v>126</v>
      </c>
      <c r="B86" s="53" t="s">
        <v>127</v>
      </c>
      <c r="C86" s="78">
        <f>[15]С3!F15</f>
        <v>0.25</v>
      </c>
    </row>
    <row r="87" spans="1:3" s="63" customFormat="1" ht="14.25" x14ac:dyDescent="0.2">
      <c r="A87" s="77" t="s">
        <v>128</v>
      </c>
      <c r="B87" s="79" t="s">
        <v>129</v>
      </c>
      <c r="C87" s="62">
        <f>[15]С3!F18</f>
        <v>15</v>
      </c>
    </row>
    <row r="88" spans="1:3" s="63" customFormat="1" ht="17.25" x14ac:dyDescent="0.2">
      <c r="A88" s="77" t="s">
        <v>130</v>
      </c>
      <c r="B88" s="33" t="s">
        <v>131</v>
      </c>
      <c r="C88" s="34">
        <f>[15]С3!F19</f>
        <v>3741.3369093945325</v>
      </c>
    </row>
    <row r="89" spans="1:3" s="63" customFormat="1" ht="55.5" x14ac:dyDescent="0.2">
      <c r="A89" s="77" t="s">
        <v>132</v>
      </c>
      <c r="B89" s="53" t="s">
        <v>133</v>
      </c>
      <c r="C89" s="80">
        <f>[15]С3!F20</f>
        <v>2.1999999999999999E-2</v>
      </c>
    </row>
    <row r="90" spans="1:3" s="63" customFormat="1" ht="14.25" x14ac:dyDescent="0.2">
      <c r="A90" s="77" t="s">
        <v>134</v>
      </c>
      <c r="B90" s="58" t="s">
        <v>80</v>
      </c>
      <c r="C90" s="62">
        <f>[15]С3!F21</f>
        <v>10</v>
      </c>
    </row>
    <row r="91" spans="1:3" s="63" customFormat="1" ht="17.25" x14ac:dyDescent="0.2">
      <c r="A91" s="77" t="s">
        <v>135</v>
      </c>
      <c r="B91" s="33" t="s">
        <v>136</v>
      </c>
      <c r="C91" s="34">
        <f>[15]С3!F22</f>
        <v>9.5576411518206239</v>
      </c>
    </row>
    <row r="92" spans="1:3" s="63" customFormat="1" ht="57" customHeight="1" x14ac:dyDescent="0.2">
      <c r="A92" s="77" t="s">
        <v>137</v>
      </c>
      <c r="B92" s="53" t="s">
        <v>138</v>
      </c>
      <c r="C92" s="80">
        <f>[15]С3!F23</f>
        <v>3.0000000000000001E-3</v>
      </c>
    </row>
    <row r="93" spans="1:3" s="63" customFormat="1" ht="27.75" thickBot="1" x14ac:dyDescent="0.25">
      <c r="A93" s="81" t="s">
        <v>139</v>
      </c>
      <c r="B93" s="82" t="s">
        <v>140</v>
      </c>
      <c r="C93" s="83">
        <f>[15]С3!F24</f>
        <v>3185.880383940208</v>
      </c>
    </row>
    <row r="94" spans="1:3" ht="13.5" thickBot="1" x14ac:dyDescent="0.25">
      <c r="A94" s="47"/>
      <c r="B94" s="75"/>
      <c r="C94" s="15"/>
    </row>
    <row r="95" spans="1:3" ht="30" customHeight="1" x14ac:dyDescent="0.2">
      <c r="A95" s="84" t="s">
        <v>141</v>
      </c>
      <c r="B95" s="145" t="s">
        <v>142</v>
      </c>
      <c r="C95" s="145"/>
    </row>
    <row r="96" spans="1:3" ht="30" x14ac:dyDescent="0.2">
      <c r="A96" s="59" t="s">
        <v>143</v>
      </c>
      <c r="B96" s="33" t="s">
        <v>144</v>
      </c>
      <c r="C96" s="34">
        <f>[15]С4!F16</f>
        <v>1652.5</v>
      </c>
    </row>
    <row r="97" spans="1:3" ht="30" x14ac:dyDescent="0.2">
      <c r="A97" s="59" t="s">
        <v>145</v>
      </c>
      <c r="B97" s="58" t="s">
        <v>146</v>
      </c>
      <c r="C97" s="34">
        <f>[15]С4!F17</f>
        <v>73547</v>
      </c>
    </row>
    <row r="98" spans="1:3" ht="17.25" x14ac:dyDescent="0.2">
      <c r="A98" s="59" t="s">
        <v>147</v>
      </c>
      <c r="B98" s="58" t="s">
        <v>148</v>
      </c>
      <c r="C98" s="40">
        <f>[15]С4!F18</f>
        <v>0.02</v>
      </c>
    </row>
    <row r="99" spans="1:3" ht="30" x14ac:dyDescent="0.2">
      <c r="A99" s="59" t="s">
        <v>149</v>
      </c>
      <c r="B99" s="58" t="s">
        <v>150</v>
      </c>
      <c r="C99" s="34">
        <f>[15]С4!F19</f>
        <v>12104</v>
      </c>
    </row>
    <row r="100" spans="1:3" ht="31.5" x14ac:dyDescent="0.2">
      <c r="A100" s="59" t="s">
        <v>151</v>
      </c>
      <c r="B100" s="58" t="s">
        <v>152</v>
      </c>
      <c r="C100" s="40">
        <f>[15]С4!F20</f>
        <v>1.4999999999999999E-2</v>
      </c>
    </row>
    <row r="101" spans="1:3" ht="30" x14ac:dyDescent="0.2">
      <c r="A101" s="59" t="s">
        <v>153</v>
      </c>
      <c r="B101" s="33" t="s">
        <v>154</v>
      </c>
      <c r="C101" s="34">
        <f>[15]С4!F21</f>
        <v>1933.1949342509995</v>
      </c>
    </row>
    <row r="102" spans="1:3" ht="35.25" customHeight="1" x14ac:dyDescent="0.2">
      <c r="A102" s="59" t="s">
        <v>155</v>
      </c>
      <c r="B102" s="53" t="s">
        <v>156</v>
      </c>
      <c r="C102" s="85" t="str">
        <f>IF([15]С4.2!F8="да",[15]С4.2!D21,[15]С4.2!D15)</f>
        <v>АО "Новосибирскэнергосбыт"</v>
      </c>
    </row>
    <row r="103" spans="1:3" ht="68.25" x14ac:dyDescent="0.2">
      <c r="A103" s="59" t="s">
        <v>157</v>
      </c>
      <c r="B103" s="53" t="s">
        <v>158</v>
      </c>
      <c r="C103" s="34">
        <f>[15]С4!F22</f>
        <v>3.6112641666666665</v>
      </c>
    </row>
    <row r="104" spans="1:3" ht="30" x14ac:dyDescent="0.2">
      <c r="A104" s="59" t="s">
        <v>159</v>
      </c>
      <c r="B104" s="58" t="s">
        <v>160</v>
      </c>
      <c r="C104" s="34">
        <f>[15]С4!F23</f>
        <v>180</v>
      </c>
    </row>
    <row r="105" spans="1:3" ht="14.25" x14ac:dyDescent="0.2">
      <c r="A105" s="59" t="s">
        <v>161</v>
      </c>
      <c r="B105" s="53" t="s">
        <v>162</v>
      </c>
      <c r="C105" s="34">
        <f>[15]С4!F24</f>
        <v>8497.1999999999989</v>
      </c>
    </row>
    <row r="106" spans="1:3" ht="14.25" x14ac:dyDescent="0.2">
      <c r="A106" s="59" t="s">
        <v>163</v>
      </c>
      <c r="B106" s="58" t="s">
        <v>164</v>
      </c>
      <c r="C106" s="40">
        <f>[15]С4!F25</f>
        <v>0.35</v>
      </c>
    </row>
    <row r="107" spans="1:3" ht="17.25" x14ac:dyDescent="0.2">
      <c r="A107" s="59" t="s">
        <v>165</v>
      </c>
      <c r="B107" s="33" t="s">
        <v>166</v>
      </c>
      <c r="C107" s="34">
        <f>[15]С4!F26</f>
        <v>83.616630000000001</v>
      </c>
    </row>
    <row r="108" spans="1:3" ht="75.75" customHeight="1" x14ac:dyDescent="0.2">
      <c r="A108" s="59" t="s">
        <v>167</v>
      </c>
      <c r="B108" s="53" t="s">
        <v>94</v>
      </c>
      <c r="C108" s="85">
        <f>[15]С4.3!E16</f>
        <v>0</v>
      </c>
    </row>
    <row r="109" spans="1:3" ht="25.5" x14ac:dyDescent="0.2">
      <c r="A109" s="59" t="s">
        <v>168</v>
      </c>
      <c r="B109" s="53" t="s">
        <v>169</v>
      </c>
      <c r="C109" s="34">
        <f>[15]С4.3!E17</f>
        <v>22.05</v>
      </c>
    </row>
    <row r="110" spans="1:3" ht="79.5" customHeight="1" x14ac:dyDescent="0.2">
      <c r="A110" s="59" t="s">
        <v>170</v>
      </c>
      <c r="B110" s="53" t="s">
        <v>106</v>
      </c>
      <c r="C110" s="85">
        <f>[15]С4.3!E18</f>
        <v>0</v>
      </c>
    </row>
    <row r="111" spans="1:3" x14ac:dyDescent="0.2">
      <c r="A111" s="59" t="s">
        <v>171</v>
      </c>
      <c r="B111" s="53" t="s">
        <v>172</v>
      </c>
      <c r="C111" s="34">
        <f>[15]С4.3!E19</f>
        <v>30.82</v>
      </c>
    </row>
    <row r="112" spans="1:3" x14ac:dyDescent="0.2">
      <c r="A112" s="59" t="s">
        <v>173</v>
      </c>
      <c r="B112" s="58" t="s">
        <v>174</v>
      </c>
      <c r="C112" s="34">
        <f>[15]С4.3!E11</f>
        <v>1871</v>
      </c>
    </row>
    <row r="113" spans="1:3" x14ac:dyDescent="0.2">
      <c r="A113" s="59" t="s">
        <v>175</v>
      </c>
      <c r="B113" s="58" t="s">
        <v>176</v>
      </c>
      <c r="C113" s="52">
        <f>[15]С4.3!E12</f>
        <v>1636</v>
      </c>
    </row>
    <row r="114" spans="1:3" x14ac:dyDescent="0.2">
      <c r="A114" s="59" t="s">
        <v>177</v>
      </c>
      <c r="B114" s="58" t="s">
        <v>178</v>
      </c>
      <c r="C114" s="52">
        <f>[15]С4.3!E13</f>
        <v>204</v>
      </c>
    </row>
    <row r="115" spans="1:3" ht="30" x14ac:dyDescent="0.2">
      <c r="A115" s="59" t="s">
        <v>179</v>
      </c>
      <c r="B115" s="33" t="s">
        <v>180</v>
      </c>
      <c r="C115" s="34">
        <f>[15]С4!F27</f>
        <v>1291.2863994686898</v>
      </c>
    </row>
    <row r="116" spans="1:3" ht="25.5" x14ac:dyDescent="0.2">
      <c r="A116" s="59" t="s">
        <v>181</v>
      </c>
      <c r="B116" s="53" t="s">
        <v>182</v>
      </c>
      <c r="C116" s="34">
        <f>[15]С4!F28</f>
        <v>991.77142816335618</v>
      </c>
    </row>
    <row r="117" spans="1:3" ht="42.75" x14ac:dyDescent="0.2">
      <c r="A117" s="59" t="s">
        <v>183</v>
      </c>
      <c r="B117" s="53" t="s">
        <v>184</v>
      </c>
      <c r="C117" s="34">
        <f>[15]С4!F29</f>
        <v>299.51497130533357</v>
      </c>
    </row>
    <row r="118" spans="1:3" ht="30" x14ac:dyDescent="0.2">
      <c r="A118" s="59" t="s">
        <v>185</v>
      </c>
      <c r="B118" s="39" t="s">
        <v>186</v>
      </c>
      <c r="C118" s="34">
        <f>[15]С4!F30</f>
        <v>2844.2710764026751</v>
      </c>
    </row>
    <row r="119" spans="1:3" ht="42.75" x14ac:dyDescent="0.2">
      <c r="A119" s="59" t="s">
        <v>187</v>
      </c>
      <c r="B119" s="86" t="s">
        <v>188</v>
      </c>
      <c r="C119" s="34">
        <f>[15]С4!F33</f>
        <v>1605.6063874046249</v>
      </c>
    </row>
    <row r="120" spans="1:3" ht="30" x14ac:dyDescent="0.2">
      <c r="A120" s="59" t="s">
        <v>189</v>
      </c>
      <c r="B120" s="87" t="s">
        <v>190</v>
      </c>
      <c r="C120" s="34">
        <f>[15]С4!F35</f>
        <v>18.902267999999999</v>
      </c>
    </row>
    <row r="121" spans="1:3" ht="14.25" x14ac:dyDescent="0.2">
      <c r="A121" s="59" t="s">
        <v>191</v>
      </c>
      <c r="B121" s="56" t="s">
        <v>192</v>
      </c>
      <c r="C121" s="34">
        <f>[15]С4!F36</f>
        <v>14319.9</v>
      </c>
    </row>
    <row r="122" spans="1:3" ht="43.5" customHeight="1" thickBot="1" x14ac:dyDescent="0.25">
      <c r="A122" s="72" t="s">
        <v>193</v>
      </c>
      <c r="B122" s="88" t="s">
        <v>194</v>
      </c>
      <c r="C122" s="83">
        <f>[15]С4!F37</f>
        <v>1.32</v>
      </c>
    </row>
    <row r="123" spans="1:3" s="89" customFormat="1" ht="13.5" thickBot="1" x14ac:dyDescent="0.25">
      <c r="A123" s="47"/>
      <c r="B123" s="75"/>
      <c r="C123" s="15"/>
    </row>
    <row r="124" spans="1:3" s="63" customFormat="1" ht="30" customHeight="1" x14ac:dyDescent="0.2">
      <c r="A124" s="76" t="s">
        <v>195</v>
      </c>
      <c r="B124" s="145" t="s">
        <v>196</v>
      </c>
      <c r="C124" s="145"/>
    </row>
    <row r="125" spans="1:3" ht="16.5" thickBot="1" x14ac:dyDescent="0.25">
      <c r="A125" s="27" t="s">
        <v>197</v>
      </c>
      <c r="B125" s="90" t="s">
        <v>198</v>
      </c>
      <c r="C125" s="83">
        <f>[15]С5!F17</f>
        <v>0.02</v>
      </c>
    </row>
    <row r="126" spans="1:3" s="89" customFormat="1" ht="13.5" thickBot="1" x14ac:dyDescent="0.25">
      <c r="A126" s="47"/>
      <c r="B126" s="75"/>
      <c r="C126" s="15"/>
    </row>
    <row r="127" spans="1:3" ht="42.75" customHeight="1" x14ac:dyDescent="0.2">
      <c r="A127" s="84" t="s">
        <v>199</v>
      </c>
      <c r="B127" s="146" t="s">
        <v>200</v>
      </c>
      <c r="C127" s="146"/>
    </row>
    <row r="128" spans="1:3" ht="68.25" x14ac:dyDescent="0.2">
      <c r="A128" s="59" t="s">
        <v>201</v>
      </c>
      <c r="B128" s="91" t="s">
        <v>202</v>
      </c>
      <c r="C128" s="34" t="s">
        <v>203</v>
      </c>
    </row>
    <row r="129" spans="1:3" ht="42.75" hidden="1" x14ac:dyDescent="0.2">
      <c r="A129" s="59" t="s">
        <v>204</v>
      </c>
      <c r="B129" s="86" t="s">
        <v>205</v>
      </c>
      <c r="C129" s="92"/>
    </row>
    <row r="130" spans="1:3" ht="69" thickBot="1" x14ac:dyDescent="0.25">
      <c r="A130" s="72" t="s">
        <v>206</v>
      </c>
      <c r="B130" s="93" t="s">
        <v>207</v>
      </c>
      <c r="C130" s="94" t="s">
        <v>203</v>
      </c>
    </row>
    <row r="131" spans="1:3" ht="62.25" hidden="1" customHeight="1" x14ac:dyDescent="0.2">
      <c r="A131" s="95" t="s">
        <v>208</v>
      </c>
      <c r="B131" s="96" t="s">
        <v>209</v>
      </c>
      <c r="C131" s="97"/>
    </row>
    <row r="132" spans="1:3" ht="68.25" hidden="1" x14ac:dyDescent="0.2">
      <c r="A132" s="59" t="s">
        <v>210</v>
      </c>
      <c r="B132" s="86" t="s">
        <v>211</v>
      </c>
      <c r="C132" s="35"/>
    </row>
    <row r="133" spans="1:3" ht="69" hidden="1" thickBot="1" x14ac:dyDescent="0.25">
      <c r="A133" s="72" t="s">
        <v>212</v>
      </c>
      <c r="B133" s="98" t="s">
        <v>213</v>
      </c>
      <c r="C133" s="74"/>
    </row>
    <row r="134" spans="1:3" s="89" customFormat="1" ht="13.5" thickBot="1" x14ac:dyDescent="0.25">
      <c r="A134" s="47"/>
      <c r="B134" s="75"/>
      <c r="C134" s="15"/>
    </row>
    <row r="135" spans="1:3" ht="26.25" customHeight="1" x14ac:dyDescent="0.2">
      <c r="A135" s="84" t="s">
        <v>214</v>
      </c>
      <c r="B135" s="99" t="s">
        <v>215</v>
      </c>
      <c r="C135" s="100">
        <f>[15]С2!F37</f>
        <v>20.818139999999996</v>
      </c>
    </row>
    <row r="136" spans="1:3" ht="14.25" x14ac:dyDescent="0.2">
      <c r="A136" s="59" t="s">
        <v>216</v>
      </c>
      <c r="B136" s="101" t="s">
        <v>217</v>
      </c>
      <c r="C136" s="34">
        <f>[15]С2!F38</f>
        <v>7</v>
      </c>
    </row>
    <row r="137" spans="1:3" ht="17.25" x14ac:dyDescent="0.2">
      <c r="A137" s="59" t="s">
        <v>218</v>
      </c>
      <c r="B137" s="101" t="s">
        <v>219</v>
      </c>
      <c r="C137" s="34">
        <f>[15]С2!F40</f>
        <v>0.97</v>
      </c>
    </row>
    <row r="138" spans="1:3" ht="15" thickBot="1" x14ac:dyDescent="0.25">
      <c r="A138" s="72" t="s">
        <v>220</v>
      </c>
      <c r="B138" s="102" t="s">
        <v>221</v>
      </c>
      <c r="C138" s="46">
        <f>[15]С2!F42</f>
        <v>0.35</v>
      </c>
    </row>
    <row r="139" spans="1:3" s="89" customFormat="1" ht="13.5" thickBot="1" x14ac:dyDescent="0.25">
      <c r="A139" s="47"/>
      <c r="B139" s="75"/>
      <c r="C139" s="15"/>
    </row>
    <row r="140" spans="1:3" ht="30" x14ac:dyDescent="0.2">
      <c r="A140" s="84" t="s">
        <v>222</v>
      </c>
      <c r="B140" s="103" t="s">
        <v>223</v>
      </c>
      <c r="C140" s="104">
        <f>[15]С2!F35</f>
        <v>1.7157947422665329</v>
      </c>
    </row>
    <row r="141" spans="1:3" ht="22.7" customHeight="1" thickBot="1" x14ac:dyDescent="0.25">
      <c r="A141" s="72" t="s">
        <v>224</v>
      </c>
      <c r="B141" s="141" t="s">
        <v>225</v>
      </c>
      <c r="C141" s="141"/>
    </row>
    <row r="142" spans="1:3" ht="13.5" thickBot="1" x14ac:dyDescent="0.25">
      <c r="A142" s="105"/>
      <c r="B142" s="106" t="s">
        <v>226</v>
      </c>
      <c r="C142" s="107"/>
    </row>
    <row r="143" spans="1:3" x14ac:dyDescent="0.2">
      <c r="A143" s="105"/>
      <c r="B143" s="108">
        <v>2020</v>
      </c>
      <c r="C143" s="109">
        <f>[15]С2.5!$E$11</f>
        <v>-2.9000000000000026E-2</v>
      </c>
    </row>
    <row r="144" spans="1:3" x14ac:dyDescent="0.2">
      <c r="A144" s="105"/>
      <c r="B144" s="110">
        <f>B143+1</f>
        <v>2021</v>
      </c>
      <c r="C144" s="111">
        <f>[15]С2.5!$F$11</f>
        <v>0.245</v>
      </c>
    </row>
    <row r="145" spans="1:3" x14ac:dyDescent="0.2">
      <c r="A145" s="105"/>
      <c r="B145" s="110">
        <f t="shared" ref="B145:B208" si="0">B144+1</f>
        <v>2022</v>
      </c>
      <c r="C145" s="111">
        <f>[15]С2.5!$G$11</f>
        <v>0.114</v>
      </c>
    </row>
    <row r="146" spans="1:3" ht="13.5" thickBot="1" x14ac:dyDescent="0.25">
      <c r="A146" s="105"/>
      <c r="B146" s="112">
        <f t="shared" si="0"/>
        <v>2023</v>
      </c>
      <c r="C146" s="113">
        <f>[15]С2.5!$H$11</f>
        <v>0.04</v>
      </c>
    </row>
    <row r="147" spans="1:3" x14ac:dyDescent="0.2">
      <c r="A147" s="105"/>
      <c r="B147" s="114">
        <f t="shared" si="0"/>
        <v>2024</v>
      </c>
      <c r="C147" s="115">
        <f>[15]С2.5!$I$11</f>
        <v>0.121</v>
      </c>
    </row>
    <row r="148" spans="1:3" x14ac:dyDescent="0.2">
      <c r="A148" s="105"/>
      <c r="B148" s="110">
        <f t="shared" si="0"/>
        <v>2025</v>
      </c>
      <c r="C148" s="111">
        <f>[15]С2.5!$J$11</f>
        <v>0.03</v>
      </c>
    </row>
    <row r="149" spans="1:3" x14ac:dyDescent="0.2">
      <c r="A149" s="105"/>
      <c r="B149" s="110">
        <f t="shared" si="0"/>
        <v>2026</v>
      </c>
      <c r="C149" s="111">
        <f>[15]С2.5!$K$11</f>
        <v>6.0999999999999999E-2</v>
      </c>
    </row>
    <row r="150" spans="1:3" hidden="1" x14ac:dyDescent="0.2">
      <c r="A150" s="105"/>
      <c r="B150" s="110">
        <f t="shared" si="0"/>
        <v>2027</v>
      </c>
      <c r="C150" s="111">
        <f>[15]С2.5!$L$11</f>
        <v>3.2682303599220003E-2</v>
      </c>
    </row>
    <row r="151" spans="1:3" hidden="1" x14ac:dyDescent="0.2">
      <c r="A151" s="105"/>
      <c r="B151" s="110">
        <f t="shared" si="0"/>
        <v>2028</v>
      </c>
      <c r="C151" s="111">
        <f>[15]С2.5!$M$11</f>
        <v>0</v>
      </c>
    </row>
    <row r="152" spans="1:3" hidden="1" x14ac:dyDescent="0.2">
      <c r="A152" s="105"/>
      <c r="B152" s="110">
        <f t="shared" si="0"/>
        <v>2029</v>
      </c>
      <c r="C152" s="111">
        <f>[15]С2.5!$N$11</f>
        <v>0</v>
      </c>
    </row>
    <row r="153" spans="1:3" hidden="1" x14ac:dyDescent="0.2">
      <c r="A153" s="105"/>
      <c r="B153" s="110">
        <f t="shared" si="0"/>
        <v>2030</v>
      </c>
      <c r="C153" s="111">
        <f>[15]С2.5!$O$11</f>
        <v>0</v>
      </c>
    </row>
    <row r="154" spans="1:3" hidden="1" x14ac:dyDescent="0.2">
      <c r="A154" s="105"/>
      <c r="B154" s="110">
        <f t="shared" si="0"/>
        <v>2031</v>
      </c>
      <c r="C154" s="111">
        <f>[15]С2.5!$P$11</f>
        <v>0</v>
      </c>
    </row>
    <row r="155" spans="1:3" hidden="1" x14ac:dyDescent="0.2">
      <c r="A155" s="89"/>
      <c r="B155" s="110">
        <f t="shared" si="0"/>
        <v>2032</v>
      </c>
      <c r="C155" s="111">
        <f>[15]С2.5!$Q$11</f>
        <v>0</v>
      </c>
    </row>
    <row r="156" spans="1:3" hidden="1" x14ac:dyDescent="0.2">
      <c r="A156" s="89"/>
      <c r="B156" s="110">
        <f t="shared" si="0"/>
        <v>2033</v>
      </c>
      <c r="C156" s="111">
        <f>[15]С2.5!$R$11</f>
        <v>0</v>
      </c>
    </row>
    <row r="157" spans="1:3" hidden="1" x14ac:dyDescent="0.2">
      <c r="B157" s="110">
        <f t="shared" si="0"/>
        <v>2034</v>
      </c>
      <c r="C157" s="111">
        <f>[15]С2.5!$S$11</f>
        <v>0</v>
      </c>
    </row>
    <row r="158" spans="1:3" hidden="1" x14ac:dyDescent="0.2">
      <c r="B158" s="110">
        <f t="shared" si="0"/>
        <v>2035</v>
      </c>
      <c r="C158" s="111">
        <f>[15]С2.5!$T$11</f>
        <v>0</v>
      </c>
    </row>
    <row r="159" spans="1:3" hidden="1" x14ac:dyDescent="0.2">
      <c r="B159" s="110">
        <f t="shared" si="0"/>
        <v>2036</v>
      </c>
      <c r="C159" s="111">
        <f>[15]С2.5!$U$11</f>
        <v>0</v>
      </c>
    </row>
    <row r="160" spans="1:3" hidden="1" x14ac:dyDescent="0.2">
      <c r="B160" s="110">
        <f t="shared" si="0"/>
        <v>2037</v>
      </c>
      <c r="C160" s="111">
        <f>[15]С2.5!$V$11</f>
        <v>0</v>
      </c>
    </row>
    <row r="161" spans="2:3" hidden="1" x14ac:dyDescent="0.2">
      <c r="B161" s="110">
        <f t="shared" si="0"/>
        <v>2038</v>
      </c>
      <c r="C161" s="111">
        <f>[15]С2.5!$W$11</f>
        <v>0</v>
      </c>
    </row>
    <row r="162" spans="2:3" hidden="1" x14ac:dyDescent="0.2">
      <c r="B162" s="110">
        <f t="shared" si="0"/>
        <v>2039</v>
      </c>
      <c r="C162" s="111">
        <f>[15]С2.5!$X$11</f>
        <v>0</v>
      </c>
    </row>
    <row r="163" spans="2:3" hidden="1" x14ac:dyDescent="0.2">
      <c r="B163" s="110">
        <f t="shared" si="0"/>
        <v>2040</v>
      </c>
      <c r="C163" s="111">
        <f>[15]С2.5!$Y$11</f>
        <v>0</v>
      </c>
    </row>
    <row r="164" spans="2:3" hidden="1" x14ac:dyDescent="0.2">
      <c r="B164" s="110">
        <f t="shared" si="0"/>
        <v>2041</v>
      </c>
      <c r="C164" s="111">
        <f>[15]С2.5!$Z$11</f>
        <v>0</v>
      </c>
    </row>
    <row r="165" spans="2:3" hidden="1" x14ac:dyDescent="0.2">
      <c r="B165" s="110">
        <f t="shared" si="0"/>
        <v>2042</v>
      </c>
      <c r="C165" s="111">
        <f>[15]С2.5!$AA$11</f>
        <v>0</v>
      </c>
    </row>
    <row r="166" spans="2:3" hidden="1" x14ac:dyDescent="0.2">
      <c r="B166" s="110">
        <f t="shared" si="0"/>
        <v>2043</v>
      </c>
      <c r="C166" s="111">
        <f>[15]С2.5!$AB$11</f>
        <v>0</v>
      </c>
    </row>
    <row r="167" spans="2:3" hidden="1" x14ac:dyDescent="0.2">
      <c r="B167" s="110">
        <f t="shared" si="0"/>
        <v>2044</v>
      </c>
      <c r="C167" s="111">
        <f>[15]С2.5!$AC$11</f>
        <v>0</v>
      </c>
    </row>
    <row r="168" spans="2:3" hidden="1" x14ac:dyDescent="0.2">
      <c r="B168" s="110">
        <f t="shared" si="0"/>
        <v>2045</v>
      </c>
      <c r="C168" s="111">
        <f>[15]С2.5!$AD$11</f>
        <v>0</v>
      </c>
    </row>
    <row r="169" spans="2:3" hidden="1" x14ac:dyDescent="0.2">
      <c r="B169" s="110">
        <f t="shared" si="0"/>
        <v>2046</v>
      </c>
      <c r="C169" s="111">
        <f>[15]С2.5!$AE$11</f>
        <v>0</v>
      </c>
    </row>
    <row r="170" spans="2:3" hidden="1" x14ac:dyDescent="0.2">
      <c r="B170" s="110">
        <f t="shared" si="0"/>
        <v>2047</v>
      </c>
      <c r="C170" s="111">
        <f>[15]С2.5!$AF$11</f>
        <v>0</v>
      </c>
    </row>
    <row r="171" spans="2:3" hidden="1" x14ac:dyDescent="0.2">
      <c r="B171" s="110">
        <f t="shared" si="0"/>
        <v>2048</v>
      </c>
      <c r="C171" s="111">
        <f>[15]С2.5!$AG$11</f>
        <v>0</v>
      </c>
    </row>
    <row r="172" spans="2:3" hidden="1" x14ac:dyDescent="0.2">
      <c r="B172" s="110">
        <f t="shared" si="0"/>
        <v>2049</v>
      </c>
      <c r="C172" s="111">
        <f>[15]С2.5!$AH$11</f>
        <v>0</v>
      </c>
    </row>
    <row r="173" spans="2:3" hidden="1" x14ac:dyDescent="0.2">
      <c r="B173" s="110">
        <f t="shared" si="0"/>
        <v>2050</v>
      </c>
      <c r="C173" s="111">
        <f>[15]С2.5!$AI$11</f>
        <v>0</v>
      </c>
    </row>
    <row r="174" spans="2:3" hidden="1" x14ac:dyDescent="0.2">
      <c r="B174" s="110">
        <f t="shared" si="0"/>
        <v>2051</v>
      </c>
      <c r="C174" s="111">
        <f>[15]С2.5!$AJ$11</f>
        <v>0</v>
      </c>
    </row>
    <row r="175" spans="2:3" hidden="1" x14ac:dyDescent="0.2">
      <c r="B175" s="110">
        <f t="shared" si="0"/>
        <v>2052</v>
      </c>
      <c r="C175" s="111">
        <f>[15]С2.5!$AK$11</f>
        <v>0</v>
      </c>
    </row>
    <row r="176" spans="2:3" hidden="1" x14ac:dyDescent="0.2">
      <c r="B176" s="110">
        <f t="shared" si="0"/>
        <v>2053</v>
      </c>
      <c r="C176" s="111">
        <f>[15]С2.5!$AL$11</f>
        <v>0</v>
      </c>
    </row>
    <row r="177" spans="2:3" hidden="1" x14ac:dyDescent="0.2">
      <c r="B177" s="110">
        <f t="shared" si="0"/>
        <v>2054</v>
      </c>
      <c r="C177" s="111">
        <f>[15]С2.5!$AM$11</f>
        <v>0</v>
      </c>
    </row>
    <row r="178" spans="2:3" hidden="1" x14ac:dyDescent="0.2">
      <c r="B178" s="110">
        <f t="shared" si="0"/>
        <v>2055</v>
      </c>
      <c r="C178" s="111">
        <f>[15]С2.5!$AN$11</f>
        <v>0</v>
      </c>
    </row>
    <row r="179" spans="2:3" hidden="1" x14ac:dyDescent="0.2">
      <c r="B179" s="110">
        <f t="shared" si="0"/>
        <v>2056</v>
      </c>
      <c r="C179" s="111">
        <f>[15]С2.5!$AO$11</f>
        <v>0</v>
      </c>
    </row>
    <row r="180" spans="2:3" hidden="1" x14ac:dyDescent="0.2">
      <c r="B180" s="110">
        <f t="shared" si="0"/>
        <v>2057</v>
      </c>
      <c r="C180" s="111">
        <f>[15]С2.5!$AP$11</f>
        <v>0</v>
      </c>
    </row>
    <row r="181" spans="2:3" hidden="1" x14ac:dyDescent="0.2">
      <c r="B181" s="110">
        <f t="shared" si="0"/>
        <v>2058</v>
      </c>
      <c r="C181" s="111">
        <f>[15]С2.5!$AQ$11</f>
        <v>0</v>
      </c>
    </row>
    <row r="182" spans="2:3" hidden="1" x14ac:dyDescent="0.2">
      <c r="B182" s="110">
        <f t="shared" si="0"/>
        <v>2059</v>
      </c>
      <c r="C182" s="111">
        <f>[15]С2.5!$AR$11</f>
        <v>0</v>
      </c>
    </row>
    <row r="183" spans="2:3" hidden="1" x14ac:dyDescent="0.2">
      <c r="B183" s="110">
        <f t="shared" si="0"/>
        <v>2060</v>
      </c>
      <c r="C183" s="111">
        <f>[15]С2.5!$AS$11</f>
        <v>0</v>
      </c>
    </row>
    <row r="184" spans="2:3" hidden="1" x14ac:dyDescent="0.2">
      <c r="B184" s="110">
        <f t="shared" si="0"/>
        <v>2061</v>
      </c>
      <c r="C184" s="111">
        <f>[15]С2.5!$AT$11</f>
        <v>0</v>
      </c>
    </row>
    <row r="185" spans="2:3" hidden="1" x14ac:dyDescent="0.2">
      <c r="B185" s="110">
        <f t="shared" si="0"/>
        <v>2062</v>
      </c>
      <c r="C185" s="111">
        <f>[15]С2.5!$AU$11</f>
        <v>0</v>
      </c>
    </row>
    <row r="186" spans="2:3" hidden="1" x14ac:dyDescent="0.2">
      <c r="B186" s="110">
        <f t="shared" si="0"/>
        <v>2063</v>
      </c>
      <c r="C186" s="111">
        <f>[15]С2.5!$AV$11</f>
        <v>0</v>
      </c>
    </row>
    <row r="187" spans="2:3" hidden="1" x14ac:dyDescent="0.2">
      <c r="B187" s="110">
        <f t="shared" si="0"/>
        <v>2064</v>
      </c>
      <c r="C187" s="111">
        <f>[15]С2.5!$AW$11</f>
        <v>0</v>
      </c>
    </row>
    <row r="188" spans="2:3" hidden="1" x14ac:dyDescent="0.2">
      <c r="B188" s="110">
        <f t="shared" si="0"/>
        <v>2065</v>
      </c>
      <c r="C188" s="111">
        <f>[15]С2.5!$AX$11</f>
        <v>0</v>
      </c>
    </row>
    <row r="189" spans="2:3" hidden="1" x14ac:dyDescent="0.2">
      <c r="B189" s="110">
        <f t="shared" si="0"/>
        <v>2066</v>
      </c>
      <c r="C189" s="111">
        <f>[15]С2.5!$AY$11</f>
        <v>0</v>
      </c>
    </row>
    <row r="190" spans="2:3" hidden="1" x14ac:dyDescent="0.2">
      <c r="B190" s="110">
        <f t="shared" si="0"/>
        <v>2067</v>
      </c>
      <c r="C190" s="111">
        <f>[15]С2.5!$AZ$11</f>
        <v>0</v>
      </c>
    </row>
    <row r="191" spans="2:3" hidden="1" x14ac:dyDescent="0.2">
      <c r="B191" s="110">
        <f t="shared" si="0"/>
        <v>2068</v>
      </c>
      <c r="C191" s="111">
        <f>[15]С2.5!$BA$11</f>
        <v>0</v>
      </c>
    </row>
    <row r="192" spans="2:3" hidden="1" x14ac:dyDescent="0.2">
      <c r="B192" s="110">
        <f t="shared" si="0"/>
        <v>2069</v>
      </c>
      <c r="C192" s="111">
        <f>[15]С2.5!$BB$11</f>
        <v>0</v>
      </c>
    </row>
    <row r="193" spans="2:3" hidden="1" x14ac:dyDescent="0.2">
      <c r="B193" s="110">
        <f t="shared" si="0"/>
        <v>2070</v>
      </c>
      <c r="C193" s="111">
        <f>[15]С2.5!$BC$11</f>
        <v>0</v>
      </c>
    </row>
    <row r="194" spans="2:3" hidden="1" x14ac:dyDescent="0.2">
      <c r="B194" s="110">
        <f t="shared" si="0"/>
        <v>2071</v>
      </c>
      <c r="C194" s="111">
        <f>[15]С2.5!$BD$11</f>
        <v>0</v>
      </c>
    </row>
    <row r="195" spans="2:3" hidden="1" x14ac:dyDescent="0.2">
      <c r="B195" s="110">
        <f t="shared" si="0"/>
        <v>2072</v>
      </c>
      <c r="C195" s="111">
        <f>[15]С2.5!$BE$11</f>
        <v>0</v>
      </c>
    </row>
    <row r="196" spans="2:3" hidden="1" x14ac:dyDescent="0.2">
      <c r="B196" s="110">
        <f t="shared" si="0"/>
        <v>2073</v>
      </c>
      <c r="C196" s="111">
        <f>[15]С2.5!$BF$11</f>
        <v>0</v>
      </c>
    </row>
    <row r="197" spans="2:3" hidden="1" x14ac:dyDescent="0.2">
      <c r="B197" s="110">
        <f t="shared" si="0"/>
        <v>2074</v>
      </c>
      <c r="C197" s="111">
        <f>[15]С2.5!$BG$11</f>
        <v>0</v>
      </c>
    </row>
    <row r="198" spans="2:3" hidden="1" x14ac:dyDescent="0.2">
      <c r="B198" s="110">
        <f t="shared" si="0"/>
        <v>2075</v>
      </c>
      <c r="C198" s="111">
        <f>[15]С2.5!$BH$11</f>
        <v>0</v>
      </c>
    </row>
    <row r="199" spans="2:3" hidden="1" x14ac:dyDescent="0.2">
      <c r="B199" s="110">
        <f t="shared" si="0"/>
        <v>2076</v>
      </c>
      <c r="C199" s="111">
        <f>[15]С2.5!$BI$11</f>
        <v>0</v>
      </c>
    </row>
    <row r="200" spans="2:3" hidden="1" x14ac:dyDescent="0.2">
      <c r="B200" s="110">
        <f t="shared" si="0"/>
        <v>2077</v>
      </c>
      <c r="C200" s="111">
        <f>[15]С2.5!$BJ$11</f>
        <v>0</v>
      </c>
    </row>
    <row r="201" spans="2:3" hidden="1" x14ac:dyDescent="0.2">
      <c r="B201" s="110">
        <f t="shared" si="0"/>
        <v>2078</v>
      </c>
      <c r="C201" s="111">
        <f>[15]С2.5!$BK$11</f>
        <v>0</v>
      </c>
    </row>
    <row r="202" spans="2:3" hidden="1" x14ac:dyDescent="0.2">
      <c r="B202" s="110">
        <f t="shared" si="0"/>
        <v>2079</v>
      </c>
      <c r="C202" s="111">
        <f>[15]С2.5!$BL$11</f>
        <v>0</v>
      </c>
    </row>
    <row r="203" spans="2:3" hidden="1" x14ac:dyDescent="0.2">
      <c r="B203" s="110">
        <f t="shared" si="0"/>
        <v>2080</v>
      </c>
      <c r="C203" s="111">
        <f>[15]С2.5!$BM$11</f>
        <v>0</v>
      </c>
    </row>
    <row r="204" spans="2:3" hidden="1" x14ac:dyDescent="0.2">
      <c r="B204" s="110">
        <f t="shared" si="0"/>
        <v>2081</v>
      </c>
      <c r="C204" s="111">
        <f>[15]С2.5!$BN$11</f>
        <v>0</v>
      </c>
    </row>
    <row r="205" spans="2:3" hidden="1" x14ac:dyDescent="0.2">
      <c r="B205" s="110">
        <f t="shared" si="0"/>
        <v>2082</v>
      </c>
      <c r="C205" s="111">
        <f>[15]С2.5!$BO$11</f>
        <v>0</v>
      </c>
    </row>
    <row r="206" spans="2:3" hidden="1" x14ac:dyDescent="0.2">
      <c r="B206" s="110">
        <f t="shared" si="0"/>
        <v>2083</v>
      </c>
      <c r="C206" s="111">
        <f>[15]С2.5!$BP$11</f>
        <v>0</v>
      </c>
    </row>
    <row r="207" spans="2:3" hidden="1" x14ac:dyDescent="0.2">
      <c r="B207" s="110">
        <f t="shared" si="0"/>
        <v>2084</v>
      </c>
      <c r="C207" s="111">
        <f>[15]С2.5!$BQ$11</f>
        <v>0</v>
      </c>
    </row>
    <row r="208" spans="2:3" hidden="1" x14ac:dyDescent="0.2">
      <c r="B208" s="110">
        <f t="shared" si="0"/>
        <v>2085</v>
      </c>
      <c r="C208" s="111">
        <f>[15]С2.5!$BR$11</f>
        <v>0</v>
      </c>
    </row>
    <row r="209" spans="2:3" hidden="1" x14ac:dyDescent="0.2">
      <c r="B209" s="110">
        <f t="shared" ref="B209:B223" si="1">B208+1</f>
        <v>2086</v>
      </c>
      <c r="C209" s="111">
        <f>[15]С2.5!$BS$11</f>
        <v>0</v>
      </c>
    </row>
    <row r="210" spans="2:3" hidden="1" x14ac:dyDescent="0.2">
      <c r="B210" s="110">
        <f t="shared" si="1"/>
        <v>2087</v>
      </c>
      <c r="C210" s="111">
        <f>[15]С2.5!$BT$11</f>
        <v>0</v>
      </c>
    </row>
    <row r="211" spans="2:3" hidden="1" x14ac:dyDescent="0.2">
      <c r="B211" s="110">
        <f t="shared" si="1"/>
        <v>2088</v>
      </c>
      <c r="C211" s="111">
        <f>[15]С2.5!$BU$11</f>
        <v>0</v>
      </c>
    </row>
    <row r="212" spans="2:3" hidden="1" x14ac:dyDescent="0.2">
      <c r="B212" s="110">
        <f t="shared" si="1"/>
        <v>2089</v>
      </c>
      <c r="C212" s="111">
        <f>[15]С2.5!$BV$11</f>
        <v>0</v>
      </c>
    </row>
    <row r="213" spans="2:3" hidden="1" x14ac:dyDescent="0.2">
      <c r="B213" s="110">
        <f t="shared" si="1"/>
        <v>2090</v>
      </c>
      <c r="C213" s="111">
        <f>[15]С2.5!$BW$11</f>
        <v>0</v>
      </c>
    </row>
    <row r="214" spans="2:3" hidden="1" x14ac:dyDescent="0.2">
      <c r="B214" s="110">
        <f t="shared" si="1"/>
        <v>2091</v>
      </c>
      <c r="C214" s="111">
        <f>[15]С2.5!$BX$11</f>
        <v>0</v>
      </c>
    </row>
    <row r="215" spans="2:3" hidden="1" x14ac:dyDescent="0.2">
      <c r="B215" s="110">
        <f t="shared" si="1"/>
        <v>2092</v>
      </c>
      <c r="C215" s="111">
        <f>[15]С2.5!$BY$11</f>
        <v>0</v>
      </c>
    </row>
    <row r="216" spans="2:3" hidden="1" x14ac:dyDescent="0.2">
      <c r="B216" s="110">
        <f t="shared" si="1"/>
        <v>2093</v>
      </c>
      <c r="C216" s="111">
        <f>[15]С2.5!$BZ$11</f>
        <v>0</v>
      </c>
    </row>
    <row r="217" spans="2:3" hidden="1" x14ac:dyDescent="0.2">
      <c r="B217" s="110">
        <f t="shared" si="1"/>
        <v>2094</v>
      </c>
      <c r="C217" s="111">
        <f>[15]С2.5!$CA$11</f>
        <v>0</v>
      </c>
    </row>
    <row r="218" spans="2:3" hidden="1" x14ac:dyDescent="0.2">
      <c r="B218" s="110">
        <f t="shared" si="1"/>
        <v>2095</v>
      </c>
      <c r="C218" s="111">
        <f>[15]С2.5!$CB$11</f>
        <v>0</v>
      </c>
    </row>
    <row r="219" spans="2:3" hidden="1" x14ac:dyDescent="0.2">
      <c r="B219" s="110">
        <f t="shared" si="1"/>
        <v>2096</v>
      </c>
      <c r="C219" s="111">
        <f>[15]С2.5!$CC$11</f>
        <v>0</v>
      </c>
    </row>
    <row r="220" spans="2:3" hidden="1" x14ac:dyDescent="0.2">
      <c r="B220" s="110">
        <f t="shared" si="1"/>
        <v>2097</v>
      </c>
      <c r="C220" s="111">
        <f>[15]С2.5!$CD$11</f>
        <v>0</v>
      </c>
    </row>
    <row r="221" spans="2:3" hidden="1" x14ac:dyDescent="0.2">
      <c r="B221" s="110">
        <f t="shared" si="1"/>
        <v>2098</v>
      </c>
      <c r="C221" s="111">
        <f>[15]С2.5!$CE$11</f>
        <v>0</v>
      </c>
    </row>
    <row r="222" spans="2:3" hidden="1" x14ac:dyDescent="0.2">
      <c r="B222" s="110">
        <f t="shared" si="1"/>
        <v>2099</v>
      </c>
      <c r="C222" s="111">
        <f>[15]С2.5!$CF$11</f>
        <v>0</v>
      </c>
    </row>
    <row r="223" spans="2:3" ht="13.5" hidden="1" thickBot="1" x14ac:dyDescent="0.25">
      <c r="B223" s="112">
        <f t="shared" si="1"/>
        <v>2100</v>
      </c>
      <c r="C223" s="113">
        <f>[15]С2.5!$CG$11</f>
        <v>0</v>
      </c>
    </row>
    <row r="224" spans="2:3" hidden="1" x14ac:dyDescent="0.2">
      <c r="C224" s="116"/>
    </row>
    <row r="225" spans="3:3" hidden="1" x14ac:dyDescent="0.2">
      <c r="C225" s="116"/>
    </row>
    <row r="226" spans="3:3" x14ac:dyDescent="0.2">
      <c r="C226" s="116"/>
    </row>
  </sheetData>
  <mergeCells count="9">
    <mergeCell ref="B141:C141"/>
    <mergeCell ref="A14:C14"/>
    <mergeCell ref="B1:C1"/>
    <mergeCell ref="B27:C27"/>
    <mergeCell ref="B40:C40"/>
    <mergeCell ref="B84:C84"/>
    <mergeCell ref="B95:C95"/>
    <mergeCell ref="B124:C124"/>
    <mergeCell ref="B127:C127"/>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26"/>
  <sheetViews>
    <sheetView workbookViewId="0">
      <selection activeCell="C7" sqref="C7"/>
    </sheetView>
  </sheetViews>
  <sheetFormatPr defaultRowHeight="12.75" x14ac:dyDescent="0.2"/>
  <cols>
    <col min="1" max="1" width="7.28515625" style="2" customWidth="1"/>
    <col min="2" max="2" width="100.7109375" style="2" customWidth="1"/>
    <col min="3" max="3" width="20.85546875" style="139" customWidth="1"/>
    <col min="4" max="151" width="9.140625" style="2"/>
    <col min="152" max="233" width="0" style="2" hidden="1" customWidth="1"/>
    <col min="234" max="242" width="9.140625" style="2"/>
    <col min="243" max="243" width="3.7109375" style="2" customWidth="1"/>
    <col min="244" max="244" width="96.85546875" style="2" customWidth="1"/>
    <col min="245" max="245" width="30.85546875" style="2" customWidth="1"/>
    <col min="246" max="246" width="12.5703125" style="2" customWidth="1"/>
    <col min="247" max="247" width="5.140625" style="2" customWidth="1"/>
    <col min="248" max="248" width="9.140625" style="2"/>
    <col min="249" max="249" width="4.85546875" style="2" customWidth="1"/>
    <col min="250" max="250" width="30.5703125" style="2" customWidth="1"/>
    <col min="251" max="251" width="33.85546875" style="2" customWidth="1"/>
    <col min="252" max="252" width="5.140625" style="2" customWidth="1"/>
    <col min="253" max="254" width="17.5703125" style="2" customWidth="1"/>
    <col min="255" max="498" width="9.140625" style="2"/>
    <col min="499" max="499" width="3.7109375" style="2" customWidth="1"/>
    <col min="500" max="500" width="96.85546875" style="2" customWidth="1"/>
    <col min="501" max="501" width="30.85546875" style="2" customWidth="1"/>
    <col min="502" max="502" width="12.5703125" style="2" customWidth="1"/>
    <col min="503" max="503" width="5.140625" style="2" customWidth="1"/>
    <col min="504" max="504" width="9.140625" style="2"/>
    <col min="505" max="505" width="4.85546875" style="2" customWidth="1"/>
    <col min="506" max="506" width="30.5703125" style="2" customWidth="1"/>
    <col min="507" max="507" width="33.85546875" style="2" customWidth="1"/>
    <col min="508" max="508" width="5.140625" style="2" customWidth="1"/>
    <col min="509" max="510" width="17.5703125" style="2" customWidth="1"/>
    <col min="511" max="754" width="9.140625" style="2"/>
    <col min="755" max="755" width="3.7109375" style="2" customWidth="1"/>
    <col min="756" max="756" width="96.85546875" style="2" customWidth="1"/>
    <col min="757" max="757" width="30.85546875" style="2" customWidth="1"/>
    <col min="758" max="758" width="12.5703125" style="2" customWidth="1"/>
    <col min="759" max="759" width="5.140625" style="2" customWidth="1"/>
    <col min="760" max="760" width="9.140625" style="2"/>
    <col min="761" max="761" width="4.85546875" style="2" customWidth="1"/>
    <col min="762" max="762" width="30.5703125" style="2" customWidth="1"/>
    <col min="763" max="763" width="33.85546875" style="2" customWidth="1"/>
    <col min="764" max="764" width="5.140625" style="2" customWidth="1"/>
    <col min="765" max="766" width="17.5703125" style="2" customWidth="1"/>
    <col min="767" max="1010" width="9.140625" style="2"/>
    <col min="1011" max="1011" width="3.7109375" style="2" customWidth="1"/>
    <col min="1012" max="1012" width="96.85546875" style="2" customWidth="1"/>
    <col min="1013" max="1013" width="30.85546875" style="2" customWidth="1"/>
    <col min="1014" max="1014" width="12.5703125" style="2" customWidth="1"/>
    <col min="1015" max="1015" width="5.140625" style="2" customWidth="1"/>
    <col min="1016" max="1016" width="9.140625" style="2"/>
    <col min="1017" max="1017" width="4.85546875" style="2" customWidth="1"/>
    <col min="1018" max="1018" width="30.5703125" style="2" customWidth="1"/>
    <col min="1019" max="1019" width="33.85546875" style="2" customWidth="1"/>
    <col min="1020" max="1020" width="5.140625" style="2" customWidth="1"/>
    <col min="1021" max="1022" width="17.5703125" style="2" customWidth="1"/>
    <col min="1023" max="1266" width="9.140625" style="2"/>
    <col min="1267" max="1267" width="3.7109375" style="2" customWidth="1"/>
    <col min="1268" max="1268" width="96.85546875" style="2" customWidth="1"/>
    <col min="1269" max="1269" width="30.85546875" style="2" customWidth="1"/>
    <col min="1270" max="1270" width="12.5703125" style="2" customWidth="1"/>
    <col min="1271" max="1271" width="5.140625" style="2" customWidth="1"/>
    <col min="1272" max="1272" width="9.140625" style="2"/>
    <col min="1273" max="1273" width="4.85546875" style="2" customWidth="1"/>
    <col min="1274" max="1274" width="30.5703125" style="2" customWidth="1"/>
    <col min="1275" max="1275" width="33.85546875" style="2" customWidth="1"/>
    <col min="1276" max="1276" width="5.140625" style="2" customWidth="1"/>
    <col min="1277" max="1278" width="17.5703125" style="2" customWidth="1"/>
    <col min="1279" max="1522" width="9.140625" style="2"/>
    <col min="1523" max="1523" width="3.7109375" style="2" customWidth="1"/>
    <col min="1524" max="1524" width="96.85546875" style="2" customWidth="1"/>
    <col min="1525" max="1525" width="30.85546875" style="2" customWidth="1"/>
    <col min="1526" max="1526" width="12.5703125" style="2" customWidth="1"/>
    <col min="1527" max="1527" width="5.140625" style="2" customWidth="1"/>
    <col min="1528" max="1528" width="9.140625" style="2"/>
    <col min="1529" max="1529" width="4.85546875" style="2" customWidth="1"/>
    <col min="1530" max="1530" width="30.5703125" style="2" customWidth="1"/>
    <col min="1531" max="1531" width="33.85546875" style="2" customWidth="1"/>
    <col min="1532" max="1532" width="5.140625" style="2" customWidth="1"/>
    <col min="1533" max="1534" width="17.5703125" style="2" customWidth="1"/>
    <col min="1535" max="1778" width="9.140625" style="2"/>
    <col min="1779" max="1779" width="3.7109375" style="2" customWidth="1"/>
    <col min="1780" max="1780" width="96.85546875" style="2" customWidth="1"/>
    <col min="1781" max="1781" width="30.85546875" style="2" customWidth="1"/>
    <col min="1782" max="1782" width="12.5703125" style="2" customWidth="1"/>
    <col min="1783" max="1783" width="5.140625" style="2" customWidth="1"/>
    <col min="1784" max="1784" width="9.140625" style="2"/>
    <col min="1785" max="1785" width="4.85546875" style="2" customWidth="1"/>
    <col min="1786" max="1786" width="30.5703125" style="2" customWidth="1"/>
    <col min="1787" max="1787" width="33.85546875" style="2" customWidth="1"/>
    <col min="1788" max="1788" width="5.140625" style="2" customWidth="1"/>
    <col min="1789" max="1790" width="17.5703125" style="2" customWidth="1"/>
    <col min="1791" max="2034" width="9.140625" style="2"/>
    <col min="2035" max="2035" width="3.7109375" style="2" customWidth="1"/>
    <col min="2036" max="2036" width="96.85546875" style="2" customWidth="1"/>
    <col min="2037" max="2037" width="30.85546875" style="2" customWidth="1"/>
    <col min="2038" max="2038" width="12.5703125" style="2" customWidth="1"/>
    <col min="2039" max="2039" width="5.140625" style="2" customWidth="1"/>
    <col min="2040" max="2040" width="9.140625" style="2"/>
    <col min="2041" max="2041" width="4.85546875" style="2" customWidth="1"/>
    <col min="2042" max="2042" width="30.5703125" style="2" customWidth="1"/>
    <col min="2043" max="2043" width="33.85546875" style="2" customWidth="1"/>
    <col min="2044" max="2044" width="5.140625" style="2" customWidth="1"/>
    <col min="2045" max="2046" width="17.5703125" style="2" customWidth="1"/>
    <col min="2047" max="2290" width="9.140625" style="2"/>
    <col min="2291" max="2291" width="3.7109375" style="2" customWidth="1"/>
    <col min="2292" max="2292" width="96.85546875" style="2" customWidth="1"/>
    <col min="2293" max="2293" width="30.85546875" style="2" customWidth="1"/>
    <col min="2294" max="2294" width="12.5703125" style="2" customWidth="1"/>
    <col min="2295" max="2295" width="5.140625" style="2" customWidth="1"/>
    <col min="2296" max="2296" width="9.140625" style="2"/>
    <col min="2297" max="2297" width="4.85546875" style="2" customWidth="1"/>
    <col min="2298" max="2298" width="30.5703125" style="2" customWidth="1"/>
    <col min="2299" max="2299" width="33.85546875" style="2" customWidth="1"/>
    <col min="2300" max="2300" width="5.140625" style="2" customWidth="1"/>
    <col min="2301" max="2302" width="17.5703125" style="2" customWidth="1"/>
    <col min="2303" max="2546" width="9.140625" style="2"/>
    <col min="2547" max="2547" width="3.7109375" style="2" customWidth="1"/>
    <col min="2548" max="2548" width="96.85546875" style="2" customWidth="1"/>
    <col min="2549" max="2549" width="30.85546875" style="2" customWidth="1"/>
    <col min="2550" max="2550" width="12.5703125" style="2" customWidth="1"/>
    <col min="2551" max="2551" width="5.140625" style="2" customWidth="1"/>
    <col min="2552" max="2552" width="9.140625" style="2"/>
    <col min="2553" max="2553" width="4.85546875" style="2" customWidth="1"/>
    <col min="2554" max="2554" width="30.5703125" style="2" customWidth="1"/>
    <col min="2555" max="2555" width="33.85546875" style="2" customWidth="1"/>
    <col min="2556" max="2556" width="5.140625" style="2" customWidth="1"/>
    <col min="2557" max="2558" width="17.5703125" style="2" customWidth="1"/>
    <col min="2559" max="2802" width="9.140625" style="2"/>
    <col min="2803" max="2803" width="3.7109375" style="2" customWidth="1"/>
    <col min="2804" max="2804" width="96.85546875" style="2" customWidth="1"/>
    <col min="2805" max="2805" width="30.85546875" style="2" customWidth="1"/>
    <col min="2806" max="2806" width="12.5703125" style="2" customWidth="1"/>
    <col min="2807" max="2807" width="5.140625" style="2" customWidth="1"/>
    <col min="2808" max="2808" width="9.140625" style="2"/>
    <col min="2809" max="2809" width="4.85546875" style="2" customWidth="1"/>
    <col min="2810" max="2810" width="30.5703125" style="2" customWidth="1"/>
    <col min="2811" max="2811" width="33.85546875" style="2" customWidth="1"/>
    <col min="2812" max="2812" width="5.140625" style="2" customWidth="1"/>
    <col min="2813" max="2814" width="17.5703125" style="2" customWidth="1"/>
    <col min="2815" max="3058" width="9.140625" style="2"/>
    <col min="3059" max="3059" width="3.7109375" style="2" customWidth="1"/>
    <col min="3060" max="3060" width="96.85546875" style="2" customWidth="1"/>
    <col min="3061" max="3061" width="30.85546875" style="2" customWidth="1"/>
    <col min="3062" max="3062" width="12.5703125" style="2" customWidth="1"/>
    <col min="3063" max="3063" width="5.140625" style="2" customWidth="1"/>
    <col min="3064" max="3064" width="9.140625" style="2"/>
    <col min="3065" max="3065" width="4.85546875" style="2" customWidth="1"/>
    <col min="3066" max="3066" width="30.5703125" style="2" customWidth="1"/>
    <col min="3067" max="3067" width="33.85546875" style="2" customWidth="1"/>
    <col min="3068" max="3068" width="5.140625" style="2" customWidth="1"/>
    <col min="3069" max="3070" width="17.5703125" style="2" customWidth="1"/>
    <col min="3071" max="3314" width="9.140625" style="2"/>
    <col min="3315" max="3315" width="3.7109375" style="2" customWidth="1"/>
    <col min="3316" max="3316" width="96.85546875" style="2" customWidth="1"/>
    <col min="3317" max="3317" width="30.85546875" style="2" customWidth="1"/>
    <col min="3318" max="3318" width="12.5703125" style="2" customWidth="1"/>
    <col min="3319" max="3319" width="5.140625" style="2" customWidth="1"/>
    <col min="3320" max="3320" width="9.140625" style="2"/>
    <col min="3321" max="3321" width="4.85546875" style="2" customWidth="1"/>
    <col min="3322" max="3322" width="30.5703125" style="2" customWidth="1"/>
    <col min="3323" max="3323" width="33.85546875" style="2" customWidth="1"/>
    <col min="3324" max="3324" width="5.140625" style="2" customWidth="1"/>
    <col min="3325" max="3326" width="17.5703125" style="2" customWidth="1"/>
    <col min="3327" max="3570" width="9.140625" style="2"/>
    <col min="3571" max="3571" width="3.7109375" style="2" customWidth="1"/>
    <col min="3572" max="3572" width="96.85546875" style="2" customWidth="1"/>
    <col min="3573" max="3573" width="30.85546875" style="2" customWidth="1"/>
    <col min="3574" max="3574" width="12.5703125" style="2" customWidth="1"/>
    <col min="3575" max="3575" width="5.140625" style="2" customWidth="1"/>
    <col min="3576" max="3576" width="9.140625" style="2"/>
    <col min="3577" max="3577" width="4.85546875" style="2" customWidth="1"/>
    <col min="3578" max="3578" width="30.5703125" style="2" customWidth="1"/>
    <col min="3579" max="3579" width="33.85546875" style="2" customWidth="1"/>
    <col min="3580" max="3580" width="5.140625" style="2" customWidth="1"/>
    <col min="3581" max="3582" width="17.5703125" style="2" customWidth="1"/>
    <col min="3583" max="3826" width="9.140625" style="2"/>
    <col min="3827" max="3827" width="3.7109375" style="2" customWidth="1"/>
    <col min="3828" max="3828" width="96.85546875" style="2" customWidth="1"/>
    <col min="3829" max="3829" width="30.85546875" style="2" customWidth="1"/>
    <col min="3830" max="3830" width="12.5703125" style="2" customWidth="1"/>
    <col min="3831" max="3831" width="5.140625" style="2" customWidth="1"/>
    <col min="3832" max="3832" width="9.140625" style="2"/>
    <col min="3833" max="3833" width="4.85546875" style="2" customWidth="1"/>
    <col min="3834" max="3834" width="30.5703125" style="2" customWidth="1"/>
    <col min="3835" max="3835" width="33.85546875" style="2" customWidth="1"/>
    <col min="3836" max="3836" width="5.140625" style="2" customWidth="1"/>
    <col min="3837" max="3838" width="17.5703125" style="2" customWidth="1"/>
    <col min="3839" max="4082" width="9.140625" style="2"/>
    <col min="4083" max="4083" width="3.7109375" style="2" customWidth="1"/>
    <col min="4084" max="4084" width="96.85546875" style="2" customWidth="1"/>
    <col min="4085" max="4085" width="30.85546875" style="2" customWidth="1"/>
    <col min="4086" max="4086" width="12.5703125" style="2" customWidth="1"/>
    <col min="4087" max="4087" width="5.140625" style="2" customWidth="1"/>
    <col min="4088" max="4088" width="9.140625" style="2"/>
    <col min="4089" max="4089" width="4.85546875" style="2" customWidth="1"/>
    <col min="4090" max="4090" width="30.5703125" style="2" customWidth="1"/>
    <col min="4091" max="4091" width="33.85546875" style="2" customWidth="1"/>
    <col min="4092" max="4092" width="5.140625" style="2" customWidth="1"/>
    <col min="4093" max="4094" width="17.5703125" style="2" customWidth="1"/>
    <col min="4095" max="4338" width="9.140625" style="2"/>
    <col min="4339" max="4339" width="3.7109375" style="2" customWidth="1"/>
    <col min="4340" max="4340" width="96.85546875" style="2" customWidth="1"/>
    <col min="4341" max="4341" width="30.85546875" style="2" customWidth="1"/>
    <col min="4342" max="4342" width="12.5703125" style="2" customWidth="1"/>
    <col min="4343" max="4343" width="5.140625" style="2" customWidth="1"/>
    <col min="4344" max="4344" width="9.140625" style="2"/>
    <col min="4345" max="4345" width="4.85546875" style="2" customWidth="1"/>
    <col min="4346" max="4346" width="30.5703125" style="2" customWidth="1"/>
    <col min="4347" max="4347" width="33.85546875" style="2" customWidth="1"/>
    <col min="4348" max="4348" width="5.140625" style="2" customWidth="1"/>
    <col min="4349" max="4350" width="17.5703125" style="2" customWidth="1"/>
    <col min="4351" max="4594" width="9.140625" style="2"/>
    <col min="4595" max="4595" width="3.7109375" style="2" customWidth="1"/>
    <col min="4596" max="4596" width="96.85546875" style="2" customWidth="1"/>
    <col min="4597" max="4597" width="30.85546875" style="2" customWidth="1"/>
    <col min="4598" max="4598" width="12.5703125" style="2" customWidth="1"/>
    <col min="4599" max="4599" width="5.140625" style="2" customWidth="1"/>
    <col min="4600" max="4600" width="9.140625" style="2"/>
    <col min="4601" max="4601" width="4.85546875" style="2" customWidth="1"/>
    <col min="4602" max="4602" width="30.5703125" style="2" customWidth="1"/>
    <col min="4603" max="4603" width="33.85546875" style="2" customWidth="1"/>
    <col min="4604" max="4604" width="5.140625" style="2" customWidth="1"/>
    <col min="4605" max="4606" width="17.5703125" style="2" customWidth="1"/>
    <col min="4607" max="4850" width="9.140625" style="2"/>
    <col min="4851" max="4851" width="3.7109375" style="2" customWidth="1"/>
    <col min="4852" max="4852" width="96.85546875" style="2" customWidth="1"/>
    <col min="4853" max="4853" width="30.85546875" style="2" customWidth="1"/>
    <col min="4854" max="4854" width="12.5703125" style="2" customWidth="1"/>
    <col min="4855" max="4855" width="5.140625" style="2" customWidth="1"/>
    <col min="4856" max="4856" width="9.140625" style="2"/>
    <col min="4857" max="4857" width="4.85546875" style="2" customWidth="1"/>
    <col min="4858" max="4858" width="30.5703125" style="2" customWidth="1"/>
    <col min="4859" max="4859" width="33.85546875" style="2" customWidth="1"/>
    <col min="4860" max="4860" width="5.140625" style="2" customWidth="1"/>
    <col min="4861" max="4862" width="17.5703125" style="2" customWidth="1"/>
    <col min="4863" max="5106" width="9.140625" style="2"/>
    <col min="5107" max="5107" width="3.7109375" style="2" customWidth="1"/>
    <col min="5108" max="5108" width="96.85546875" style="2" customWidth="1"/>
    <col min="5109" max="5109" width="30.85546875" style="2" customWidth="1"/>
    <col min="5110" max="5110" width="12.5703125" style="2" customWidth="1"/>
    <col min="5111" max="5111" width="5.140625" style="2" customWidth="1"/>
    <col min="5112" max="5112" width="9.140625" style="2"/>
    <col min="5113" max="5113" width="4.85546875" style="2" customWidth="1"/>
    <col min="5114" max="5114" width="30.5703125" style="2" customWidth="1"/>
    <col min="5115" max="5115" width="33.85546875" style="2" customWidth="1"/>
    <col min="5116" max="5116" width="5.140625" style="2" customWidth="1"/>
    <col min="5117" max="5118" width="17.5703125" style="2" customWidth="1"/>
    <col min="5119" max="5362" width="9.140625" style="2"/>
    <col min="5363" max="5363" width="3.7109375" style="2" customWidth="1"/>
    <col min="5364" max="5364" width="96.85546875" style="2" customWidth="1"/>
    <col min="5365" max="5365" width="30.85546875" style="2" customWidth="1"/>
    <col min="5366" max="5366" width="12.5703125" style="2" customWidth="1"/>
    <col min="5367" max="5367" width="5.140625" style="2" customWidth="1"/>
    <col min="5368" max="5368" width="9.140625" style="2"/>
    <col min="5369" max="5369" width="4.85546875" style="2" customWidth="1"/>
    <col min="5370" max="5370" width="30.5703125" style="2" customWidth="1"/>
    <col min="5371" max="5371" width="33.85546875" style="2" customWidth="1"/>
    <col min="5372" max="5372" width="5.140625" style="2" customWidth="1"/>
    <col min="5373" max="5374" width="17.5703125" style="2" customWidth="1"/>
    <col min="5375" max="5618" width="9.140625" style="2"/>
    <col min="5619" max="5619" width="3.7109375" style="2" customWidth="1"/>
    <col min="5620" max="5620" width="96.85546875" style="2" customWidth="1"/>
    <col min="5621" max="5621" width="30.85546875" style="2" customWidth="1"/>
    <col min="5622" max="5622" width="12.5703125" style="2" customWidth="1"/>
    <col min="5623" max="5623" width="5.140625" style="2" customWidth="1"/>
    <col min="5624" max="5624" width="9.140625" style="2"/>
    <col min="5625" max="5625" width="4.85546875" style="2" customWidth="1"/>
    <col min="5626" max="5626" width="30.5703125" style="2" customWidth="1"/>
    <col min="5627" max="5627" width="33.85546875" style="2" customWidth="1"/>
    <col min="5628" max="5628" width="5.140625" style="2" customWidth="1"/>
    <col min="5629" max="5630" width="17.5703125" style="2" customWidth="1"/>
    <col min="5631" max="5874" width="9.140625" style="2"/>
    <col min="5875" max="5875" width="3.7109375" style="2" customWidth="1"/>
    <col min="5876" max="5876" width="96.85546875" style="2" customWidth="1"/>
    <col min="5877" max="5877" width="30.85546875" style="2" customWidth="1"/>
    <col min="5878" max="5878" width="12.5703125" style="2" customWidth="1"/>
    <col min="5879" max="5879" width="5.140625" style="2" customWidth="1"/>
    <col min="5880" max="5880" width="9.140625" style="2"/>
    <col min="5881" max="5881" width="4.85546875" style="2" customWidth="1"/>
    <col min="5882" max="5882" width="30.5703125" style="2" customWidth="1"/>
    <col min="5883" max="5883" width="33.85546875" style="2" customWidth="1"/>
    <col min="5884" max="5884" width="5.140625" style="2" customWidth="1"/>
    <col min="5885" max="5886" width="17.5703125" style="2" customWidth="1"/>
    <col min="5887" max="6130" width="9.140625" style="2"/>
    <col min="6131" max="6131" width="3.7109375" style="2" customWidth="1"/>
    <col min="6132" max="6132" width="96.85546875" style="2" customWidth="1"/>
    <col min="6133" max="6133" width="30.85546875" style="2" customWidth="1"/>
    <col min="6134" max="6134" width="12.5703125" style="2" customWidth="1"/>
    <col min="6135" max="6135" width="5.140625" style="2" customWidth="1"/>
    <col min="6136" max="6136" width="9.140625" style="2"/>
    <col min="6137" max="6137" width="4.85546875" style="2" customWidth="1"/>
    <col min="6138" max="6138" width="30.5703125" style="2" customWidth="1"/>
    <col min="6139" max="6139" width="33.85546875" style="2" customWidth="1"/>
    <col min="6140" max="6140" width="5.140625" style="2" customWidth="1"/>
    <col min="6141" max="6142" width="17.5703125" style="2" customWidth="1"/>
    <col min="6143" max="6386" width="9.140625" style="2"/>
    <col min="6387" max="6387" width="3.7109375" style="2" customWidth="1"/>
    <col min="6388" max="6388" width="96.85546875" style="2" customWidth="1"/>
    <col min="6389" max="6389" width="30.85546875" style="2" customWidth="1"/>
    <col min="6390" max="6390" width="12.5703125" style="2" customWidth="1"/>
    <col min="6391" max="6391" width="5.140625" style="2" customWidth="1"/>
    <col min="6392" max="6392" width="9.140625" style="2"/>
    <col min="6393" max="6393" width="4.85546875" style="2" customWidth="1"/>
    <col min="6394" max="6394" width="30.5703125" style="2" customWidth="1"/>
    <col min="6395" max="6395" width="33.85546875" style="2" customWidth="1"/>
    <col min="6396" max="6396" width="5.140625" style="2" customWidth="1"/>
    <col min="6397" max="6398" width="17.5703125" style="2" customWidth="1"/>
    <col min="6399" max="6642" width="9.140625" style="2"/>
    <col min="6643" max="6643" width="3.7109375" style="2" customWidth="1"/>
    <col min="6644" max="6644" width="96.85546875" style="2" customWidth="1"/>
    <col min="6645" max="6645" width="30.85546875" style="2" customWidth="1"/>
    <col min="6646" max="6646" width="12.5703125" style="2" customWidth="1"/>
    <col min="6647" max="6647" width="5.140625" style="2" customWidth="1"/>
    <col min="6648" max="6648" width="9.140625" style="2"/>
    <col min="6649" max="6649" width="4.85546875" style="2" customWidth="1"/>
    <col min="6650" max="6650" width="30.5703125" style="2" customWidth="1"/>
    <col min="6651" max="6651" width="33.85546875" style="2" customWidth="1"/>
    <col min="6652" max="6652" width="5.140625" style="2" customWidth="1"/>
    <col min="6653" max="6654" width="17.5703125" style="2" customWidth="1"/>
    <col min="6655" max="6898" width="9.140625" style="2"/>
    <col min="6899" max="6899" width="3.7109375" style="2" customWidth="1"/>
    <col min="6900" max="6900" width="96.85546875" style="2" customWidth="1"/>
    <col min="6901" max="6901" width="30.85546875" style="2" customWidth="1"/>
    <col min="6902" max="6902" width="12.5703125" style="2" customWidth="1"/>
    <col min="6903" max="6903" width="5.140625" style="2" customWidth="1"/>
    <col min="6904" max="6904" width="9.140625" style="2"/>
    <col min="6905" max="6905" width="4.85546875" style="2" customWidth="1"/>
    <col min="6906" max="6906" width="30.5703125" style="2" customWidth="1"/>
    <col min="6907" max="6907" width="33.85546875" style="2" customWidth="1"/>
    <col min="6908" max="6908" width="5.140625" style="2" customWidth="1"/>
    <col min="6909" max="6910" width="17.5703125" style="2" customWidth="1"/>
    <col min="6911" max="7154" width="9.140625" style="2"/>
    <col min="7155" max="7155" width="3.7109375" style="2" customWidth="1"/>
    <col min="7156" max="7156" width="96.85546875" style="2" customWidth="1"/>
    <col min="7157" max="7157" width="30.85546875" style="2" customWidth="1"/>
    <col min="7158" max="7158" width="12.5703125" style="2" customWidth="1"/>
    <col min="7159" max="7159" width="5.140625" style="2" customWidth="1"/>
    <col min="7160" max="7160" width="9.140625" style="2"/>
    <col min="7161" max="7161" width="4.85546875" style="2" customWidth="1"/>
    <col min="7162" max="7162" width="30.5703125" style="2" customWidth="1"/>
    <col min="7163" max="7163" width="33.85546875" style="2" customWidth="1"/>
    <col min="7164" max="7164" width="5.140625" style="2" customWidth="1"/>
    <col min="7165" max="7166" width="17.5703125" style="2" customWidth="1"/>
    <col min="7167" max="7410" width="9.140625" style="2"/>
    <col min="7411" max="7411" width="3.7109375" style="2" customWidth="1"/>
    <col min="7412" max="7412" width="96.85546875" style="2" customWidth="1"/>
    <col min="7413" max="7413" width="30.85546875" style="2" customWidth="1"/>
    <col min="7414" max="7414" width="12.5703125" style="2" customWidth="1"/>
    <col min="7415" max="7415" width="5.140625" style="2" customWidth="1"/>
    <col min="7416" max="7416" width="9.140625" style="2"/>
    <col min="7417" max="7417" width="4.85546875" style="2" customWidth="1"/>
    <col min="7418" max="7418" width="30.5703125" style="2" customWidth="1"/>
    <col min="7419" max="7419" width="33.85546875" style="2" customWidth="1"/>
    <col min="7420" max="7420" width="5.140625" style="2" customWidth="1"/>
    <col min="7421" max="7422" width="17.5703125" style="2" customWidth="1"/>
    <col min="7423" max="7666" width="9.140625" style="2"/>
    <col min="7667" max="7667" width="3.7109375" style="2" customWidth="1"/>
    <col min="7668" max="7668" width="96.85546875" style="2" customWidth="1"/>
    <col min="7669" max="7669" width="30.85546875" style="2" customWidth="1"/>
    <col min="7670" max="7670" width="12.5703125" style="2" customWidth="1"/>
    <col min="7671" max="7671" width="5.140625" style="2" customWidth="1"/>
    <col min="7672" max="7672" width="9.140625" style="2"/>
    <col min="7673" max="7673" width="4.85546875" style="2" customWidth="1"/>
    <col min="7674" max="7674" width="30.5703125" style="2" customWidth="1"/>
    <col min="7675" max="7675" width="33.85546875" style="2" customWidth="1"/>
    <col min="7676" max="7676" width="5.140625" style="2" customWidth="1"/>
    <col min="7677" max="7678" width="17.5703125" style="2" customWidth="1"/>
    <col min="7679" max="7922" width="9.140625" style="2"/>
    <col min="7923" max="7923" width="3.7109375" style="2" customWidth="1"/>
    <col min="7924" max="7924" width="96.85546875" style="2" customWidth="1"/>
    <col min="7925" max="7925" width="30.85546875" style="2" customWidth="1"/>
    <col min="7926" max="7926" width="12.5703125" style="2" customWidth="1"/>
    <col min="7927" max="7927" width="5.140625" style="2" customWidth="1"/>
    <col min="7928" max="7928" width="9.140625" style="2"/>
    <col min="7929" max="7929" width="4.85546875" style="2" customWidth="1"/>
    <col min="7930" max="7930" width="30.5703125" style="2" customWidth="1"/>
    <col min="7931" max="7931" width="33.85546875" style="2" customWidth="1"/>
    <col min="7932" max="7932" width="5.140625" style="2" customWidth="1"/>
    <col min="7933" max="7934" width="17.5703125" style="2" customWidth="1"/>
    <col min="7935" max="8178" width="9.140625" style="2"/>
    <col min="8179" max="8179" width="3.7109375" style="2" customWidth="1"/>
    <col min="8180" max="8180" width="96.85546875" style="2" customWidth="1"/>
    <col min="8181" max="8181" width="30.85546875" style="2" customWidth="1"/>
    <col min="8182" max="8182" width="12.5703125" style="2" customWidth="1"/>
    <col min="8183" max="8183" width="5.140625" style="2" customWidth="1"/>
    <col min="8184" max="8184" width="9.140625" style="2"/>
    <col min="8185" max="8185" width="4.85546875" style="2" customWidth="1"/>
    <col min="8186" max="8186" width="30.5703125" style="2" customWidth="1"/>
    <col min="8187" max="8187" width="33.85546875" style="2" customWidth="1"/>
    <col min="8188" max="8188" width="5.140625" style="2" customWidth="1"/>
    <col min="8189" max="8190" width="17.5703125" style="2" customWidth="1"/>
    <col min="8191" max="8434" width="9.140625" style="2"/>
    <col min="8435" max="8435" width="3.7109375" style="2" customWidth="1"/>
    <col min="8436" max="8436" width="96.85546875" style="2" customWidth="1"/>
    <col min="8437" max="8437" width="30.85546875" style="2" customWidth="1"/>
    <col min="8438" max="8438" width="12.5703125" style="2" customWidth="1"/>
    <col min="8439" max="8439" width="5.140625" style="2" customWidth="1"/>
    <col min="8440" max="8440" width="9.140625" style="2"/>
    <col min="8441" max="8441" width="4.85546875" style="2" customWidth="1"/>
    <col min="8442" max="8442" width="30.5703125" style="2" customWidth="1"/>
    <col min="8443" max="8443" width="33.85546875" style="2" customWidth="1"/>
    <col min="8444" max="8444" width="5.140625" style="2" customWidth="1"/>
    <col min="8445" max="8446" width="17.5703125" style="2" customWidth="1"/>
    <col min="8447" max="8690" width="9.140625" style="2"/>
    <col min="8691" max="8691" width="3.7109375" style="2" customWidth="1"/>
    <col min="8692" max="8692" width="96.85546875" style="2" customWidth="1"/>
    <col min="8693" max="8693" width="30.85546875" style="2" customWidth="1"/>
    <col min="8694" max="8694" width="12.5703125" style="2" customWidth="1"/>
    <col min="8695" max="8695" width="5.140625" style="2" customWidth="1"/>
    <col min="8696" max="8696" width="9.140625" style="2"/>
    <col min="8697" max="8697" width="4.85546875" style="2" customWidth="1"/>
    <col min="8698" max="8698" width="30.5703125" style="2" customWidth="1"/>
    <col min="8699" max="8699" width="33.85546875" style="2" customWidth="1"/>
    <col min="8700" max="8700" width="5.140625" style="2" customWidth="1"/>
    <col min="8701" max="8702" width="17.5703125" style="2" customWidth="1"/>
    <col min="8703" max="8946" width="9.140625" style="2"/>
    <col min="8947" max="8947" width="3.7109375" style="2" customWidth="1"/>
    <col min="8948" max="8948" width="96.85546875" style="2" customWidth="1"/>
    <col min="8949" max="8949" width="30.85546875" style="2" customWidth="1"/>
    <col min="8950" max="8950" width="12.5703125" style="2" customWidth="1"/>
    <col min="8951" max="8951" width="5.140625" style="2" customWidth="1"/>
    <col min="8952" max="8952" width="9.140625" style="2"/>
    <col min="8953" max="8953" width="4.85546875" style="2" customWidth="1"/>
    <col min="8954" max="8954" width="30.5703125" style="2" customWidth="1"/>
    <col min="8955" max="8955" width="33.85546875" style="2" customWidth="1"/>
    <col min="8956" max="8956" width="5.140625" style="2" customWidth="1"/>
    <col min="8957" max="8958" width="17.5703125" style="2" customWidth="1"/>
    <col min="8959" max="9202" width="9.140625" style="2"/>
    <col min="9203" max="9203" width="3.7109375" style="2" customWidth="1"/>
    <col min="9204" max="9204" width="96.85546875" style="2" customWidth="1"/>
    <col min="9205" max="9205" width="30.85546875" style="2" customWidth="1"/>
    <col min="9206" max="9206" width="12.5703125" style="2" customWidth="1"/>
    <col min="9207" max="9207" width="5.140625" style="2" customWidth="1"/>
    <col min="9208" max="9208" width="9.140625" style="2"/>
    <col min="9209" max="9209" width="4.85546875" style="2" customWidth="1"/>
    <col min="9210" max="9210" width="30.5703125" style="2" customWidth="1"/>
    <col min="9211" max="9211" width="33.85546875" style="2" customWidth="1"/>
    <col min="9212" max="9212" width="5.140625" style="2" customWidth="1"/>
    <col min="9213" max="9214" width="17.5703125" style="2" customWidth="1"/>
    <col min="9215" max="9458" width="9.140625" style="2"/>
    <col min="9459" max="9459" width="3.7109375" style="2" customWidth="1"/>
    <col min="9460" max="9460" width="96.85546875" style="2" customWidth="1"/>
    <col min="9461" max="9461" width="30.85546875" style="2" customWidth="1"/>
    <col min="9462" max="9462" width="12.5703125" style="2" customWidth="1"/>
    <col min="9463" max="9463" width="5.140625" style="2" customWidth="1"/>
    <col min="9464" max="9464" width="9.140625" style="2"/>
    <col min="9465" max="9465" width="4.85546875" style="2" customWidth="1"/>
    <col min="9466" max="9466" width="30.5703125" style="2" customWidth="1"/>
    <col min="9467" max="9467" width="33.85546875" style="2" customWidth="1"/>
    <col min="9468" max="9468" width="5.140625" style="2" customWidth="1"/>
    <col min="9469" max="9470" width="17.5703125" style="2" customWidth="1"/>
    <col min="9471" max="9714" width="9.140625" style="2"/>
    <col min="9715" max="9715" width="3.7109375" style="2" customWidth="1"/>
    <col min="9716" max="9716" width="96.85546875" style="2" customWidth="1"/>
    <col min="9717" max="9717" width="30.85546875" style="2" customWidth="1"/>
    <col min="9718" max="9718" width="12.5703125" style="2" customWidth="1"/>
    <col min="9719" max="9719" width="5.140625" style="2" customWidth="1"/>
    <col min="9720" max="9720" width="9.140625" style="2"/>
    <col min="9721" max="9721" width="4.85546875" style="2" customWidth="1"/>
    <col min="9722" max="9722" width="30.5703125" style="2" customWidth="1"/>
    <col min="9723" max="9723" width="33.85546875" style="2" customWidth="1"/>
    <col min="9724" max="9724" width="5.140625" style="2" customWidth="1"/>
    <col min="9725" max="9726" width="17.5703125" style="2" customWidth="1"/>
    <col min="9727" max="9970" width="9.140625" style="2"/>
    <col min="9971" max="9971" width="3.7109375" style="2" customWidth="1"/>
    <col min="9972" max="9972" width="96.85546875" style="2" customWidth="1"/>
    <col min="9973" max="9973" width="30.85546875" style="2" customWidth="1"/>
    <col min="9974" max="9974" width="12.5703125" style="2" customWidth="1"/>
    <col min="9975" max="9975" width="5.140625" style="2" customWidth="1"/>
    <col min="9976" max="9976" width="9.140625" style="2"/>
    <col min="9977" max="9977" width="4.85546875" style="2" customWidth="1"/>
    <col min="9978" max="9978" width="30.5703125" style="2" customWidth="1"/>
    <col min="9979" max="9979" width="33.85546875" style="2" customWidth="1"/>
    <col min="9980" max="9980" width="5.140625" style="2" customWidth="1"/>
    <col min="9981" max="9982" width="17.5703125" style="2" customWidth="1"/>
    <col min="9983" max="10226" width="9.140625" style="2"/>
    <col min="10227" max="10227" width="3.7109375" style="2" customWidth="1"/>
    <col min="10228" max="10228" width="96.85546875" style="2" customWidth="1"/>
    <col min="10229" max="10229" width="30.85546875" style="2" customWidth="1"/>
    <col min="10230" max="10230" width="12.5703125" style="2" customWidth="1"/>
    <col min="10231" max="10231" width="5.140625" style="2" customWidth="1"/>
    <col min="10232" max="10232" width="9.140625" style="2"/>
    <col min="10233" max="10233" width="4.85546875" style="2" customWidth="1"/>
    <col min="10234" max="10234" width="30.5703125" style="2" customWidth="1"/>
    <col min="10235" max="10235" width="33.85546875" style="2" customWidth="1"/>
    <col min="10236" max="10236" width="5.140625" style="2" customWidth="1"/>
    <col min="10237" max="10238" width="17.5703125" style="2" customWidth="1"/>
    <col min="10239" max="10482" width="9.140625" style="2"/>
    <col min="10483" max="10483" width="3.7109375" style="2" customWidth="1"/>
    <col min="10484" max="10484" width="96.85546875" style="2" customWidth="1"/>
    <col min="10485" max="10485" width="30.85546875" style="2" customWidth="1"/>
    <col min="10486" max="10486" width="12.5703125" style="2" customWidth="1"/>
    <col min="10487" max="10487" width="5.140625" style="2" customWidth="1"/>
    <col min="10488" max="10488" width="9.140625" style="2"/>
    <col min="10489" max="10489" width="4.85546875" style="2" customWidth="1"/>
    <col min="10490" max="10490" width="30.5703125" style="2" customWidth="1"/>
    <col min="10491" max="10491" width="33.85546875" style="2" customWidth="1"/>
    <col min="10492" max="10492" width="5.140625" style="2" customWidth="1"/>
    <col min="10493" max="10494" width="17.5703125" style="2" customWidth="1"/>
    <col min="10495" max="10738" width="9.140625" style="2"/>
    <col min="10739" max="10739" width="3.7109375" style="2" customWidth="1"/>
    <col min="10740" max="10740" width="96.85546875" style="2" customWidth="1"/>
    <col min="10741" max="10741" width="30.85546875" style="2" customWidth="1"/>
    <col min="10742" max="10742" width="12.5703125" style="2" customWidth="1"/>
    <col min="10743" max="10743" width="5.140625" style="2" customWidth="1"/>
    <col min="10744" max="10744" width="9.140625" style="2"/>
    <col min="10745" max="10745" width="4.85546875" style="2" customWidth="1"/>
    <col min="10746" max="10746" width="30.5703125" style="2" customWidth="1"/>
    <col min="10747" max="10747" width="33.85546875" style="2" customWidth="1"/>
    <col min="10748" max="10748" width="5.140625" style="2" customWidth="1"/>
    <col min="10749" max="10750" width="17.5703125" style="2" customWidth="1"/>
    <col min="10751" max="10994" width="9.140625" style="2"/>
    <col min="10995" max="10995" width="3.7109375" style="2" customWidth="1"/>
    <col min="10996" max="10996" width="96.85546875" style="2" customWidth="1"/>
    <col min="10997" max="10997" width="30.85546875" style="2" customWidth="1"/>
    <col min="10998" max="10998" width="12.5703125" style="2" customWidth="1"/>
    <col min="10999" max="10999" width="5.140625" style="2" customWidth="1"/>
    <col min="11000" max="11000" width="9.140625" style="2"/>
    <col min="11001" max="11001" width="4.85546875" style="2" customWidth="1"/>
    <col min="11002" max="11002" width="30.5703125" style="2" customWidth="1"/>
    <col min="11003" max="11003" width="33.85546875" style="2" customWidth="1"/>
    <col min="11004" max="11004" width="5.140625" style="2" customWidth="1"/>
    <col min="11005" max="11006" width="17.5703125" style="2" customWidth="1"/>
    <col min="11007" max="11250" width="9.140625" style="2"/>
    <col min="11251" max="11251" width="3.7109375" style="2" customWidth="1"/>
    <col min="11252" max="11252" width="96.85546875" style="2" customWidth="1"/>
    <col min="11253" max="11253" width="30.85546875" style="2" customWidth="1"/>
    <col min="11254" max="11254" width="12.5703125" style="2" customWidth="1"/>
    <col min="11255" max="11255" width="5.140625" style="2" customWidth="1"/>
    <col min="11256" max="11256" width="9.140625" style="2"/>
    <col min="11257" max="11257" width="4.85546875" style="2" customWidth="1"/>
    <col min="11258" max="11258" width="30.5703125" style="2" customWidth="1"/>
    <col min="11259" max="11259" width="33.85546875" style="2" customWidth="1"/>
    <col min="11260" max="11260" width="5.140625" style="2" customWidth="1"/>
    <col min="11261" max="11262" width="17.5703125" style="2" customWidth="1"/>
    <col min="11263" max="11506" width="9.140625" style="2"/>
    <col min="11507" max="11507" width="3.7109375" style="2" customWidth="1"/>
    <col min="11508" max="11508" width="96.85546875" style="2" customWidth="1"/>
    <col min="11509" max="11509" width="30.85546875" style="2" customWidth="1"/>
    <col min="11510" max="11510" width="12.5703125" style="2" customWidth="1"/>
    <col min="11511" max="11511" width="5.140625" style="2" customWidth="1"/>
    <col min="11512" max="11512" width="9.140625" style="2"/>
    <col min="11513" max="11513" width="4.85546875" style="2" customWidth="1"/>
    <col min="11514" max="11514" width="30.5703125" style="2" customWidth="1"/>
    <col min="11515" max="11515" width="33.85546875" style="2" customWidth="1"/>
    <col min="11516" max="11516" width="5.140625" style="2" customWidth="1"/>
    <col min="11517" max="11518" width="17.5703125" style="2" customWidth="1"/>
    <col min="11519" max="11762" width="9.140625" style="2"/>
    <col min="11763" max="11763" width="3.7109375" style="2" customWidth="1"/>
    <col min="11764" max="11764" width="96.85546875" style="2" customWidth="1"/>
    <col min="11765" max="11765" width="30.85546875" style="2" customWidth="1"/>
    <col min="11766" max="11766" width="12.5703125" style="2" customWidth="1"/>
    <col min="11767" max="11767" width="5.140625" style="2" customWidth="1"/>
    <col min="11768" max="11768" width="9.140625" style="2"/>
    <col min="11769" max="11769" width="4.85546875" style="2" customWidth="1"/>
    <col min="11770" max="11770" width="30.5703125" style="2" customWidth="1"/>
    <col min="11771" max="11771" width="33.85546875" style="2" customWidth="1"/>
    <col min="11772" max="11772" width="5.140625" style="2" customWidth="1"/>
    <col min="11773" max="11774" width="17.5703125" style="2" customWidth="1"/>
    <col min="11775" max="12018" width="9.140625" style="2"/>
    <col min="12019" max="12019" width="3.7109375" style="2" customWidth="1"/>
    <col min="12020" max="12020" width="96.85546875" style="2" customWidth="1"/>
    <col min="12021" max="12021" width="30.85546875" style="2" customWidth="1"/>
    <col min="12022" max="12022" width="12.5703125" style="2" customWidth="1"/>
    <col min="12023" max="12023" width="5.140625" style="2" customWidth="1"/>
    <col min="12024" max="12024" width="9.140625" style="2"/>
    <col min="12025" max="12025" width="4.85546875" style="2" customWidth="1"/>
    <col min="12026" max="12026" width="30.5703125" style="2" customWidth="1"/>
    <col min="12027" max="12027" width="33.85546875" style="2" customWidth="1"/>
    <col min="12028" max="12028" width="5.140625" style="2" customWidth="1"/>
    <col min="12029" max="12030" width="17.5703125" style="2" customWidth="1"/>
    <col min="12031" max="12274" width="9.140625" style="2"/>
    <col min="12275" max="12275" width="3.7109375" style="2" customWidth="1"/>
    <col min="12276" max="12276" width="96.85546875" style="2" customWidth="1"/>
    <col min="12277" max="12277" width="30.85546875" style="2" customWidth="1"/>
    <col min="12278" max="12278" width="12.5703125" style="2" customWidth="1"/>
    <col min="12279" max="12279" width="5.140625" style="2" customWidth="1"/>
    <col min="12280" max="12280" width="9.140625" style="2"/>
    <col min="12281" max="12281" width="4.85546875" style="2" customWidth="1"/>
    <col min="12282" max="12282" width="30.5703125" style="2" customWidth="1"/>
    <col min="12283" max="12283" width="33.85546875" style="2" customWidth="1"/>
    <col min="12284" max="12284" width="5.140625" style="2" customWidth="1"/>
    <col min="12285" max="12286" width="17.5703125" style="2" customWidth="1"/>
    <col min="12287" max="12530" width="9.140625" style="2"/>
    <col min="12531" max="12531" width="3.7109375" style="2" customWidth="1"/>
    <col min="12532" max="12532" width="96.85546875" style="2" customWidth="1"/>
    <col min="12533" max="12533" width="30.85546875" style="2" customWidth="1"/>
    <col min="12534" max="12534" width="12.5703125" style="2" customWidth="1"/>
    <col min="12535" max="12535" width="5.140625" style="2" customWidth="1"/>
    <col min="12536" max="12536" width="9.140625" style="2"/>
    <col min="12537" max="12537" width="4.85546875" style="2" customWidth="1"/>
    <col min="12538" max="12538" width="30.5703125" style="2" customWidth="1"/>
    <col min="12539" max="12539" width="33.85546875" style="2" customWidth="1"/>
    <col min="12540" max="12540" width="5.140625" style="2" customWidth="1"/>
    <col min="12541" max="12542" width="17.5703125" style="2" customWidth="1"/>
    <col min="12543" max="12786" width="9.140625" style="2"/>
    <col min="12787" max="12787" width="3.7109375" style="2" customWidth="1"/>
    <col min="12788" max="12788" width="96.85546875" style="2" customWidth="1"/>
    <col min="12789" max="12789" width="30.85546875" style="2" customWidth="1"/>
    <col min="12790" max="12790" width="12.5703125" style="2" customWidth="1"/>
    <col min="12791" max="12791" width="5.140625" style="2" customWidth="1"/>
    <col min="12792" max="12792" width="9.140625" style="2"/>
    <col min="12793" max="12793" width="4.85546875" style="2" customWidth="1"/>
    <col min="12794" max="12794" width="30.5703125" style="2" customWidth="1"/>
    <col min="12795" max="12795" width="33.85546875" style="2" customWidth="1"/>
    <col min="12796" max="12796" width="5.140625" style="2" customWidth="1"/>
    <col min="12797" max="12798" width="17.5703125" style="2" customWidth="1"/>
    <col min="12799" max="13042" width="9.140625" style="2"/>
    <col min="13043" max="13043" width="3.7109375" style="2" customWidth="1"/>
    <col min="13044" max="13044" width="96.85546875" style="2" customWidth="1"/>
    <col min="13045" max="13045" width="30.85546875" style="2" customWidth="1"/>
    <col min="13046" max="13046" width="12.5703125" style="2" customWidth="1"/>
    <col min="13047" max="13047" width="5.140625" style="2" customWidth="1"/>
    <col min="13048" max="13048" width="9.140625" style="2"/>
    <col min="13049" max="13049" width="4.85546875" style="2" customWidth="1"/>
    <col min="13050" max="13050" width="30.5703125" style="2" customWidth="1"/>
    <col min="13051" max="13051" width="33.85546875" style="2" customWidth="1"/>
    <col min="13052" max="13052" width="5.140625" style="2" customWidth="1"/>
    <col min="13053" max="13054" width="17.5703125" style="2" customWidth="1"/>
    <col min="13055" max="13298" width="9.140625" style="2"/>
    <col min="13299" max="13299" width="3.7109375" style="2" customWidth="1"/>
    <col min="13300" max="13300" width="96.85546875" style="2" customWidth="1"/>
    <col min="13301" max="13301" width="30.85546875" style="2" customWidth="1"/>
    <col min="13302" max="13302" width="12.5703125" style="2" customWidth="1"/>
    <col min="13303" max="13303" width="5.140625" style="2" customWidth="1"/>
    <col min="13304" max="13304" width="9.140625" style="2"/>
    <col min="13305" max="13305" width="4.85546875" style="2" customWidth="1"/>
    <col min="13306" max="13306" width="30.5703125" style="2" customWidth="1"/>
    <col min="13307" max="13307" width="33.85546875" style="2" customWidth="1"/>
    <col min="13308" max="13308" width="5.140625" style="2" customWidth="1"/>
    <col min="13309" max="13310" width="17.5703125" style="2" customWidth="1"/>
    <col min="13311" max="13554" width="9.140625" style="2"/>
    <col min="13555" max="13555" width="3.7109375" style="2" customWidth="1"/>
    <col min="13556" max="13556" width="96.85546875" style="2" customWidth="1"/>
    <col min="13557" max="13557" width="30.85546875" style="2" customWidth="1"/>
    <col min="13558" max="13558" width="12.5703125" style="2" customWidth="1"/>
    <col min="13559" max="13559" width="5.140625" style="2" customWidth="1"/>
    <col min="13560" max="13560" width="9.140625" style="2"/>
    <col min="13561" max="13561" width="4.85546875" style="2" customWidth="1"/>
    <col min="13562" max="13562" width="30.5703125" style="2" customWidth="1"/>
    <col min="13563" max="13563" width="33.85546875" style="2" customWidth="1"/>
    <col min="13564" max="13564" width="5.140625" style="2" customWidth="1"/>
    <col min="13565" max="13566" width="17.5703125" style="2" customWidth="1"/>
    <col min="13567" max="13810" width="9.140625" style="2"/>
    <col min="13811" max="13811" width="3.7109375" style="2" customWidth="1"/>
    <col min="13812" max="13812" width="96.85546875" style="2" customWidth="1"/>
    <col min="13813" max="13813" width="30.85546875" style="2" customWidth="1"/>
    <col min="13814" max="13814" width="12.5703125" style="2" customWidth="1"/>
    <col min="13815" max="13815" width="5.140625" style="2" customWidth="1"/>
    <col min="13816" max="13816" width="9.140625" style="2"/>
    <col min="13817" max="13817" width="4.85546875" style="2" customWidth="1"/>
    <col min="13818" max="13818" width="30.5703125" style="2" customWidth="1"/>
    <col min="13819" max="13819" width="33.85546875" style="2" customWidth="1"/>
    <col min="13820" max="13820" width="5.140625" style="2" customWidth="1"/>
    <col min="13821" max="13822" width="17.5703125" style="2" customWidth="1"/>
    <col min="13823" max="14066" width="9.140625" style="2"/>
    <col min="14067" max="14067" width="3.7109375" style="2" customWidth="1"/>
    <col min="14068" max="14068" width="96.85546875" style="2" customWidth="1"/>
    <col min="14069" max="14069" width="30.85546875" style="2" customWidth="1"/>
    <col min="14070" max="14070" width="12.5703125" style="2" customWidth="1"/>
    <col min="14071" max="14071" width="5.140625" style="2" customWidth="1"/>
    <col min="14072" max="14072" width="9.140625" style="2"/>
    <col min="14073" max="14073" width="4.85546875" style="2" customWidth="1"/>
    <col min="14074" max="14074" width="30.5703125" style="2" customWidth="1"/>
    <col min="14075" max="14075" width="33.85546875" style="2" customWidth="1"/>
    <col min="14076" max="14076" width="5.140625" style="2" customWidth="1"/>
    <col min="14077" max="14078" width="17.5703125" style="2" customWidth="1"/>
    <col min="14079" max="14322" width="9.140625" style="2"/>
    <col min="14323" max="14323" width="3.7109375" style="2" customWidth="1"/>
    <col min="14324" max="14324" width="96.85546875" style="2" customWidth="1"/>
    <col min="14325" max="14325" width="30.85546875" style="2" customWidth="1"/>
    <col min="14326" max="14326" width="12.5703125" style="2" customWidth="1"/>
    <col min="14327" max="14327" width="5.140625" style="2" customWidth="1"/>
    <col min="14328" max="14328" width="9.140625" style="2"/>
    <col min="14329" max="14329" width="4.85546875" style="2" customWidth="1"/>
    <col min="14330" max="14330" width="30.5703125" style="2" customWidth="1"/>
    <col min="14331" max="14331" width="33.85546875" style="2" customWidth="1"/>
    <col min="14332" max="14332" width="5.140625" style="2" customWidth="1"/>
    <col min="14333" max="14334" width="17.5703125" style="2" customWidth="1"/>
    <col min="14335" max="14578" width="9.140625" style="2"/>
    <col min="14579" max="14579" width="3.7109375" style="2" customWidth="1"/>
    <col min="14580" max="14580" width="96.85546875" style="2" customWidth="1"/>
    <col min="14581" max="14581" width="30.85546875" style="2" customWidth="1"/>
    <col min="14582" max="14582" width="12.5703125" style="2" customWidth="1"/>
    <col min="14583" max="14583" width="5.140625" style="2" customWidth="1"/>
    <col min="14584" max="14584" width="9.140625" style="2"/>
    <col min="14585" max="14585" width="4.85546875" style="2" customWidth="1"/>
    <col min="14586" max="14586" width="30.5703125" style="2" customWidth="1"/>
    <col min="14587" max="14587" width="33.85546875" style="2" customWidth="1"/>
    <col min="14588" max="14588" width="5.140625" style="2" customWidth="1"/>
    <col min="14589" max="14590" width="17.5703125" style="2" customWidth="1"/>
    <col min="14591" max="14834" width="9.140625" style="2"/>
    <col min="14835" max="14835" width="3.7109375" style="2" customWidth="1"/>
    <col min="14836" max="14836" width="96.85546875" style="2" customWidth="1"/>
    <col min="14837" max="14837" width="30.85546875" style="2" customWidth="1"/>
    <col min="14838" max="14838" width="12.5703125" style="2" customWidth="1"/>
    <col min="14839" max="14839" width="5.140625" style="2" customWidth="1"/>
    <col min="14840" max="14840" width="9.140625" style="2"/>
    <col min="14841" max="14841" width="4.85546875" style="2" customWidth="1"/>
    <col min="14842" max="14842" width="30.5703125" style="2" customWidth="1"/>
    <col min="14843" max="14843" width="33.85546875" style="2" customWidth="1"/>
    <col min="14844" max="14844" width="5.140625" style="2" customWidth="1"/>
    <col min="14845" max="14846" width="17.5703125" style="2" customWidth="1"/>
    <col min="14847" max="15090" width="9.140625" style="2"/>
    <col min="15091" max="15091" width="3.7109375" style="2" customWidth="1"/>
    <col min="15092" max="15092" width="96.85546875" style="2" customWidth="1"/>
    <col min="15093" max="15093" width="30.85546875" style="2" customWidth="1"/>
    <col min="15094" max="15094" width="12.5703125" style="2" customWidth="1"/>
    <col min="15095" max="15095" width="5.140625" style="2" customWidth="1"/>
    <col min="15096" max="15096" width="9.140625" style="2"/>
    <col min="15097" max="15097" width="4.85546875" style="2" customWidth="1"/>
    <col min="15098" max="15098" width="30.5703125" style="2" customWidth="1"/>
    <col min="15099" max="15099" width="33.85546875" style="2" customWidth="1"/>
    <col min="15100" max="15100" width="5.140625" style="2" customWidth="1"/>
    <col min="15101" max="15102" width="17.5703125" style="2" customWidth="1"/>
    <col min="15103" max="15346" width="9.140625" style="2"/>
    <col min="15347" max="15347" width="3.7109375" style="2" customWidth="1"/>
    <col min="15348" max="15348" width="96.85546875" style="2" customWidth="1"/>
    <col min="15349" max="15349" width="30.85546875" style="2" customWidth="1"/>
    <col min="15350" max="15350" width="12.5703125" style="2" customWidth="1"/>
    <col min="15351" max="15351" width="5.140625" style="2" customWidth="1"/>
    <col min="15352" max="15352" width="9.140625" style="2"/>
    <col min="15353" max="15353" width="4.85546875" style="2" customWidth="1"/>
    <col min="15354" max="15354" width="30.5703125" style="2" customWidth="1"/>
    <col min="15355" max="15355" width="33.85546875" style="2" customWidth="1"/>
    <col min="15356" max="15356" width="5.140625" style="2" customWidth="1"/>
    <col min="15357" max="15358" width="17.5703125" style="2" customWidth="1"/>
    <col min="15359" max="15602" width="9.140625" style="2"/>
    <col min="15603" max="15603" width="3.7109375" style="2" customWidth="1"/>
    <col min="15604" max="15604" width="96.85546875" style="2" customWidth="1"/>
    <col min="15605" max="15605" width="30.85546875" style="2" customWidth="1"/>
    <col min="15606" max="15606" width="12.5703125" style="2" customWidth="1"/>
    <col min="15607" max="15607" width="5.140625" style="2" customWidth="1"/>
    <col min="15608" max="15608" width="9.140625" style="2"/>
    <col min="15609" max="15609" width="4.85546875" style="2" customWidth="1"/>
    <col min="15610" max="15610" width="30.5703125" style="2" customWidth="1"/>
    <col min="15611" max="15611" width="33.85546875" style="2" customWidth="1"/>
    <col min="15612" max="15612" width="5.140625" style="2" customWidth="1"/>
    <col min="15613" max="15614" width="17.5703125" style="2" customWidth="1"/>
    <col min="15615" max="15858" width="9.140625" style="2"/>
    <col min="15859" max="15859" width="3.7109375" style="2" customWidth="1"/>
    <col min="15860" max="15860" width="96.85546875" style="2" customWidth="1"/>
    <col min="15861" max="15861" width="30.85546875" style="2" customWidth="1"/>
    <col min="15862" max="15862" width="12.5703125" style="2" customWidth="1"/>
    <col min="15863" max="15863" width="5.140625" style="2" customWidth="1"/>
    <col min="15864" max="15864" width="9.140625" style="2"/>
    <col min="15865" max="15865" width="4.85546875" style="2" customWidth="1"/>
    <col min="15866" max="15866" width="30.5703125" style="2" customWidth="1"/>
    <col min="15867" max="15867" width="33.85546875" style="2" customWidth="1"/>
    <col min="15868" max="15868" width="5.140625" style="2" customWidth="1"/>
    <col min="15869" max="15870" width="17.5703125" style="2" customWidth="1"/>
    <col min="15871" max="16114" width="9.140625" style="2"/>
    <col min="16115" max="16115" width="3.7109375" style="2" customWidth="1"/>
    <col min="16116" max="16116" width="96.85546875" style="2" customWidth="1"/>
    <col min="16117" max="16117" width="30.85546875" style="2" customWidth="1"/>
    <col min="16118" max="16118" width="12.5703125" style="2" customWidth="1"/>
    <col min="16119" max="16119" width="5.140625" style="2" customWidth="1"/>
    <col min="16120" max="16120" width="9.140625" style="2"/>
    <col min="16121" max="16121" width="4.85546875" style="2" customWidth="1"/>
    <col min="16122" max="16122" width="30.5703125" style="2" customWidth="1"/>
    <col min="16123" max="16123" width="33.85546875" style="2" customWidth="1"/>
    <col min="16124" max="16124" width="5.140625" style="2" customWidth="1"/>
    <col min="16125" max="16126" width="17.5703125" style="2" customWidth="1"/>
    <col min="16127" max="16384" width="9.140625" style="2"/>
  </cols>
  <sheetData>
    <row r="1" spans="1:3" ht="48" customHeight="1" x14ac:dyDescent="0.2">
      <c r="A1" s="3"/>
      <c r="B1" s="143" t="s">
        <v>227</v>
      </c>
      <c r="C1" s="143"/>
    </row>
    <row r="2" spans="1:3" x14ac:dyDescent="0.2">
      <c r="A2" s="3"/>
      <c r="B2" s="4" t="s">
        <v>1</v>
      </c>
      <c r="C2" s="5">
        <v>46052</v>
      </c>
    </row>
    <row r="3" spans="1:3" x14ac:dyDescent="0.2">
      <c r="A3" s="3"/>
      <c r="B3" s="117" t="s">
        <v>2</v>
      </c>
      <c r="C3" s="7"/>
    </row>
    <row r="4" spans="1:3" ht="21" customHeight="1" x14ac:dyDescent="0.2">
      <c r="A4" s="8"/>
      <c r="B4" s="9" t="str">
        <f>[17]И1!D13</f>
        <v>Субъект Российской Федерации</v>
      </c>
      <c r="C4" s="10" t="str">
        <f>[17]И1!E13</f>
        <v>Новосибирская область</v>
      </c>
    </row>
    <row r="5" spans="1:3" ht="37.5" customHeight="1" x14ac:dyDescent="0.2">
      <c r="A5" s="8"/>
      <c r="B5" s="9" t="str">
        <f>[17]И1!D14</f>
        <v>Тип муниципального образования (выберите из списка)</v>
      </c>
      <c r="C5" s="10" t="str">
        <f>[12]И1!E14</f>
        <v>поселок Агролес, Искитимский муниципальный район</v>
      </c>
    </row>
    <row r="6" spans="1:3" x14ac:dyDescent="0.2">
      <c r="A6" s="8"/>
      <c r="B6" s="9" t="str">
        <f>IF([17]И1!E15="","",[17]И1!D15)</f>
        <v/>
      </c>
      <c r="C6" s="7">
        <f>IF([17]И1!E15="","",[17]И1!E15)</f>
        <v>0</v>
      </c>
    </row>
    <row r="7" spans="1:3" x14ac:dyDescent="0.2">
      <c r="A7" s="8"/>
      <c r="B7" s="9" t="str">
        <f>[17]И1!D16</f>
        <v>Код ОКТМО</v>
      </c>
      <c r="C7" s="11" t="str">
        <f>[12]И1!E16</f>
        <v xml:space="preserve"> (50615417101)</v>
      </c>
    </row>
    <row r="8" spans="1:3" x14ac:dyDescent="0.2">
      <c r="A8" s="8"/>
      <c r="B8" s="12" t="str">
        <f>[17]И1!D17</f>
        <v>Система теплоснабжения</v>
      </c>
      <c r="C8" s="13">
        <f>[17]И1!E17</f>
        <v>0</v>
      </c>
    </row>
    <row r="9" spans="1:3" x14ac:dyDescent="0.2">
      <c r="A9" s="8"/>
      <c r="B9" s="9" t="str">
        <f>[17]И1!D8</f>
        <v>Период регулирования (i)-й</v>
      </c>
      <c r="C9" s="14">
        <f>[17]И1!E8</f>
        <v>2026</v>
      </c>
    </row>
    <row r="10" spans="1:3" x14ac:dyDescent="0.2">
      <c r="A10" s="8"/>
      <c r="B10" s="9" t="str">
        <f>[17]И1!D9</f>
        <v>Период регулирования (i-1)-й</v>
      </c>
      <c r="C10" s="14">
        <f>[17]И1!E9</f>
        <v>2025</v>
      </c>
    </row>
    <row r="11" spans="1:3" x14ac:dyDescent="0.2">
      <c r="A11" s="8"/>
      <c r="B11" s="9" t="str">
        <f>[17]И1!D10</f>
        <v>Период регулирования (i-2)-й</v>
      </c>
      <c r="C11" s="14">
        <f>[17]И1!E10</f>
        <v>2024</v>
      </c>
    </row>
    <row r="12" spans="1:3" x14ac:dyDescent="0.2">
      <c r="A12" s="8"/>
      <c r="B12" s="9" t="str">
        <f>[17]И1!D11</f>
        <v>Базовый год (б)</v>
      </c>
      <c r="C12" s="14">
        <f>[17]И1!E11</f>
        <v>2019</v>
      </c>
    </row>
    <row r="13" spans="1:3" x14ac:dyDescent="0.2">
      <c r="A13" s="8"/>
      <c r="B13" s="9" t="str">
        <f>[17]И1!D18</f>
        <v>Вид топлива, использование которого преобладает в системе теплоснабжения</v>
      </c>
      <c r="C13" s="15" t="str">
        <f>[17]И1!E18</f>
        <v>Газ</v>
      </c>
    </row>
    <row r="14" spans="1:3" ht="26.25" customHeight="1" thickBot="1" x14ac:dyDescent="0.25">
      <c r="A14" s="147" t="s">
        <v>3</v>
      </c>
      <c r="B14" s="147"/>
      <c r="C14" s="147"/>
    </row>
    <row r="15" spans="1:3" x14ac:dyDescent="0.2">
      <c r="A15" s="16" t="s">
        <v>4</v>
      </c>
      <c r="B15" s="30" t="s">
        <v>5</v>
      </c>
      <c r="C15" s="118" t="s">
        <v>6</v>
      </c>
    </row>
    <row r="16" spans="1:3" x14ac:dyDescent="0.2">
      <c r="A16" s="19">
        <v>1</v>
      </c>
      <c r="B16" s="119">
        <v>2</v>
      </c>
      <c r="C16" s="120">
        <v>3</v>
      </c>
    </row>
    <row r="17" spans="1:3" x14ac:dyDescent="0.2">
      <c r="A17" s="22">
        <v>1</v>
      </c>
      <c r="B17" s="23" t="s">
        <v>7</v>
      </c>
      <c r="C17" s="24">
        <f>SUM(C18:C23)</f>
        <v>4431.2085180918375</v>
      </c>
    </row>
    <row r="18" spans="1:3" ht="42.75" x14ac:dyDescent="0.2">
      <c r="A18" s="22" t="s">
        <v>8</v>
      </c>
      <c r="B18" s="25" t="s">
        <v>9</v>
      </c>
      <c r="C18" s="26">
        <f>[17]С1!F12</f>
        <v>1278.3072413778675</v>
      </c>
    </row>
    <row r="19" spans="1:3" ht="42.75" x14ac:dyDescent="0.2">
      <c r="A19" s="22" t="s">
        <v>10</v>
      </c>
      <c r="B19" s="25" t="s">
        <v>11</v>
      </c>
      <c r="C19" s="26">
        <f>[17]С2!F12</f>
        <v>2138.4809328120286</v>
      </c>
    </row>
    <row r="20" spans="1:3" ht="30" x14ac:dyDescent="0.2">
      <c r="A20" s="22" t="s">
        <v>12</v>
      </c>
      <c r="B20" s="25" t="s">
        <v>13</v>
      </c>
      <c r="C20" s="26">
        <f>[17]С3!F12</f>
        <v>648.30389958699197</v>
      </c>
    </row>
    <row r="21" spans="1:3" ht="42.75" x14ac:dyDescent="0.2">
      <c r="A21" s="22" t="s">
        <v>14</v>
      </c>
      <c r="B21" s="25" t="s">
        <v>228</v>
      </c>
      <c r="C21" s="26">
        <f>[17]С4!F12</f>
        <v>279.23000278373644</v>
      </c>
    </row>
    <row r="22" spans="1:3" ht="33" customHeight="1" x14ac:dyDescent="0.2">
      <c r="A22" s="22" t="s">
        <v>16</v>
      </c>
      <c r="B22" s="25" t="s">
        <v>229</v>
      </c>
      <c r="C22" s="26">
        <f>[17]С5!F12</f>
        <v>86.886441531212498</v>
      </c>
    </row>
    <row r="23" spans="1:3" ht="45.75" customHeight="1" thickBot="1" x14ac:dyDescent="0.25">
      <c r="A23" s="27" t="s">
        <v>18</v>
      </c>
      <c r="B23" s="140" t="s">
        <v>230</v>
      </c>
      <c r="C23" s="28">
        <f>[17]С6!F12</f>
        <v>0</v>
      </c>
    </row>
    <row r="24" spans="1:3" ht="13.5" thickBot="1" x14ac:dyDescent="0.25">
      <c r="A24" s="3"/>
      <c r="C24" s="7"/>
    </row>
    <row r="25" spans="1:3" x14ac:dyDescent="0.2">
      <c r="A25" s="16" t="s">
        <v>4</v>
      </c>
      <c r="B25" s="29" t="s">
        <v>5</v>
      </c>
      <c r="C25" s="30" t="s">
        <v>6</v>
      </c>
    </row>
    <row r="26" spans="1:3" x14ac:dyDescent="0.2">
      <c r="A26" s="19">
        <v>1</v>
      </c>
      <c r="B26" s="31">
        <v>2</v>
      </c>
      <c r="C26" s="32">
        <v>3</v>
      </c>
    </row>
    <row r="27" spans="1:3" ht="30" customHeight="1" x14ac:dyDescent="0.2">
      <c r="A27" s="22">
        <v>1</v>
      </c>
      <c r="B27" s="144" t="s">
        <v>20</v>
      </c>
      <c r="C27" s="144"/>
    </row>
    <row r="28" spans="1:3" x14ac:dyDescent="0.2">
      <c r="A28" s="22" t="s">
        <v>8</v>
      </c>
      <c r="B28" s="33" t="s">
        <v>231</v>
      </c>
      <c r="C28" s="34">
        <f>[17]С1.1!E16</f>
        <v>7900</v>
      </c>
    </row>
    <row r="29" spans="1:3" ht="42.75" x14ac:dyDescent="0.2">
      <c r="A29" s="22" t="s">
        <v>10</v>
      </c>
      <c r="B29" s="33" t="s">
        <v>232</v>
      </c>
      <c r="C29" s="34">
        <f>[17]С1.1!E32</f>
        <v>6710.12</v>
      </c>
    </row>
    <row r="30" spans="1:3" ht="128.25" customHeight="1" x14ac:dyDescent="0.2">
      <c r="A30" s="22" t="s">
        <v>233</v>
      </c>
      <c r="B30" s="33" t="s">
        <v>234</v>
      </c>
      <c r="C30" s="85" t="str">
        <f>[17]С1.1!E25</f>
        <v>ООО "Газпром межрегионгаз Новосибирск", ООО "Газпром газораспределение Томск" (с 17.02.2025 ООО "Газпром газораспределение Сибирь")</v>
      </c>
    </row>
    <row r="31" spans="1:3" ht="38.25" x14ac:dyDescent="0.2">
      <c r="A31" s="22" t="s">
        <v>235</v>
      </c>
      <c r="B31" s="33" t="str">
        <f>[17]С1.1!D26</f>
        <v>Среднеарифметическое значение между установленными предельными максимальным и минимальным уровнями оптовых цен, действовавшими на день окончания (i-2)-го расчетного периода регулирования в системе теплоснабжения, без НДС, руб./тыс. куб. м</v>
      </c>
      <c r="C31" s="34">
        <f>[17]С1.1!E26</f>
        <v>5670</v>
      </c>
    </row>
    <row r="32" spans="1:3" ht="46.5" customHeight="1" x14ac:dyDescent="0.2">
      <c r="A32" s="22" t="s">
        <v>236</v>
      </c>
      <c r="B32" s="33" t="str">
        <f>[17]С1.1!D27</f>
        <v>Тариф на услуги по транспортировке газа по газораспределительным сетям, действовавший на день окончания (i-2)-го расчетного периода регулирования в системе теплоснабжения, без НДС, руб./тыс. куб. м</v>
      </c>
      <c r="C32" s="34">
        <f>[17]С1.1!E27</f>
        <v>689.14</v>
      </c>
    </row>
    <row r="33" spans="1:3" ht="39" customHeight="1" x14ac:dyDescent="0.2">
      <c r="A33" s="22" t="s">
        <v>237</v>
      </c>
      <c r="B33" s="33" t="str">
        <f>[17]С1.1!D28</f>
        <v>Размер платы за снабженческо-сбытовые услуги, действовавший на день окончания (i-2)-го расчетного периода регулирования в системе теплоснабжения, без НДС, руб./тыс. куб. м</v>
      </c>
      <c r="C33" s="34">
        <f>[17]С1.1!E28</f>
        <v>144.72999999999999</v>
      </c>
    </row>
    <row r="34" spans="1:3" ht="90" customHeight="1" x14ac:dyDescent="0.2">
      <c r="A34" s="22" t="s">
        <v>238</v>
      </c>
      <c r="B34" s="33" t="str">
        <f>[17]С1.1!D29</f>
        <v>Специальная надбавка к тарифам на услуги по транспортировке газа по газораспределительным сетям, действовавшая на день окончания (i-2)-го расчетного периода регулирования в системе теплоснабжения, без НДС, руб./тыс. куб. м</v>
      </c>
      <c r="C34" s="34">
        <f>[17]С1.1!E29</f>
        <v>206.25</v>
      </c>
    </row>
    <row r="35" spans="1:3" ht="287.25" customHeight="1" x14ac:dyDescent="0.2">
      <c r="A35" s="22" t="s">
        <v>12</v>
      </c>
      <c r="B35" s="33" t="s">
        <v>23</v>
      </c>
      <c r="C35" s="35">
        <f>[17]С1.1!E20</f>
        <v>0.21299999999999999</v>
      </c>
    </row>
    <row r="36" spans="1:3" ht="298.5" customHeight="1" x14ac:dyDescent="0.2">
      <c r="A36" s="22" t="s">
        <v>14</v>
      </c>
      <c r="B36" s="33" t="s">
        <v>24</v>
      </c>
      <c r="C36" s="35">
        <f>[17]С1.1!E21</f>
        <v>9.6000000000000002E-2</v>
      </c>
    </row>
    <row r="37" spans="1:3" ht="30" x14ac:dyDescent="0.2">
      <c r="A37" s="22" t="s">
        <v>16</v>
      </c>
      <c r="B37" s="36" t="s">
        <v>239</v>
      </c>
      <c r="C37" s="121">
        <f>[17]С1!F13</f>
        <v>156.1</v>
      </c>
    </row>
    <row r="38" spans="1:3" x14ac:dyDescent="0.2">
      <c r="A38" s="22" t="s">
        <v>18</v>
      </c>
      <c r="B38" s="36" t="s">
        <v>26</v>
      </c>
      <c r="C38" s="38">
        <f>[17]С1!F16</f>
        <v>7000</v>
      </c>
    </row>
    <row r="39" spans="1:3" ht="14.25" x14ac:dyDescent="0.2">
      <c r="A39" s="122" t="s">
        <v>27</v>
      </c>
      <c r="B39" s="39" t="s">
        <v>240</v>
      </c>
      <c r="C39" s="40">
        <f>[17]С1!F17</f>
        <v>1.1285714285714286</v>
      </c>
    </row>
    <row r="40" spans="1:3" ht="15.75" x14ac:dyDescent="0.2">
      <c r="A40" s="123" t="s">
        <v>29</v>
      </c>
      <c r="B40" s="42" t="s">
        <v>30</v>
      </c>
      <c r="C40" s="40">
        <f>[17]С1!F20</f>
        <v>22.307053372799995</v>
      </c>
    </row>
    <row r="41" spans="1:3" ht="15.75" x14ac:dyDescent="0.2">
      <c r="A41" s="123" t="s">
        <v>31</v>
      </c>
      <c r="B41" s="43" t="s">
        <v>32</v>
      </c>
      <c r="C41" s="40">
        <f>[17]С1!F21</f>
        <v>21.531904799999996</v>
      </c>
    </row>
    <row r="42" spans="1:3" ht="14.25" x14ac:dyDescent="0.2">
      <c r="A42" s="123" t="s">
        <v>33</v>
      </c>
      <c r="B42" s="44" t="s">
        <v>34</v>
      </c>
      <c r="C42" s="40">
        <f>[17]С1!F22</f>
        <v>1.036</v>
      </c>
    </row>
    <row r="43" spans="1:3" ht="53.25" thickBot="1" x14ac:dyDescent="0.25">
      <c r="A43" s="27" t="s">
        <v>35</v>
      </c>
      <c r="B43" s="45" t="s">
        <v>36</v>
      </c>
      <c r="C43" s="46" t="str">
        <f>[17]С1!F23</f>
        <v>-</v>
      </c>
    </row>
    <row r="44" spans="1:3" ht="13.5" thickBot="1" x14ac:dyDescent="0.25">
      <c r="A44" s="47"/>
      <c r="B44" s="75"/>
      <c r="C44" s="15"/>
    </row>
    <row r="45" spans="1:3" ht="30" customHeight="1" x14ac:dyDescent="0.2">
      <c r="A45" s="50" t="s">
        <v>37</v>
      </c>
      <c r="B45" s="145" t="s">
        <v>38</v>
      </c>
      <c r="C45" s="145"/>
    </row>
    <row r="46" spans="1:3" ht="25.5" x14ac:dyDescent="0.2">
      <c r="A46" s="22" t="s">
        <v>39</v>
      </c>
      <c r="B46" s="36" t="s">
        <v>40</v>
      </c>
      <c r="C46" s="51" t="str">
        <f>[17]С2.1!E12</f>
        <v>V</v>
      </c>
    </row>
    <row r="47" spans="1:3" ht="25.5" x14ac:dyDescent="0.2">
      <c r="A47" s="22" t="s">
        <v>41</v>
      </c>
      <c r="B47" s="33" t="s">
        <v>42</v>
      </c>
      <c r="C47" s="51" t="str">
        <f>[17]С2.1!E13</f>
        <v>6 и менее баллов</v>
      </c>
    </row>
    <row r="48" spans="1:3" ht="25.5" x14ac:dyDescent="0.2">
      <c r="A48" s="22" t="s">
        <v>43</v>
      </c>
      <c r="B48" s="33" t="s">
        <v>241</v>
      </c>
      <c r="C48" s="51" t="str">
        <f>[17]С2.1!E14</f>
        <v>до 200</v>
      </c>
    </row>
    <row r="49" spans="1:3" ht="25.5" x14ac:dyDescent="0.2">
      <c r="A49" s="22" t="s">
        <v>45</v>
      </c>
      <c r="B49" s="33" t="s">
        <v>242</v>
      </c>
      <c r="C49" s="52" t="str">
        <f>[17]С2.1!E15</f>
        <v>нет</v>
      </c>
    </row>
    <row r="50" spans="1:3" ht="30" x14ac:dyDescent="0.2">
      <c r="A50" s="22" t="s">
        <v>47</v>
      </c>
      <c r="B50" s="33" t="s">
        <v>48</v>
      </c>
      <c r="C50" s="34">
        <f>[17]С2!F18</f>
        <v>40220.845230503684</v>
      </c>
    </row>
    <row r="51" spans="1:3" ht="30" x14ac:dyDescent="0.2">
      <c r="A51" s="22" t="s">
        <v>49</v>
      </c>
      <c r="B51" s="53" t="s">
        <v>50</v>
      </c>
      <c r="C51" s="34">
        <f>IF([17]С2!F19&gt;0,[17]С2!F19,[17]С2!F20)</f>
        <v>23441.524932855718</v>
      </c>
    </row>
    <row r="52" spans="1:3" ht="163.5" customHeight="1" x14ac:dyDescent="0.2">
      <c r="A52" s="22" t="s">
        <v>51</v>
      </c>
      <c r="B52" s="54" t="s">
        <v>52</v>
      </c>
      <c r="C52" s="34">
        <f>[17]С2.1!E20</f>
        <v>-37</v>
      </c>
    </row>
    <row r="53" spans="1:3" ht="42.75" customHeight="1" x14ac:dyDescent="0.2">
      <c r="A53" s="22" t="s">
        <v>53</v>
      </c>
      <c r="B53" s="54" t="s">
        <v>54</v>
      </c>
      <c r="C53" s="34" t="str">
        <f>[17]С2.1!E23</f>
        <v>нет</v>
      </c>
    </row>
    <row r="54" spans="1:3" ht="38.25" x14ac:dyDescent="0.2">
      <c r="A54" s="22" t="s">
        <v>55</v>
      </c>
      <c r="B54" s="55" t="s">
        <v>56</v>
      </c>
      <c r="C54" s="34">
        <f>[17]С2.2!E10</f>
        <v>1287</v>
      </c>
    </row>
    <row r="55" spans="1:3" ht="25.5" x14ac:dyDescent="0.2">
      <c r="A55" s="22" t="s">
        <v>57</v>
      </c>
      <c r="B55" s="56" t="s">
        <v>58</v>
      </c>
      <c r="C55" s="34">
        <f>[17]С2.2!E12</f>
        <v>5.97</v>
      </c>
    </row>
    <row r="56" spans="1:3" ht="52.5" x14ac:dyDescent="0.2">
      <c r="A56" s="22" t="s">
        <v>59</v>
      </c>
      <c r="B56" s="57" t="s">
        <v>60</v>
      </c>
      <c r="C56" s="34">
        <f>[17]С2.2!E13</f>
        <v>1</v>
      </c>
    </row>
    <row r="57" spans="1:3" ht="27.75" x14ac:dyDescent="0.2">
      <c r="A57" s="22" t="s">
        <v>61</v>
      </c>
      <c r="B57" s="56" t="s">
        <v>62</v>
      </c>
      <c r="C57" s="34">
        <f>[17]С2.2!E14</f>
        <v>12104</v>
      </c>
    </row>
    <row r="58" spans="1:3" ht="109.5" customHeight="1" x14ac:dyDescent="0.2">
      <c r="A58" s="22" t="s">
        <v>63</v>
      </c>
      <c r="B58" s="57" t="s">
        <v>64</v>
      </c>
      <c r="C58" s="35">
        <f>[17]С2.2!E15</f>
        <v>4.8000000000000001E-2</v>
      </c>
    </row>
    <row r="59" spans="1:3" ht="104.25" customHeight="1" x14ac:dyDescent="0.2">
      <c r="A59" s="22" t="s">
        <v>65</v>
      </c>
      <c r="B59" s="57" t="s">
        <v>66</v>
      </c>
      <c r="C59" s="124">
        <f>[17]С2.2!E16</f>
        <v>1</v>
      </c>
    </row>
    <row r="60" spans="1:3" ht="15.75" x14ac:dyDescent="0.2">
      <c r="A60" s="22" t="s">
        <v>67</v>
      </c>
      <c r="B60" s="58" t="s">
        <v>68</v>
      </c>
      <c r="C60" s="34">
        <f>[17]С2!F21</f>
        <v>1</v>
      </c>
    </row>
    <row r="61" spans="1:3" ht="30" x14ac:dyDescent="0.2">
      <c r="A61" s="59" t="s">
        <v>69</v>
      </c>
      <c r="B61" s="33" t="s">
        <v>243</v>
      </c>
      <c r="C61" s="34">
        <f>[17]С2!F13</f>
        <v>119259.45174981897</v>
      </c>
    </row>
    <row r="62" spans="1:3" ht="30" x14ac:dyDescent="0.2">
      <c r="A62" s="59" t="s">
        <v>71</v>
      </c>
      <c r="B62" s="60" t="s">
        <v>244</v>
      </c>
      <c r="C62" s="34">
        <f>[17]С2!F14</f>
        <v>64899</v>
      </c>
    </row>
    <row r="63" spans="1:3" ht="15.75" x14ac:dyDescent="0.2">
      <c r="A63" s="59" t="s">
        <v>73</v>
      </c>
      <c r="B63" s="60" t="s">
        <v>74</v>
      </c>
      <c r="C63" s="40">
        <f>[17]С2!F15</f>
        <v>1.071</v>
      </c>
    </row>
    <row r="64" spans="1:3" ht="15.75" x14ac:dyDescent="0.2">
      <c r="A64" s="59" t="s">
        <v>75</v>
      </c>
      <c r="B64" s="60" t="s">
        <v>76</v>
      </c>
      <c r="C64" s="125">
        <f>[17]С2!F16</f>
        <v>1</v>
      </c>
    </row>
    <row r="65" spans="1:3" ht="17.25" x14ac:dyDescent="0.2">
      <c r="A65" s="59" t="s">
        <v>77</v>
      </c>
      <c r="B65" s="60" t="s">
        <v>78</v>
      </c>
      <c r="C65" s="126">
        <f>[17]С2!F17</f>
        <v>1</v>
      </c>
    </row>
    <row r="66" spans="1:3" s="63" customFormat="1" ht="14.25" x14ac:dyDescent="0.2">
      <c r="A66" s="59" t="s">
        <v>79</v>
      </c>
      <c r="B66" s="61" t="s">
        <v>80</v>
      </c>
      <c r="C66" s="62">
        <f>[17]С2!F35</f>
        <v>10</v>
      </c>
    </row>
    <row r="67" spans="1:3" ht="30" x14ac:dyDescent="0.2">
      <c r="A67" s="59" t="s">
        <v>81</v>
      </c>
      <c r="B67" s="64" t="s">
        <v>82</v>
      </c>
      <c r="C67" s="34">
        <f>[17]С2!F28</f>
        <v>379.2714742785962</v>
      </c>
    </row>
    <row r="68" spans="1:3" ht="274.5" customHeight="1" x14ac:dyDescent="0.2">
      <c r="A68" s="59" t="s">
        <v>83</v>
      </c>
      <c r="B68" s="53" t="s">
        <v>245</v>
      </c>
      <c r="C68" s="40">
        <f>[17]С2!F29</f>
        <v>0.44209422600000003</v>
      </c>
    </row>
    <row r="69" spans="1:3" ht="17.25" x14ac:dyDescent="0.2">
      <c r="A69" s="59" t="s">
        <v>85</v>
      </c>
      <c r="B69" s="58" t="s">
        <v>246</v>
      </c>
      <c r="C69" s="62">
        <f>[17]С2!F30</f>
        <v>500</v>
      </c>
    </row>
    <row r="70" spans="1:3" ht="42.75" x14ac:dyDescent="0.2">
      <c r="A70" s="59" t="s">
        <v>87</v>
      </c>
      <c r="B70" s="33" t="s">
        <v>247</v>
      </c>
      <c r="C70" s="34">
        <f>[17]С2!F22</f>
        <v>24548.869037237404</v>
      </c>
    </row>
    <row r="71" spans="1:3" ht="30" x14ac:dyDescent="0.2">
      <c r="A71" s="59" t="s">
        <v>89</v>
      </c>
      <c r="B71" s="60" t="s">
        <v>248</v>
      </c>
      <c r="C71" s="34">
        <f>[17]С2!F23</f>
        <v>21</v>
      </c>
    </row>
    <row r="72" spans="1:3" ht="30" x14ac:dyDescent="0.2">
      <c r="A72" s="59" t="s">
        <v>91</v>
      </c>
      <c r="B72" s="53" t="s">
        <v>92</v>
      </c>
      <c r="C72" s="34">
        <f>[17]С2.1!E28</f>
        <v>5515.9310416666667</v>
      </c>
    </row>
    <row r="73" spans="1:3" ht="38.25" x14ac:dyDescent="0.2">
      <c r="A73" s="59" t="s">
        <v>93</v>
      </c>
      <c r="B73" s="65" t="s">
        <v>94</v>
      </c>
      <c r="C73" s="52" t="str">
        <f>[17]С2.3!E21</f>
        <v>МУП г. Новосибирска "Горводоканал"</v>
      </c>
    </row>
    <row r="74" spans="1:3" ht="25.5" x14ac:dyDescent="0.2">
      <c r="A74" s="59" t="s">
        <v>95</v>
      </c>
      <c r="B74" s="66" t="s">
        <v>96</v>
      </c>
      <c r="C74" s="67">
        <f>[17]С2.3!E11</f>
        <v>5.45</v>
      </c>
    </row>
    <row r="75" spans="1:3" ht="25.5" x14ac:dyDescent="0.2">
      <c r="A75" s="59" t="s">
        <v>97</v>
      </c>
      <c r="B75" s="66" t="s">
        <v>98</v>
      </c>
      <c r="C75" s="62">
        <f>[17]С2.3!E13</f>
        <v>300</v>
      </c>
    </row>
    <row r="76" spans="1:3" ht="336" customHeight="1" x14ac:dyDescent="0.2">
      <c r="A76" s="59" t="s">
        <v>99</v>
      </c>
      <c r="B76" s="65" t="s">
        <v>100</v>
      </c>
      <c r="C76" s="68">
        <f>IF([17]С2.3!E22&gt;0,[17]С2.3!E22,[17]С2.3!E14)</f>
        <v>20170.833333333332</v>
      </c>
    </row>
    <row r="77" spans="1:3" ht="38.25" x14ac:dyDescent="0.2">
      <c r="A77" s="59" t="s">
        <v>101</v>
      </c>
      <c r="B77" s="65" t="s">
        <v>102</v>
      </c>
      <c r="C77" s="68">
        <f>IF([17]С2.3!E23&gt;0,[17]С2.3!E23,[17]С2.3!E15)</f>
        <v>18020</v>
      </c>
    </row>
    <row r="78" spans="1:3" ht="30" x14ac:dyDescent="0.2">
      <c r="A78" s="59" t="s">
        <v>103</v>
      </c>
      <c r="B78" s="53" t="s">
        <v>104</v>
      </c>
      <c r="C78" s="34">
        <f>[17]С2.1!E29</f>
        <v>5878.6480833333326</v>
      </c>
    </row>
    <row r="79" spans="1:3" ht="38.25" x14ac:dyDescent="0.2">
      <c r="A79" s="59" t="s">
        <v>105</v>
      </c>
      <c r="B79" s="65" t="s">
        <v>106</v>
      </c>
      <c r="C79" s="52" t="str">
        <f>[17]С2.3!E25</f>
        <v>МУП г. Новосибирска "Горводоканал"</v>
      </c>
    </row>
    <row r="80" spans="1:3" ht="25.5" x14ac:dyDescent="0.2">
      <c r="A80" s="59" t="s">
        <v>107</v>
      </c>
      <c r="B80" s="66" t="s">
        <v>108</v>
      </c>
      <c r="C80" s="67">
        <f>[17]С2.3!E12</f>
        <v>0.2</v>
      </c>
    </row>
    <row r="81" spans="1:3" ht="25.5" x14ac:dyDescent="0.2">
      <c r="A81" s="59" t="s">
        <v>109</v>
      </c>
      <c r="B81" s="66" t="s">
        <v>98</v>
      </c>
      <c r="C81" s="62">
        <f>[17]С2.3!E13</f>
        <v>300</v>
      </c>
    </row>
    <row r="82" spans="1:3" ht="330" customHeight="1" x14ac:dyDescent="0.2">
      <c r="A82" s="59" t="s">
        <v>110</v>
      </c>
      <c r="B82" s="69" t="s">
        <v>111</v>
      </c>
      <c r="C82" s="68">
        <f>IF([17]С2.3!E26&gt;0,[17]С2.3!E26,[17]С2.3!E16)</f>
        <v>38240.416666666664</v>
      </c>
    </row>
    <row r="83" spans="1:3" ht="322.5" customHeight="1" x14ac:dyDescent="0.2">
      <c r="A83" s="59" t="s">
        <v>112</v>
      </c>
      <c r="B83" s="69" t="s">
        <v>113</v>
      </c>
      <c r="C83" s="68">
        <f>IF([17]С2.3!E27&gt;0,[17]С2.3!E27,[17]С2.3!E17)</f>
        <v>19570</v>
      </c>
    </row>
    <row r="84" spans="1:3" ht="30" x14ac:dyDescent="0.2">
      <c r="A84" s="59" t="s">
        <v>249</v>
      </c>
      <c r="B84" s="60" t="s">
        <v>250</v>
      </c>
      <c r="C84" s="68">
        <f>IF([17]С2.1!E19&gt;0,[17]С2.1!E19,[17]С2!F26)</f>
        <v>2892</v>
      </c>
    </row>
    <row r="85" spans="1:3" ht="17.25" x14ac:dyDescent="0.2">
      <c r="A85" s="59" t="s">
        <v>114</v>
      </c>
      <c r="B85" s="33" t="s">
        <v>115</v>
      </c>
      <c r="C85" s="35">
        <f>[17]С2!F31</f>
        <v>0.21369165990259753</v>
      </c>
    </row>
    <row r="86" spans="1:3" ht="30" x14ac:dyDescent="0.2">
      <c r="A86" s="59" t="s">
        <v>116</v>
      </c>
      <c r="B86" s="53" t="s">
        <v>117</v>
      </c>
      <c r="C86" s="70">
        <f>[17]С2!F32</f>
        <v>0.20047619047619047</v>
      </c>
    </row>
    <row r="87" spans="1:3" ht="17.25" x14ac:dyDescent="0.2">
      <c r="A87" s="59" t="s">
        <v>118</v>
      </c>
      <c r="B87" s="71" t="s">
        <v>119</v>
      </c>
      <c r="C87" s="35">
        <f>[17]С2!F33</f>
        <v>0.13880000000000001</v>
      </c>
    </row>
    <row r="88" spans="1:3" s="63" customFormat="1" ht="18" thickBot="1" x14ac:dyDescent="0.25">
      <c r="A88" s="72" t="s">
        <v>120</v>
      </c>
      <c r="B88" s="73" t="s">
        <v>121</v>
      </c>
      <c r="C88" s="74">
        <f>[17]С2!F34</f>
        <v>0.12640000000000001</v>
      </c>
    </row>
    <row r="89" spans="1:3" ht="13.5" thickBot="1" x14ac:dyDescent="0.25">
      <c r="A89" s="47"/>
      <c r="B89" s="75"/>
      <c r="C89" s="15"/>
    </row>
    <row r="90" spans="1:3" s="63" customFormat="1" ht="30" customHeight="1" x14ac:dyDescent="0.2">
      <c r="A90" s="76" t="s">
        <v>122</v>
      </c>
      <c r="B90" s="145" t="s">
        <v>123</v>
      </c>
      <c r="C90" s="145"/>
    </row>
    <row r="91" spans="1:3" s="63" customFormat="1" ht="30" x14ac:dyDescent="0.2">
      <c r="A91" s="77" t="s">
        <v>124</v>
      </c>
      <c r="B91" s="33" t="s">
        <v>125</v>
      </c>
      <c r="C91" s="34">
        <f>[17]С3!F14</f>
        <v>11258.985598028818</v>
      </c>
    </row>
    <row r="92" spans="1:3" s="63" customFormat="1" ht="42.75" x14ac:dyDescent="0.2">
      <c r="A92" s="77" t="s">
        <v>126</v>
      </c>
      <c r="B92" s="53" t="s">
        <v>127</v>
      </c>
      <c r="C92" s="78">
        <f>[17]С3!F15</f>
        <v>0.25</v>
      </c>
    </row>
    <row r="93" spans="1:3" s="63" customFormat="1" ht="14.25" x14ac:dyDescent="0.2">
      <c r="A93" s="77" t="s">
        <v>128</v>
      </c>
      <c r="B93" s="79" t="s">
        <v>129</v>
      </c>
      <c r="C93" s="62">
        <f>[17]С3!F18</f>
        <v>15</v>
      </c>
    </row>
    <row r="94" spans="1:3" s="63" customFormat="1" ht="17.25" x14ac:dyDescent="0.2">
      <c r="A94" s="77" t="s">
        <v>130</v>
      </c>
      <c r="B94" s="33" t="s">
        <v>131</v>
      </c>
      <c r="C94" s="34">
        <f>[17]С3!F19</f>
        <v>2699.0944349242141</v>
      </c>
    </row>
    <row r="95" spans="1:3" s="63" customFormat="1" ht="55.5" x14ac:dyDescent="0.2">
      <c r="A95" s="77" t="s">
        <v>132</v>
      </c>
      <c r="B95" s="53" t="s">
        <v>133</v>
      </c>
      <c r="C95" s="80">
        <f>[17]С3!F20</f>
        <v>2.1999999999999999E-2</v>
      </c>
    </row>
    <row r="96" spans="1:3" s="63" customFormat="1" ht="14.25" x14ac:dyDescent="0.2">
      <c r="A96" s="77" t="s">
        <v>134</v>
      </c>
      <c r="B96" s="58" t="s">
        <v>80</v>
      </c>
      <c r="C96" s="62">
        <f>[17]С3!F21</f>
        <v>10</v>
      </c>
    </row>
    <row r="97" spans="1:3" s="63" customFormat="1" ht="17.25" x14ac:dyDescent="0.2">
      <c r="A97" s="77" t="s">
        <v>135</v>
      </c>
      <c r="B97" s="33" t="s">
        <v>136</v>
      </c>
      <c r="C97" s="34">
        <f>[17]С3!F22</f>
        <v>1.1378144228357887</v>
      </c>
    </row>
    <row r="98" spans="1:3" s="63" customFormat="1" ht="161.25" customHeight="1" x14ac:dyDescent="0.2">
      <c r="A98" s="77" t="s">
        <v>137</v>
      </c>
      <c r="B98" s="53" t="s">
        <v>138</v>
      </c>
      <c r="C98" s="80">
        <f>[17]С3!F23</f>
        <v>3.0000000000000001E-3</v>
      </c>
    </row>
    <row r="99" spans="1:3" s="63" customFormat="1" ht="30.75" thickBot="1" x14ac:dyDescent="0.25">
      <c r="A99" s="81" t="s">
        <v>139</v>
      </c>
      <c r="B99" s="82" t="s">
        <v>82</v>
      </c>
      <c r="C99" s="83">
        <f>[17]С3!F24</f>
        <v>379.2714742785962</v>
      </c>
    </row>
    <row r="100" spans="1:3" ht="13.5" thickBot="1" x14ac:dyDescent="0.25">
      <c r="A100" s="47"/>
      <c r="B100" s="75"/>
      <c r="C100" s="15"/>
    </row>
    <row r="101" spans="1:3" ht="30" customHeight="1" x14ac:dyDescent="0.2">
      <c r="A101" s="84" t="s">
        <v>141</v>
      </c>
      <c r="B101" s="145" t="s">
        <v>142</v>
      </c>
      <c r="C101" s="145"/>
    </row>
    <row r="102" spans="1:3" ht="30" x14ac:dyDescent="0.2">
      <c r="A102" s="59" t="s">
        <v>143</v>
      </c>
      <c r="B102" s="33" t="s">
        <v>251</v>
      </c>
      <c r="C102" s="34">
        <f>[17]С4!F16</f>
        <v>832.33500000000004</v>
      </c>
    </row>
    <row r="103" spans="1:3" ht="30" x14ac:dyDescent="0.2">
      <c r="A103" s="59" t="s">
        <v>145</v>
      </c>
      <c r="B103" s="58" t="s">
        <v>252</v>
      </c>
      <c r="C103" s="34">
        <f>[17]С4!F17</f>
        <v>43385</v>
      </c>
    </row>
    <row r="104" spans="1:3" ht="17.25" x14ac:dyDescent="0.2">
      <c r="A104" s="59" t="s">
        <v>147</v>
      </c>
      <c r="B104" s="58" t="s">
        <v>148</v>
      </c>
      <c r="C104" s="40">
        <f>[17]С4!F18</f>
        <v>1.4999999999999999E-2</v>
      </c>
    </row>
    <row r="105" spans="1:3" ht="30" x14ac:dyDescent="0.2">
      <c r="A105" s="59" t="s">
        <v>149</v>
      </c>
      <c r="B105" s="58" t="s">
        <v>150</v>
      </c>
      <c r="C105" s="34">
        <f>[17]С4!F19</f>
        <v>12104</v>
      </c>
    </row>
    <row r="106" spans="1:3" ht="31.5" x14ac:dyDescent="0.2">
      <c r="A106" s="59" t="s">
        <v>151</v>
      </c>
      <c r="B106" s="58" t="s">
        <v>152</v>
      </c>
      <c r="C106" s="40">
        <f>[17]С4!F20</f>
        <v>1.4999999999999999E-2</v>
      </c>
    </row>
    <row r="107" spans="1:3" ht="30" x14ac:dyDescent="0.2">
      <c r="A107" s="59" t="s">
        <v>153</v>
      </c>
      <c r="B107" s="33" t="s">
        <v>253</v>
      </c>
      <c r="C107" s="34">
        <f>[17]С4!F21</f>
        <v>1221.9019409821399</v>
      </c>
    </row>
    <row r="108" spans="1:3" ht="45.6" customHeight="1" x14ac:dyDescent="0.2">
      <c r="A108" s="59" t="s">
        <v>155</v>
      </c>
      <c r="B108" s="53" t="s">
        <v>156</v>
      </c>
      <c r="C108" s="85" t="str">
        <f>IF([17]С4.2!F8="да",[17]С4.2!D21,[17]С4.2!D15)</f>
        <v>АО "Новосибирскэнергосбыт"</v>
      </c>
    </row>
    <row r="109" spans="1:3" ht="68.25" customHeight="1" x14ac:dyDescent="0.2">
      <c r="A109" s="59" t="s">
        <v>157</v>
      </c>
      <c r="B109" s="53" t="s">
        <v>158</v>
      </c>
      <c r="C109" s="34">
        <f>[17]С4!F22</f>
        <v>3.6112641666666665</v>
      </c>
    </row>
    <row r="110" spans="1:3" ht="30" x14ac:dyDescent="0.2">
      <c r="A110" s="59" t="s">
        <v>159</v>
      </c>
      <c r="B110" s="58" t="s">
        <v>254</v>
      </c>
      <c r="C110" s="62">
        <f>[17]С4!F23</f>
        <v>110</v>
      </c>
    </row>
    <row r="111" spans="1:3" ht="14.25" x14ac:dyDescent="0.2">
      <c r="A111" s="59" t="s">
        <v>161</v>
      </c>
      <c r="B111" s="53" t="s">
        <v>162</v>
      </c>
      <c r="C111" s="34">
        <f>[17]С4!F24</f>
        <v>8497.1999999999989</v>
      </c>
    </row>
    <row r="112" spans="1:3" ht="14.25" x14ac:dyDescent="0.2">
      <c r="A112" s="59" t="s">
        <v>163</v>
      </c>
      <c r="B112" s="58" t="s">
        <v>164</v>
      </c>
      <c r="C112" s="40">
        <f>[17]С4!F25</f>
        <v>0.36199999999999999</v>
      </c>
    </row>
    <row r="113" spans="1:3" ht="17.25" x14ac:dyDescent="0.2">
      <c r="A113" s="59" t="s">
        <v>165</v>
      </c>
      <c r="B113" s="33" t="s">
        <v>166</v>
      </c>
      <c r="C113" s="34">
        <f>[17]С4!F26</f>
        <v>49.168300000000002</v>
      </c>
    </row>
    <row r="114" spans="1:3" ht="25.5" x14ac:dyDescent="0.2">
      <c r="A114" s="59" t="s">
        <v>167</v>
      </c>
      <c r="B114" s="53" t="s">
        <v>94</v>
      </c>
      <c r="C114" s="85">
        <f>[17]С4.3!E16</f>
        <v>0</v>
      </c>
    </row>
    <row r="115" spans="1:3" ht="360" customHeight="1" x14ac:dyDescent="0.2">
      <c r="A115" s="59" t="s">
        <v>168</v>
      </c>
      <c r="B115" s="53" t="s">
        <v>169</v>
      </c>
      <c r="C115" s="34">
        <f>[17]С4.3!E17</f>
        <v>24.43</v>
      </c>
    </row>
    <row r="116" spans="1:3" ht="38.25" x14ac:dyDescent="0.2">
      <c r="A116" s="59" t="s">
        <v>170</v>
      </c>
      <c r="B116" s="53" t="s">
        <v>106</v>
      </c>
      <c r="C116" s="85">
        <f>[17]С4.3!E18</f>
        <v>0</v>
      </c>
    </row>
    <row r="117" spans="1:3" ht="374.25" customHeight="1" x14ac:dyDescent="0.2">
      <c r="A117" s="59" t="s">
        <v>171</v>
      </c>
      <c r="B117" s="53" t="s">
        <v>172</v>
      </c>
      <c r="C117" s="34">
        <f>[17]С4.3!E19</f>
        <v>26.98</v>
      </c>
    </row>
    <row r="118" spans="1:3" x14ac:dyDescent="0.2">
      <c r="A118" s="59" t="s">
        <v>173</v>
      </c>
      <c r="B118" s="58" t="s">
        <v>174</v>
      </c>
      <c r="C118" s="62">
        <f>[17]С4.3!E11</f>
        <v>1871</v>
      </c>
    </row>
    <row r="119" spans="1:3" x14ac:dyDescent="0.2">
      <c r="A119" s="59" t="s">
        <v>175</v>
      </c>
      <c r="B119" s="58" t="s">
        <v>176</v>
      </c>
      <c r="C119" s="52">
        <f>[17]С4.3!E12</f>
        <v>61</v>
      </c>
    </row>
    <row r="120" spans="1:3" x14ac:dyDescent="0.2">
      <c r="A120" s="59" t="s">
        <v>177</v>
      </c>
      <c r="B120" s="58" t="s">
        <v>178</v>
      </c>
      <c r="C120" s="52">
        <f>[17]С4.3!E13</f>
        <v>73</v>
      </c>
    </row>
    <row r="121" spans="1:3" ht="30" x14ac:dyDescent="0.2">
      <c r="A121" s="59" t="s">
        <v>179</v>
      </c>
      <c r="B121" s="33" t="s">
        <v>255</v>
      </c>
      <c r="C121" s="34">
        <f>[17]С4!F27</f>
        <v>904.62444244124072</v>
      </c>
    </row>
    <row r="122" spans="1:3" ht="25.5" x14ac:dyDescent="0.2">
      <c r="A122" s="59" t="s">
        <v>181</v>
      </c>
      <c r="B122" s="53" t="s">
        <v>256</v>
      </c>
      <c r="C122" s="34">
        <f>[17]С4!F28</f>
        <v>694.79603874135228</v>
      </c>
    </row>
    <row r="123" spans="1:3" ht="42.75" x14ac:dyDescent="0.2">
      <c r="A123" s="59" t="s">
        <v>183</v>
      </c>
      <c r="B123" s="53" t="s">
        <v>184</v>
      </c>
      <c r="C123" s="34">
        <f>[17]С4!F29</f>
        <v>209.82840369988838</v>
      </c>
    </row>
    <row r="124" spans="1:3" ht="30.75" thickBot="1" x14ac:dyDescent="0.25">
      <c r="A124" s="72" t="s">
        <v>185</v>
      </c>
      <c r="B124" s="90" t="s">
        <v>186</v>
      </c>
      <c r="C124" s="83">
        <f>[17]С4!F30</f>
        <v>851.19232184364705</v>
      </c>
    </row>
    <row r="125" spans="1:3" s="89" customFormat="1" ht="13.5" thickBot="1" x14ac:dyDescent="0.25">
      <c r="A125" s="47"/>
      <c r="B125" s="75"/>
      <c r="C125" s="15"/>
    </row>
    <row r="126" spans="1:3" s="63" customFormat="1" ht="30" customHeight="1" x14ac:dyDescent="0.2">
      <c r="A126" s="76" t="s">
        <v>195</v>
      </c>
      <c r="B126" s="145" t="s">
        <v>196</v>
      </c>
      <c r="C126" s="145"/>
    </row>
    <row r="127" spans="1:3" ht="30.6" customHeight="1" thickBot="1" x14ac:dyDescent="0.25">
      <c r="A127" s="27" t="s">
        <v>197</v>
      </c>
      <c r="B127" s="90" t="s">
        <v>198</v>
      </c>
      <c r="C127" s="83">
        <f>[17]С5!F17</f>
        <v>0.02</v>
      </c>
    </row>
    <row r="128" spans="1:3" s="89" customFormat="1" ht="13.5" thickBot="1" x14ac:dyDescent="0.25">
      <c r="A128" s="47"/>
      <c r="B128" s="75"/>
      <c r="C128" s="15"/>
    </row>
    <row r="129" spans="1:3" ht="42.75" customHeight="1" x14ac:dyDescent="0.2">
      <c r="A129" s="84" t="s">
        <v>199</v>
      </c>
      <c r="B129" s="145" t="s">
        <v>200</v>
      </c>
      <c r="C129" s="145"/>
    </row>
    <row r="130" spans="1:3" ht="68.25" x14ac:dyDescent="0.2">
      <c r="A130" s="59" t="s">
        <v>201</v>
      </c>
      <c r="B130" s="91" t="s">
        <v>202</v>
      </c>
      <c r="C130" s="34" t="str">
        <f>IF([17]С6.1!E11="нет",[17]С6!F13,"")</f>
        <v/>
      </c>
    </row>
    <row r="131" spans="1:3" ht="42.75" x14ac:dyDescent="0.2">
      <c r="A131" s="59" t="s">
        <v>204</v>
      </c>
      <c r="B131" s="86" t="s">
        <v>205</v>
      </c>
      <c r="C131" s="92" t="str">
        <f>IF([17]С6.1!E12="нет",[17]С6.1!E17,"")</f>
        <v/>
      </c>
    </row>
    <row r="132" spans="1:3" ht="68.25" x14ac:dyDescent="0.2">
      <c r="A132" s="59" t="s">
        <v>206</v>
      </c>
      <c r="B132" s="91" t="s">
        <v>207</v>
      </c>
      <c r="C132" s="127" t="str">
        <f>IF([17]С6.1!E18="нет",[17]С6!F19,"")</f>
        <v/>
      </c>
    </row>
    <row r="133" spans="1:3" ht="55.5" x14ac:dyDescent="0.2">
      <c r="A133" s="59" t="s">
        <v>208</v>
      </c>
      <c r="B133" s="86" t="s">
        <v>209</v>
      </c>
      <c r="C133" s="35" t="str">
        <f>IF([17]С6.1!E18="нет",[17]С6.1!E19,"")</f>
        <v/>
      </c>
    </row>
    <row r="134" spans="1:3" ht="61.5" customHeight="1" x14ac:dyDescent="0.2">
      <c r="A134" s="59" t="s">
        <v>210</v>
      </c>
      <c r="B134" s="86" t="s">
        <v>257</v>
      </c>
      <c r="C134" s="35" t="str">
        <f>IF([17]С6.1!E18="нет",[17]С6.1!E22,"")</f>
        <v/>
      </c>
    </row>
    <row r="135" spans="1:3" ht="69" thickBot="1" x14ac:dyDescent="0.25">
      <c r="A135" s="72" t="s">
        <v>212</v>
      </c>
      <c r="B135" s="98" t="s">
        <v>213</v>
      </c>
      <c r="C135" s="74" t="str">
        <f>IF([17]С6.1!E18="нет",[17]С6.1!E23,"")</f>
        <v/>
      </c>
    </row>
    <row r="136" spans="1:3" s="89" customFormat="1" ht="13.5" thickBot="1" x14ac:dyDescent="0.25">
      <c r="A136" s="47"/>
      <c r="B136" s="75"/>
      <c r="C136" s="15"/>
    </row>
    <row r="137" spans="1:3" ht="15.75" x14ac:dyDescent="0.2">
      <c r="A137" s="84" t="s">
        <v>214</v>
      </c>
      <c r="B137" s="99" t="s">
        <v>215</v>
      </c>
      <c r="C137" s="100">
        <f>[17]С2!F39</f>
        <v>21.531904799999996</v>
      </c>
    </row>
    <row r="138" spans="1:3" ht="14.25" x14ac:dyDescent="0.2">
      <c r="A138" s="59" t="s">
        <v>216</v>
      </c>
      <c r="B138" s="58" t="s">
        <v>217</v>
      </c>
      <c r="C138" s="34">
        <f>[17]С2!F40</f>
        <v>7</v>
      </c>
    </row>
    <row r="139" spans="1:3" ht="17.25" x14ac:dyDescent="0.2">
      <c r="A139" s="59" t="s">
        <v>218</v>
      </c>
      <c r="B139" s="58" t="s">
        <v>219</v>
      </c>
      <c r="C139" s="34">
        <f>[17]С2!F42</f>
        <v>0.97</v>
      </c>
    </row>
    <row r="140" spans="1:3" ht="15" thickBot="1" x14ac:dyDescent="0.25">
      <c r="A140" s="72" t="s">
        <v>220</v>
      </c>
      <c r="B140" s="73" t="s">
        <v>221</v>
      </c>
      <c r="C140" s="46">
        <f>[17]С2!F44</f>
        <v>0.36199999999999999</v>
      </c>
    </row>
    <row r="141" spans="1:3" s="89" customFormat="1" ht="13.5" thickBot="1" x14ac:dyDescent="0.25">
      <c r="A141" s="47"/>
      <c r="B141" s="75"/>
      <c r="C141" s="15"/>
    </row>
    <row r="142" spans="1:3" ht="17.25" x14ac:dyDescent="0.2">
      <c r="A142" s="84" t="s">
        <v>222</v>
      </c>
      <c r="B142" s="103" t="s">
        <v>258</v>
      </c>
      <c r="C142" s="128">
        <f>[17]С2!F37</f>
        <v>1.7157947422665329</v>
      </c>
    </row>
    <row r="143" spans="1:3" ht="17.25" customHeight="1" thickBot="1" x14ac:dyDescent="0.25">
      <c r="A143" s="72" t="s">
        <v>224</v>
      </c>
      <c r="B143" s="141" t="s">
        <v>225</v>
      </c>
      <c r="C143" s="141"/>
    </row>
    <row r="144" spans="1:3" x14ac:dyDescent="0.2">
      <c r="A144" s="105"/>
      <c r="B144" s="129" t="s">
        <v>226</v>
      </c>
      <c r="C144" s="130"/>
    </row>
    <row r="145" spans="1:3" x14ac:dyDescent="0.2">
      <c r="A145" s="105"/>
      <c r="B145" s="131">
        <v>2020</v>
      </c>
      <c r="C145" s="132">
        <f>[17]С2.5!$E$11</f>
        <v>-2.9000000000000026E-2</v>
      </c>
    </row>
    <row r="146" spans="1:3" x14ac:dyDescent="0.2">
      <c r="B146" s="131">
        <f>B145+1</f>
        <v>2021</v>
      </c>
      <c r="C146" s="133">
        <f>[17]С2.5!$F$11</f>
        <v>0.245</v>
      </c>
    </row>
    <row r="147" spans="1:3" x14ac:dyDescent="0.2">
      <c r="B147" s="131">
        <f t="shared" ref="B147:B210" si="0">B146+1</f>
        <v>2022</v>
      </c>
      <c r="C147" s="134">
        <f>[17]С2.5!$G$11</f>
        <v>0.114</v>
      </c>
    </row>
    <row r="148" spans="1:3" x14ac:dyDescent="0.2">
      <c r="B148" s="110">
        <f t="shared" si="0"/>
        <v>2023</v>
      </c>
      <c r="C148" s="135">
        <f>[17]С2.5!$H$11</f>
        <v>0.04</v>
      </c>
    </row>
    <row r="149" spans="1:3" x14ac:dyDescent="0.2">
      <c r="B149" s="110">
        <f t="shared" si="0"/>
        <v>2024</v>
      </c>
      <c r="C149" s="135">
        <f>[17]С2.5!$I$11</f>
        <v>0.121</v>
      </c>
    </row>
    <row r="150" spans="1:3" x14ac:dyDescent="0.2">
      <c r="B150" s="110">
        <f t="shared" si="0"/>
        <v>2025</v>
      </c>
      <c r="C150" s="135">
        <f>[17]С2.5!$J$11</f>
        <v>0.03</v>
      </c>
    </row>
    <row r="151" spans="1:3" ht="13.5" thickBot="1" x14ac:dyDescent="0.25">
      <c r="B151" s="110">
        <f t="shared" si="0"/>
        <v>2026</v>
      </c>
      <c r="C151" s="135">
        <f>[17]С2.5!$K$11</f>
        <v>6.0999999999999999E-2</v>
      </c>
    </row>
    <row r="152" spans="1:3" ht="13.5" hidden="1" thickBot="1" x14ac:dyDescent="0.25">
      <c r="B152" s="110">
        <f t="shared" si="0"/>
        <v>2027</v>
      </c>
      <c r="C152" s="135">
        <f>[17]С2.5!$L$11</f>
        <v>0</v>
      </c>
    </row>
    <row r="153" spans="1:3" ht="13.5" hidden="1" thickBot="1" x14ac:dyDescent="0.25">
      <c r="B153" s="110">
        <f t="shared" si="0"/>
        <v>2028</v>
      </c>
      <c r="C153" s="135">
        <f>[17]С2.5!$M$11</f>
        <v>0</v>
      </c>
    </row>
    <row r="154" spans="1:3" ht="13.5" hidden="1" thickBot="1" x14ac:dyDescent="0.25">
      <c r="B154" s="110">
        <f t="shared" si="0"/>
        <v>2029</v>
      </c>
      <c r="C154" s="135">
        <f>[17]С2.5!$N$11</f>
        <v>0</v>
      </c>
    </row>
    <row r="155" spans="1:3" ht="13.5" hidden="1" thickBot="1" x14ac:dyDescent="0.25">
      <c r="B155" s="110">
        <f t="shared" si="0"/>
        <v>2030</v>
      </c>
      <c r="C155" s="135">
        <f>[17]С2.5!$O$11</f>
        <v>0</v>
      </c>
    </row>
    <row r="156" spans="1:3" ht="13.5" hidden="1" thickBot="1" x14ac:dyDescent="0.25">
      <c r="B156" s="110">
        <f t="shared" si="0"/>
        <v>2031</v>
      </c>
      <c r="C156" s="135">
        <f>[17]С2.5!$P$11</f>
        <v>0</v>
      </c>
    </row>
    <row r="157" spans="1:3" ht="13.5" hidden="1" thickBot="1" x14ac:dyDescent="0.25">
      <c r="B157" s="110">
        <f t="shared" si="0"/>
        <v>2032</v>
      </c>
      <c r="C157" s="135">
        <f>[17]С2.5!$Q$11</f>
        <v>0</v>
      </c>
    </row>
    <row r="158" spans="1:3" ht="13.5" hidden="1" thickBot="1" x14ac:dyDescent="0.25">
      <c r="B158" s="110">
        <f t="shared" si="0"/>
        <v>2033</v>
      </c>
      <c r="C158" s="135">
        <f>[17]С2.5!$R$11</f>
        <v>0</v>
      </c>
    </row>
    <row r="159" spans="1:3" ht="13.5" hidden="1" thickBot="1" x14ac:dyDescent="0.25">
      <c r="B159" s="110">
        <f t="shared" si="0"/>
        <v>2034</v>
      </c>
      <c r="C159" s="135">
        <f>[17]С2.5!$S$11</f>
        <v>0</v>
      </c>
    </row>
    <row r="160" spans="1:3" ht="13.5" hidden="1" thickBot="1" x14ac:dyDescent="0.25">
      <c r="B160" s="110">
        <f t="shared" si="0"/>
        <v>2035</v>
      </c>
      <c r="C160" s="135">
        <f>[17]С2.5!$T$11</f>
        <v>0</v>
      </c>
    </row>
    <row r="161" spans="2:3" ht="13.5" hidden="1" thickBot="1" x14ac:dyDescent="0.25">
      <c r="B161" s="110">
        <f t="shared" si="0"/>
        <v>2036</v>
      </c>
      <c r="C161" s="135">
        <f>[17]С2.5!$U$11</f>
        <v>0</v>
      </c>
    </row>
    <row r="162" spans="2:3" ht="13.5" hidden="1" thickBot="1" x14ac:dyDescent="0.25">
      <c r="B162" s="110">
        <f t="shared" si="0"/>
        <v>2037</v>
      </c>
      <c r="C162" s="135">
        <f>[17]С2.5!$V$11</f>
        <v>0</v>
      </c>
    </row>
    <row r="163" spans="2:3" ht="13.5" hidden="1" thickBot="1" x14ac:dyDescent="0.25">
      <c r="B163" s="110">
        <f t="shared" si="0"/>
        <v>2038</v>
      </c>
      <c r="C163" s="135">
        <f>[17]С2.5!$W$11</f>
        <v>0</v>
      </c>
    </row>
    <row r="164" spans="2:3" ht="13.5" hidden="1" thickBot="1" x14ac:dyDescent="0.25">
      <c r="B164" s="110">
        <f t="shared" si="0"/>
        <v>2039</v>
      </c>
      <c r="C164" s="135">
        <f>[17]С2.5!$X$11</f>
        <v>0</v>
      </c>
    </row>
    <row r="165" spans="2:3" ht="13.5" hidden="1" thickBot="1" x14ac:dyDescent="0.25">
      <c r="B165" s="110">
        <f t="shared" si="0"/>
        <v>2040</v>
      </c>
      <c r="C165" s="135">
        <f>[17]С2.5!$Y$11</f>
        <v>0</v>
      </c>
    </row>
    <row r="166" spans="2:3" ht="13.5" hidden="1" thickBot="1" x14ac:dyDescent="0.25">
      <c r="B166" s="110">
        <f t="shared" si="0"/>
        <v>2041</v>
      </c>
      <c r="C166" s="135">
        <f>[17]С2.5!$Z$11</f>
        <v>0</v>
      </c>
    </row>
    <row r="167" spans="2:3" ht="13.5" hidden="1" thickBot="1" x14ac:dyDescent="0.25">
      <c r="B167" s="110">
        <f t="shared" si="0"/>
        <v>2042</v>
      </c>
      <c r="C167" s="135">
        <f>[17]С2.5!$AA$11</f>
        <v>0</v>
      </c>
    </row>
    <row r="168" spans="2:3" ht="13.5" hidden="1" thickBot="1" x14ac:dyDescent="0.25">
      <c r="B168" s="110">
        <f t="shared" si="0"/>
        <v>2043</v>
      </c>
      <c r="C168" s="135">
        <f>[17]С2.5!$AB$11</f>
        <v>0</v>
      </c>
    </row>
    <row r="169" spans="2:3" ht="13.5" hidden="1" thickBot="1" x14ac:dyDescent="0.25">
      <c r="B169" s="110">
        <f t="shared" si="0"/>
        <v>2044</v>
      </c>
      <c r="C169" s="135">
        <f>[17]С2.5!$AC$11</f>
        <v>0</v>
      </c>
    </row>
    <row r="170" spans="2:3" ht="13.5" hidden="1" thickBot="1" x14ac:dyDescent="0.25">
      <c r="B170" s="110">
        <f t="shared" si="0"/>
        <v>2045</v>
      </c>
      <c r="C170" s="135">
        <f>[17]С2.5!$AD$11</f>
        <v>0</v>
      </c>
    </row>
    <row r="171" spans="2:3" ht="13.5" hidden="1" thickBot="1" x14ac:dyDescent="0.25">
      <c r="B171" s="110">
        <f t="shared" si="0"/>
        <v>2046</v>
      </c>
      <c r="C171" s="135">
        <f>[17]С2.5!$AE$11</f>
        <v>0</v>
      </c>
    </row>
    <row r="172" spans="2:3" ht="13.5" hidden="1" thickBot="1" x14ac:dyDescent="0.25">
      <c r="B172" s="110">
        <f t="shared" si="0"/>
        <v>2047</v>
      </c>
      <c r="C172" s="135">
        <f>[17]С2.5!$AF$11</f>
        <v>0</v>
      </c>
    </row>
    <row r="173" spans="2:3" ht="13.5" hidden="1" thickBot="1" x14ac:dyDescent="0.25">
      <c r="B173" s="110">
        <f t="shared" si="0"/>
        <v>2048</v>
      </c>
      <c r="C173" s="135">
        <f>[17]С2.5!$AG$11</f>
        <v>0</v>
      </c>
    </row>
    <row r="174" spans="2:3" ht="13.5" hidden="1" thickBot="1" x14ac:dyDescent="0.25">
      <c r="B174" s="110">
        <f t="shared" si="0"/>
        <v>2049</v>
      </c>
      <c r="C174" s="135">
        <f>[17]С2.5!$AH$11</f>
        <v>0</v>
      </c>
    </row>
    <row r="175" spans="2:3" ht="13.5" hidden="1" thickBot="1" x14ac:dyDescent="0.25">
      <c r="B175" s="110">
        <f t="shared" si="0"/>
        <v>2050</v>
      </c>
      <c r="C175" s="135">
        <f>[17]С2.5!$AI$11</f>
        <v>0</v>
      </c>
    </row>
    <row r="176" spans="2:3" ht="13.5" hidden="1" thickBot="1" x14ac:dyDescent="0.25">
      <c r="B176" s="110">
        <f t="shared" si="0"/>
        <v>2051</v>
      </c>
      <c r="C176" s="135">
        <f>[17]С2.5!$AJ$11</f>
        <v>0</v>
      </c>
    </row>
    <row r="177" spans="2:3" ht="13.5" hidden="1" thickBot="1" x14ac:dyDescent="0.25">
      <c r="B177" s="110">
        <f t="shared" si="0"/>
        <v>2052</v>
      </c>
      <c r="C177" s="135">
        <f>[17]С2.5!$AK$11</f>
        <v>0</v>
      </c>
    </row>
    <row r="178" spans="2:3" ht="13.5" hidden="1" thickBot="1" x14ac:dyDescent="0.25">
      <c r="B178" s="110">
        <f t="shared" si="0"/>
        <v>2053</v>
      </c>
      <c r="C178" s="135">
        <f>[17]С2.5!$AL$11</f>
        <v>0</v>
      </c>
    </row>
    <row r="179" spans="2:3" ht="13.5" hidden="1" thickBot="1" x14ac:dyDescent="0.25">
      <c r="B179" s="110">
        <f t="shared" si="0"/>
        <v>2054</v>
      </c>
      <c r="C179" s="135">
        <f>[17]С2.5!$AM$11</f>
        <v>0</v>
      </c>
    </row>
    <row r="180" spans="2:3" ht="13.5" hidden="1" thickBot="1" x14ac:dyDescent="0.25">
      <c r="B180" s="110">
        <f t="shared" si="0"/>
        <v>2055</v>
      </c>
      <c r="C180" s="135">
        <f>[17]С2.5!$AN$11</f>
        <v>0</v>
      </c>
    </row>
    <row r="181" spans="2:3" ht="13.5" hidden="1" thickBot="1" x14ac:dyDescent="0.25">
      <c r="B181" s="110">
        <f t="shared" si="0"/>
        <v>2056</v>
      </c>
      <c r="C181" s="135">
        <f>[17]С2.5!$AO$11</f>
        <v>0</v>
      </c>
    </row>
    <row r="182" spans="2:3" ht="13.5" hidden="1" thickBot="1" x14ac:dyDescent="0.25">
      <c r="B182" s="110">
        <f t="shared" si="0"/>
        <v>2057</v>
      </c>
      <c r="C182" s="135">
        <f>[17]С2.5!$AP$11</f>
        <v>0</v>
      </c>
    </row>
    <row r="183" spans="2:3" ht="13.5" hidden="1" thickBot="1" x14ac:dyDescent="0.25">
      <c r="B183" s="110">
        <f t="shared" si="0"/>
        <v>2058</v>
      </c>
      <c r="C183" s="135">
        <f>[17]С2.5!$AQ$11</f>
        <v>0</v>
      </c>
    </row>
    <row r="184" spans="2:3" ht="13.5" hidden="1" thickBot="1" x14ac:dyDescent="0.25">
      <c r="B184" s="110">
        <f t="shared" si="0"/>
        <v>2059</v>
      </c>
      <c r="C184" s="135">
        <f>[17]С2.5!$AR$11</f>
        <v>0</v>
      </c>
    </row>
    <row r="185" spans="2:3" ht="13.5" hidden="1" thickBot="1" x14ac:dyDescent="0.25">
      <c r="B185" s="110">
        <f t="shared" si="0"/>
        <v>2060</v>
      </c>
      <c r="C185" s="135">
        <f>[17]С2.5!$AS$11</f>
        <v>0</v>
      </c>
    </row>
    <row r="186" spans="2:3" ht="13.5" hidden="1" thickBot="1" x14ac:dyDescent="0.25">
      <c r="B186" s="110">
        <f t="shared" si="0"/>
        <v>2061</v>
      </c>
      <c r="C186" s="135">
        <f>[17]С2.5!$AT$11</f>
        <v>0</v>
      </c>
    </row>
    <row r="187" spans="2:3" ht="13.5" hidden="1" thickBot="1" x14ac:dyDescent="0.25">
      <c r="B187" s="110">
        <f t="shared" si="0"/>
        <v>2062</v>
      </c>
      <c r="C187" s="135">
        <f>[17]С2.5!$AU$11</f>
        <v>0</v>
      </c>
    </row>
    <row r="188" spans="2:3" ht="13.5" hidden="1" thickBot="1" x14ac:dyDescent="0.25">
      <c r="B188" s="110">
        <f t="shared" si="0"/>
        <v>2063</v>
      </c>
      <c r="C188" s="135">
        <f>[17]С2.5!$AV$11</f>
        <v>0</v>
      </c>
    </row>
    <row r="189" spans="2:3" ht="13.5" hidden="1" thickBot="1" x14ac:dyDescent="0.25">
      <c r="B189" s="110">
        <f t="shared" si="0"/>
        <v>2064</v>
      </c>
      <c r="C189" s="135">
        <f>[17]С2.5!$AW$11</f>
        <v>0</v>
      </c>
    </row>
    <row r="190" spans="2:3" ht="13.5" hidden="1" thickBot="1" x14ac:dyDescent="0.25">
      <c r="B190" s="110">
        <f t="shared" si="0"/>
        <v>2065</v>
      </c>
      <c r="C190" s="135">
        <f>[17]С2.5!$AX$11</f>
        <v>0</v>
      </c>
    </row>
    <row r="191" spans="2:3" ht="13.5" hidden="1" thickBot="1" x14ac:dyDescent="0.25">
      <c r="B191" s="110">
        <f t="shared" si="0"/>
        <v>2066</v>
      </c>
      <c r="C191" s="135">
        <f>[17]С2.5!$AY$11</f>
        <v>0</v>
      </c>
    </row>
    <row r="192" spans="2:3" ht="13.5" hidden="1" thickBot="1" x14ac:dyDescent="0.25">
      <c r="B192" s="110">
        <f t="shared" si="0"/>
        <v>2067</v>
      </c>
      <c r="C192" s="135">
        <f>[17]С2.5!$AZ$11</f>
        <v>0</v>
      </c>
    </row>
    <row r="193" spans="2:3" ht="13.5" hidden="1" thickBot="1" x14ac:dyDescent="0.25">
      <c r="B193" s="110">
        <f t="shared" si="0"/>
        <v>2068</v>
      </c>
      <c r="C193" s="135">
        <f>[17]С2.5!$BA$11</f>
        <v>0</v>
      </c>
    </row>
    <row r="194" spans="2:3" ht="13.5" hidden="1" thickBot="1" x14ac:dyDescent="0.25">
      <c r="B194" s="110">
        <f t="shared" si="0"/>
        <v>2069</v>
      </c>
      <c r="C194" s="135">
        <f>[17]С2.5!$BB$11</f>
        <v>0</v>
      </c>
    </row>
    <row r="195" spans="2:3" ht="13.5" hidden="1" thickBot="1" x14ac:dyDescent="0.25">
      <c r="B195" s="110">
        <f t="shared" si="0"/>
        <v>2070</v>
      </c>
      <c r="C195" s="135">
        <f>[17]С2.5!$BC$11</f>
        <v>0</v>
      </c>
    </row>
    <row r="196" spans="2:3" ht="13.5" hidden="1" thickBot="1" x14ac:dyDescent="0.25">
      <c r="B196" s="110">
        <f t="shared" si="0"/>
        <v>2071</v>
      </c>
      <c r="C196" s="135">
        <f>[17]С2.5!$BD$11</f>
        <v>0</v>
      </c>
    </row>
    <row r="197" spans="2:3" ht="13.5" hidden="1" thickBot="1" x14ac:dyDescent="0.25">
      <c r="B197" s="110">
        <f t="shared" si="0"/>
        <v>2072</v>
      </c>
      <c r="C197" s="135">
        <f>[17]С2.5!$BE$11</f>
        <v>0</v>
      </c>
    </row>
    <row r="198" spans="2:3" ht="13.5" hidden="1" thickBot="1" x14ac:dyDescent="0.25">
      <c r="B198" s="110">
        <f t="shared" si="0"/>
        <v>2073</v>
      </c>
      <c r="C198" s="135">
        <f>[17]С2.5!$BF$11</f>
        <v>0</v>
      </c>
    </row>
    <row r="199" spans="2:3" ht="13.5" hidden="1" thickBot="1" x14ac:dyDescent="0.25">
      <c r="B199" s="110">
        <f t="shared" si="0"/>
        <v>2074</v>
      </c>
      <c r="C199" s="135">
        <f>[17]С2.5!$BG$11</f>
        <v>0</v>
      </c>
    </row>
    <row r="200" spans="2:3" ht="13.5" hidden="1" thickBot="1" x14ac:dyDescent="0.25">
      <c r="B200" s="110">
        <f t="shared" si="0"/>
        <v>2075</v>
      </c>
      <c r="C200" s="135">
        <f>[17]С2.5!$BH$11</f>
        <v>0</v>
      </c>
    </row>
    <row r="201" spans="2:3" ht="13.5" hidden="1" thickBot="1" x14ac:dyDescent="0.25">
      <c r="B201" s="110">
        <f t="shared" si="0"/>
        <v>2076</v>
      </c>
      <c r="C201" s="135">
        <f>[17]С2.5!$BI$11</f>
        <v>0</v>
      </c>
    </row>
    <row r="202" spans="2:3" ht="13.5" hidden="1" thickBot="1" x14ac:dyDescent="0.25">
      <c r="B202" s="110">
        <f t="shared" si="0"/>
        <v>2077</v>
      </c>
      <c r="C202" s="135">
        <f>[17]С2.5!$BJ$11</f>
        <v>0</v>
      </c>
    </row>
    <row r="203" spans="2:3" ht="13.5" hidden="1" thickBot="1" x14ac:dyDescent="0.25">
      <c r="B203" s="110">
        <f t="shared" si="0"/>
        <v>2078</v>
      </c>
      <c r="C203" s="135">
        <f>[17]С2.5!$BK$11</f>
        <v>0</v>
      </c>
    </row>
    <row r="204" spans="2:3" ht="13.5" hidden="1" thickBot="1" x14ac:dyDescent="0.25">
      <c r="B204" s="110">
        <f t="shared" si="0"/>
        <v>2079</v>
      </c>
      <c r="C204" s="135">
        <f>[17]С2.5!$BL$11</f>
        <v>0</v>
      </c>
    </row>
    <row r="205" spans="2:3" ht="13.5" hidden="1" thickBot="1" x14ac:dyDescent="0.25">
      <c r="B205" s="110">
        <f t="shared" si="0"/>
        <v>2080</v>
      </c>
      <c r="C205" s="135">
        <f>[17]С2.5!$BM$11</f>
        <v>0</v>
      </c>
    </row>
    <row r="206" spans="2:3" ht="13.5" hidden="1" thickBot="1" x14ac:dyDescent="0.25">
      <c r="B206" s="110">
        <f t="shared" si="0"/>
        <v>2081</v>
      </c>
      <c r="C206" s="135">
        <f>[17]С2.5!$BN$11</f>
        <v>0</v>
      </c>
    </row>
    <row r="207" spans="2:3" ht="13.5" hidden="1" thickBot="1" x14ac:dyDescent="0.25">
      <c r="B207" s="110">
        <f t="shared" si="0"/>
        <v>2082</v>
      </c>
      <c r="C207" s="135">
        <f>[17]С2.5!$BO$11</f>
        <v>0</v>
      </c>
    </row>
    <row r="208" spans="2:3" ht="13.5" hidden="1" thickBot="1" x14ac:dyDescent="0.25">
      <c r="B208" s="110">
        <f t="shared" si="0"/>
        <v>2083</v>
      </c>
      <c r="C208" s="135">
        <f>[17]С2.5!$BP$11</f>
        <v>0</v>
      </c>
    </row>
    <row r="209" spans="2:3" ht="13.5" hidden="1" thickBot="1" x14ac:dyDescent="0.25">
      <c r="B209" s="110">
        <f t="shared" si="0"/>
        <v>2084</v>
      </c>
      <c r="C209" s="135">
        <f>[17]С2.5!$BQ$11</f>
        <v>0</v>
      </c>
    </row>
    <row r="210" spans="2:3" ht="13.5" hidden="1" thickBot="1" x14ac:dyDescent="0.25">
      <c r="B210" s="110">
        <f t="shared" si="0"/>
        <v>2085</v>
      </c>
      <c r="C210" s="135">
        <f>[17]С2.5!$BR$11</f>
        <v>0</v>
      </c>
    </row>
    <row r="211" spans="2:3" ht="13.5" hidden="1" thickBot="1" x14ac:dyDescent="0.25">
      <c r="B211" s="110">
        <f t="shared" ref="B211:B224" si="1">B210+1</f>
        <v>2086</v>
      </c>
      <c r="C211" s="135">
        <f>[17]С2.5!$BS$11</f>
        <v>0</v>
      </c>
    </row>
    <row r="212" spans="2:3" ht="13.5" hidden="1" thickBot="1" x14ac:dyDescent="0.25">
      <c r="B212" s="110">
        <f t="shared" si="1"/>
        <v>2087</v>
      </c>
      <c r="C212" s="135">
        <f>[17]С2.5!$BT$11</f>
        <v>0</v>
      </c>
    </row>
    <row r="213" spans="2:3" ht="13.5" hidden="1" thickBot="1" x14ac:dyDescent="0.25">
      <c r="B213" s="110">
        <f t="shared" si="1"/>
        <v>2088</v>
      </c>
      <c r="C213" s="135">
        <f>[17]С2.5!$BU$11</f>
        <v>0</v>
      </c>
    </row>
    <row r="214" spans="2:3" ht="13.5" hidden="1" thickBot="1" x14ac:dyDescent="0.25">
      <c r="B214" s="110">
        <f t="shared" si="1"/>
        <v>2089</v>
      </c>
      <c r="C214" s="135">
        <f>[17]С2.5!$BV$11</f>
        <v>0</v>
      </c>
    </row>
    <row r="215" spans="2:3" ht="13.5" hidden="1" thickBot="1" x14ac:dyDescent="0.25">
      <c r="B215" s="110">
        <f t="shared" si="1"/>
        <v>2090</v>
      </c>
      <c r="C215" s="135">
        <f>[17]С2.5!$BW$11</f>
        <v>0</v>
      </c>
    </row>
    <row r="216" spans="2:3" ht="13.5" hidden="1" thickBot="1" x14ac:dyDescent="0.25">
      <c r="B216" s="110">
        <f t="shared" si="1"/>
        <v>2091</v>
      </c>
      <c r="C216" s="135">
        <f>[17]С2.5!$BX$11</f>
        <v>0</v>
      </c>
    </row>
    <row r="217" spans="2:3" ht="13.5" hidden="1" thickBot="1" x14ac:dyDescent="0.25">
      <c r="B217" s="110">
        <f t="shared" si="1"/>
        <v>2092</v>
      </c>
      <c r="C217" s="135">
        <f>[17]С2.5!$BY$11</f>
        <v>0</v>
      </c>
    </row>
    <row r="218" spans="2:3" ht="13.5" hidden="1" thickBot="1" x14ac:dyDescent="0.25">
      <c r="B218" s="110">
        <f t="shared" si="1"/>
        <v>2093</v>
      </c>
      <c r="C218" s="135">
        <f>[17]С2.5!$BZ$11</f>
        <v>0</v>
      </c>
    </row>
    <row r="219" spans="2:3" ht="13.5" hidden="1" thickBot="1" x14ac:dyDescent="0.25">
      <c r="B219" s="110">
        <f t="shared" si="1"/>
        <v>2094</v>
      </c>
      <c r="C219" s="135">
        <f>[17]С2.5!$CA$11</f>
        <v>0</v>
      </c>
    </row>
    <row r="220" spans="2:3" ht="13.5" hidden="1" thickBot="1" x14ac:dyDescent="0.25">
      <c r="B220" s="110">
        <f t="shared" si="1"/>
        <v>2095</v>
      </c>
      <c r="C220" s="135">
        <f>[17]С2.5!$CB$11</f>
        <v>0</v>
      </c>
    </row>
    <row r="221" spans="2:3" ht="13.5" hidden="1" thickBot="1" x14ac:dyDescent="0.25">
      <c r="B221" s="110">
        <f t="shared" si="1"/>
        <v>2096</v>
      </c>
      <c r="C221" s="135">
        <f>[17]С2.5!$CC$11</f>
        <v>0</v>
      </c>
    </row>
    <row r="222" spans="2:3" ht="13.5" hidden="1" thickBot="1" x14ac:dyDescent="0.25">
      <c r="B222" s="110">
        <f t="shared" si="1"/>
        <v>2097</v>
      </c>
      <c r="C222" s="135">
        <f>[17]С2.5!$CD$11</f>
        <v>0</v>
      </c>
    </row>
    <row r="223" spans="2:3" ht="13.5" hidden="1" thickBot="1" x14ac:dyDescent="0.25">
      <c r="B223" s="110">
        <f t="shared" si="1"/>
        <v>2098</v>
      </c>
      <c r="C223" s="135">
        <f>[17]С2.5!$CE$11</f>
        <v>0</v>
      </c>
    </row>
    <row r="224" spans="2:3" ht="13.5" hidden="1" thickBot="1" x14ac:dyDescent="0.25">
      <c r="B224" s="110">
        <f t="shared" si="1"/>
        <v>2099</v>
      </c>
      <c r="C224" s="135">
        <f>[17]С2.5!$CF$11</f>
        <v>0</v>
      </c>
    </row>
    <row r="225" spans="2:3" ht="13.5" hidden="1" thickBot="1" x14ac:dyDescent="0.25">
      <c r="B225" s="112">
        <f>B162+1</f>
        <v>2038</v>
      </c>
      <c r="C225" s="136" t="e">
        <f>[17]С2.5!#REF!</f>
        <v>#REF!</v>
      </c>
    </row>
    <row r="226" spans="2:3" x14ac:dyDescent="0.2">
      <c r="B226" s="137"/>
      <c r="C226" s="138"/>
    </row>
  </sheetData>
  <mergeCells count="9">
    <mergeCell ref="B143:C143"/>
    <mergeCell ref="A14:C14"/>
    <mergeCell ref="B1:C1"/>
    <mergeCell ref="B27:C27"/>
    <mergeCell ref="B45:C45"/>
    <mergeCell ref="B90:C90"/>
    <mergeCell ref="B101:C101"/>
    <mergeCell ref="B126:C126"/>
    <mergeCell ref="B129:C129"/>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22</vt:i4>
      </vt:variant>
    </vt:vector>
  </HeadingPairs>
  <TitlesOfParts>
    <vt:vector size="22" baseType="lpstr">
      <vt:lpstr>Бурмистровский</vt:lpstr>
      <vt:lpstr>Быстровский</vt:lpstr>
      <vt:lpstr>Верх-Коенский</vt:lpstr>
      <vt:lpstr>Гилевский</vt:lpstr>
      <vt:lpstr>Гусельниковский</vt:lpstr>
      <vt:lpstr>Евсинский газ</vt:lpstr>
      <vt:lpstr>Легостаевский</vt:lpstr>
      <vt:lpstr>Листвянский</vt:lpstr>
      <vt:lpstr>Мичуринский</vt:lpstr>
      <vt:lpstr>Морозовский</vt:lpstr>
      <vt:lpstr>Преображенкий</vt:lpstr>
      <vt:lpstr>Промышленный</vt:lpstr>
      <vt:lpstr>Совхозный газ</vt:lpstr>
      <vt:lpstr>Совхозный уголь</vt:lpstr>
      <vt:lpstr>Степной</vt:lpstr>
      <vt:lpstr>Тальменский</vt:lpstr>
      <vt:lpstr>Улыбинский</vt:lpstr>
      <vt:lpstr>Усть-Чемской</vt:lpstr>
      <vt:lpstr>Чернореченский газ</vt:lpstr>
      <vt:lpstr>Чернореченский уголь</vt:lpstr>
      <vt:lpstr>Шибковский</vt:lpstr>
      <vt:lpstr>Евсинский уголь</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Ерыгина</dc:creator>
  <cp:lastModifiedBy>Тумаева</cp:lastModifiedBy>
  <dcterms:created xsi:type="dcterms:W3CDTF">2023-01-18T04:22:22Z</dcterms:created>
  <dcterms:modified xsi:type="dcterms:W3CDTF">2026-01-22T06:50:50Z</dcterms:modified>
</cp:coreProperties>
</file>