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9.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10.xml" ContentType="application/vnd.openxmlformats-officedocument.drawing+xml"/>
  <Override PartName="/xl/ctrlProps/ctrlProp19.xml" ContentType="application/vnd.ms-excel.controlproperties+xml"/>
  <Override PartName="/xl/ctrlProps/ctrlProp20.xml" ContentType="application/vnd.ms-excel.controlproperties+xml"/>
  <Override PartName="/xl/drawings/drawing11.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2.xml" ContentType="application/vnd.openxmlformats-officedocument.drawing+xml"/>
  <Override PartName="/xl/ctrlProps/ctrlProp23.xml" ContentType="application/vnd.ms-excel.controlproperties+xml"/>
  <Override PartName="/xl/ctrlProps/ctrlProp24.xml" ContentType="application/vnd.ms-excel.controlproperties+xml"/>
  <Override PartName="/xl/drawings/drawing13.xml" ContentType="application/vnd.openxmlformats-officedocument.drawing+xml"/>
  <Override PartName="/xl/ctrlProps/ctrlProp25.xml" ContentType="application/vnd.ms-excel.controlproperties+xml"/>
  <Override PartName="/xl/ctrlProps/ctrlProp26.xml" ContentType="application/vnd.ms-excel.controlproperties+xml"/>
  <Override PartName="/xl/drawings/drawing14.xml" ContentType="application/vnd.openxmlformats-officedocument.drawing+xml"/>
  <Override PartName="/xl/ctrlProps/ctrlProp27.xml" ContentType="application/vnd.ms-excel.controlproperties+xml"/>
  <Override PartName="/xl/ctrlProps/ctrlProp28.xml" ContentType="application/vnd.ms-excel.controlproperties+xml"/>
  <Override PartName="/xl/drawings/drawing15.xml" ContentType="application/vnd.openxmlformats-officedocument.drawing+xml"/>
  <Override PartName="/xl/ctrlProps/ctrlProp29.xml" ContentType="application/vnd.ms-excel.controlproperties+xml"/>
  <Override PartName="/xl/ctrlProps/ctrlProp30.xml" ContentType="application/vnd.ms-excel.controlproperties+xml"/>
  <Override PartName="/xl/drawings/drawing16.xml" ContentType="application/vnd.openxmlformats-officedocument.drawing+xml"/>
  <Override PartName="/xl/ctrlProps/ctrlProp31.xml" ContentType="application/vnd.ms-excel.controlproperties+xml"/>
  <Override PartName="/xl/ctrlProps/ctrlProp32.xml" ContentType="application/vnd.ms-excel.controlproperties+xml"/>
  <Override PartName="/xl/drawings/drawing17.xml" ContentType="application/vnd.openxmlformats-officedocument.drawing+xml"/>
  <Override PartName="/xl/ctrlProps/ctrlProp33.xml" ContentType="application/vnd.ms-excel.controlproperties+xml"/>
  <Override PartName="/xl/ctrlProps/ctrlProp34.xml" ContentType="application/vnd.ms-excel.controlproperties+xml"/>
  <Override PartName="/xl/drawings/drawing18.xml" ContentType="application/vnd.openxmlformats-officedocument.drawing+xml"/>
  <Override PartName="/xl/ctrlProps/ctrlProp35.xml" ContentType="application/vnd.ms-excel.controlproperties+xml"/>
  <Override PartName="/xl/ctrlProps/ctrlProp36.xml" ContentType="application/vnd.ms-excel.controlproperties+xml"/>
  <Override PartName="/xl/drawings/drawing19.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420" windowWidth="27555" windowHeight="13335" tabRatio="895" firstSheet="3" activeTab="18"/>
  </bookViews>
  <sheets>
    <sheet name="Бурмистровский" sheetId="1" r:id="rId1"/>
    <sheet name="Быстровский" sheetId="2" r:id="rId2"/>
    <sheet name="Верх-Коенский" sheetId="3" r:id="rId3"/>
    <sheet name="Гилевский" sheetId="4" r:id="rId4"/>
    <sheet name="Гусельниковский" sheetId="5" r:id="rId5"/>
    <sheet name="Евсинский" sheetId="6" r:id="rId6"/>
    <sheet name="Легостаевский" sheetId="7" r:id="rId7"/>
    <sheet name="Листвянский" sheetId="8" r:id="rId8"/>
    <sheet name="Мичуринский" sheetId="9" r:id="rId9"/>
    <sheet name="Морозовский" sheetId="10" r:id="rId10"/>
    <sheet name="Преображенкий" sheetId="11" r:id="rId11"/>
    <sheet name="Промышленный" sheetId="12" r:id="rId12"/>
    <sheet name="Совхозный" sheetId="13" r:id="rId13"/>
    <sheet name="Степной" sheetId="14" r:id="rId14"/>
    <sheet name="Тальменский" sheetId="15" r:id="rId15"/>
    <sheet name="Улыбинский" sheetId="16" r:id="rId16"/>
    <sheet name="Усть-Чемской" sheetId="17" r:id="rId17"/>
    <sheet name="Чернореченский" sheetId="18" r:id="rId18"/>
    <sheet name="Шибковский" sheetId="19"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calcPr calcId="145621"/>
</workbook>
</file>

<file path=xl/calcChain.xml><?xml version="1.0" encoding="utf-8"?>
<calcChain xmlns="http://schemas.openxmlformats.org/spreadsheetml/2006/main">
  <c r="C223" i="19" l="1"/>
  <c r="C222" i="19"/>
  <c r="C221" i="19"/>
  <c r="C220" i="19"/>
  <c r="C219" i="19"/>
  <c r="C218" i="19"/>
  <c r="C217" i="19"/>
  <c r="C216" i="19"/>
  <c r="C215" i="19"/>
  <c r="C214" i="19"/>
  <c r="C213" i="19"/>
  <c r="C212" i="19"/>
  <c r="C211" i="19"/>
  <c r="C210" i="19"/>
  <c r="C209" i="19"/>
  <c r="C208" i="19"/>
  <c r="C207" i="19"/>
  <c r="C206" i="19"/>
  <c r="C205" i="19"/>
  <c r="C204" i="19"/>
  <c r="C203" i="19"/>
  <c r="C202" i="19"/>
  <c r="C201" i="19"/>
  <c r="C200" i="19"/>
  <c r="C199" i="19"/>
  <c r="C198" i="19"/>
  <c r="C197" i="19"/>
  <c r="C196" i="19"/>
  <c r="C195" i="19"/>
  <c r="C194" i="19"/>
  <c r="C193" i="19"/>
  <c r="C192" i="19"/>
  <c r="C191" i="19"/>
  <c r="C190" i="19"/>
  <c r="C189" i="19"/>
  <c r="C188" i="19"/>
  <c r="C187" i="19"/>
  <c r="C186" i="19"/>
  <c r="C185" i="19"/>
  <c r="C184" i="19"/>
  <c r="C183" i="19"/>
  <c r="C182" i="19"/>
  <c r="C181" i="19"/>
  <c r="C180" i="19"/>
  <c r="C179" i="19"/>
  <c r="C178" i="19"/>
  <c r="C177" i="19"/>
  <c r="C176" i="19"/>
  <c r="C175" i="19"/>
  <c r="C174" i="19"/>
  <c r="C173" i="19"/>
  <c r="C172" i="19"/>
  <c r="C171" i="19"/>
  <c r="C170" i="19"/>
  <c r="C169" i="19"/>
  <c r="C168" i="19"/>
  <c r="C167" i="19"/>
  <c r="C166" i="19"/>
  <c r="C165" i="19"/>
  <c r="C164" i="19"/>
  <c r="C163" i="19"/>
  <c r="C162" i="19"/>
  <c r="C161" i="19"/>
  <c r="C160" i="19"/>
  <c r="C159" i="19"/>
  <c r="C158" i="19"/>
  <c r="C157" i="19"/>
  <c r="C156" i="19"/>
  <c r="C155" i="19"/>
  <c r="C154" i="19"/>
  <c r="C153" i="19"/>
  <c r="C152" i="19"/>
  <c r="C151" i="19"/>
  <c r="C150" i="19"/>
  <c r="C149" i="19"/>
  <c r="C148" i="19"/>
  <c r="C147" i="19"/>
  <c r="C146" i="19"/>
  <c r="C145" i="19"/>
  <c r="C144" i="19"/>
  <c r="B144" i="19"/>
  <c r="B145" i="19" s="1"/>
  <c r="B146" i="19" s="1"/>
  <c r="B147" i="19" s="1"/>
  <c r="B148" i="19" s="1"/>
  <c r="B149" i="19" s="1"/>
  <c r="B150" i="19" s="1"/>
  <c r="B151" i="19" s="1"/>
  <c r="B152" i="19" s="1"/>
  <c r="B153" i="19" s="1"/>
  <c r="B154" i="19" s="1"/>
  <c r="B155" i="19" s="1"/>
  <c r="B156" i="19" s="1"/>
  <c r="B157" i="19" s="1"/>
  <c r="B158" i="19" s="1"/>
  <c r="B159" i="19" s="1"/>
  <c r="B160" i="19" s="1"/>
  <c r="B161" i="19" s="1"/>
  <c r="B162" i="19" s="1"/>
  <c r="B163" i="19" s="1"/>
  <c r="B164" i="19" s="1"/>
  <c r="B165" i="19" s="1"/>
  <c r="B166" i="19" s="1"/>
  <c r="B167" i="19" s="1"/>
  <c r="B168" i="19" s="1"/>
  <c r="B169" i="19" s="1"/>
  <c r="B170" i="19" s="1"/>
  <c r="B171" i="19" s="1"/>
  <c r="B172" i="19" s="1"/>
  <c r="B173" i="19" s="1"/>
  <c r="B174" i="19" s="1"/>
  <c r="B175" i="19" s="1"/>
  <c r="B176" i="19" s="1"/>
  <c r="B177" i="19" s="1"/>
  <c r="B178" i="19" s="1"/>
  <c r="B179" i="19" s="1"/>
  <c r="B180" i="19" s="1"/>
  <c r="B181" i="19" s="1"/>
  <c r="B182" i="19" s="1"/>
  <c r="B183" i="19" s="1"/>
  <c r="B184" i="19" s="1"/>
  <c r="B185" i="19" s="1"/>
  <c r="B186" i="19" s="1"/>
  <c r="B187" i="19" s="1"/>
  <c r="B188" i="19" s="1"/>
  <c r="B189" i="19" s="1"/>
  <c r="B190" i="19" s="1"/>
  <c r="B191" i="19" s="1"/>
  <c r="B192" i="19" s="1"/>
  <c r="B193" i="19" s="1"/>
  <c r="B194" i="19" s="1"/>
  <c r="B195" i="19" s="1"/>
  <c r="B196" i="19" s="1"/>
  <c r="B197" i="19" s="1"/>
  <c r="B198" i="19" s="1"/>
  <c r="B199" i="19" s="1"/>
  <c r="B200" i="19" s="1"/>
  <c r="B201" i="19" s="1"/>
  <c r="B202" i="19" s="1"/>
  <c r="B203" i="19" s="1"/>
  <c r="B204" i="19" s="1"/>
  <c r="B205" i="19" s="1"/>
  <c r="B206" i="19" s="1"/>
  <c r="B207" i="19" s="1"/>
  <c r="B208" i="19" s="1"/>
  <c r="B209" i="19" s="1"/>
  <c r="B210" i="19" s="1"/>
  <c r="B211" i="19" s="1"/>
  <c r="B212" i="19" s="1"/>
  <c r="B213" i="19" s="1"/>
  <c r="B214" i="19" s="1"/>
  <c r="B215" i="19" s="1"/>
  <c r="B216" i="19" s="1"/>
  <c r="B217" i="19" s="1"/>
  <c r="B218" i="19" s="1"/>
  <c r="B219" i="19" s="1"/>
  <c r="B220" i="19" s="1"/>
  <c r="B221" i="19" s="1"/>
  <c r="B222" i="19" s="1"/>
  <c r="B223" i="19" s="1"/>
  <c r="C143" i="19"/>
  <c r="D140" i="19"/>
  <c r="C140" i="19"/>
  <c r="C138" i="19"/>
  <c r="C137" i="19"/>
  <c r="C136" i="19"/>
  <c r="C135" i="19"/>
  <c r="C125" i="19"/>
  <c r="D122" i="19"/>
  <c r="C122" i="19"/>
  <c r="C121" i="19"/>
  <c r="C120" i="19"/>
  <c r="C119" i="19"/>
  <c r="C118" i="19"/>
  <c r="C117" i="19"/>
  <c r="C116" i="19"/>
  <c r="C115" i="19"/>
  <c r="C114" i="19"/>
  <c r="C113" i="19"/>
  <c r="C112" i="19"/>
  <c r="D111" i="19"/>
  <c r="C111" i="19"/>
  <c r="D110" i="19"/>
  <c r="C110" i="19"/>
  <c r="D109" i="19"/>
  <c r="C109" i="19"/>
  <c r="D108" i="19"/>
  <c r="C108" i="19"/>
  <c r="C107" i="19"/>
  <c r="C106" i="19"/>
  <c r="C105" i="19"/>
  <c r="C104" i="19"/>
  <c r="D103" i="19"/>
  <c r="C103" i="19"/>
  <c r="C102" i="19"/>
  <c r="C101" i="19"/>
  <c r="C100" i="19"/>
  <c r="C99" i="19"/>
  <c r="C98" i="19"/>
  <c r="C97" i="19"/>
  <c r="C96" i="19"/>
  <c r="C93" i="19"/>
  <c r="D92" i="19"/>
  <c r="C92" i="19"/>
  <c r="C91" i="19"/>
  <c r="C90" i="19"/>
  <c r="D89" i="19"/>
  <c r="C89" i="19"/>
  <c r="C88" i="19"/>
  <c r="C87" i="19"/>
  <c r="D86" i="19"/>
  <c r="C86" i="19"/>
  <c r="C85" i="19"/>
  <c r="C82" i="19"/>
  <c r="C81" i="19"/>
  <c r="D80" i="19"/>
  <c r="C80" i="19"/>
  <c r="C79" i="19"/>
  <c r="D78" i="19"/>
  <c r="C78" i="19"/>
  <c r="D77" i="19"/>
  <c r="C77" i="19"/>
  <c r="C76" i="19"/>
  <c r="C75" i="19"/>
  <c r="D74" i="19"/>
  <c r="C74" i="19"/>
  <c r="C73" i="19"/>
  <c r="C72" i="19"/>
  <c r="D72" i="19" s="1"/>
  <c r="C71" i="19"/>
  <c r="D71" i="19" s="1"/>
  <c r="C70" i="19"/>
  <c r="C69" i="19"/>
  <c r="D68" i="19"/>
  <c r="C68" i="19"/>
  <c r="C67" i="19"/>
  <c r="C66" i="19"/>
  <c r="C65" i="19"/>
  <c r="C64" i="19"/>
  <c r="D63" i="19"/>
  <c r="C63" i="19"/>
  <c r="C62" i="19"/>
  <c r="C61" i="19"/>
  <c r="C60" i="19"/>
  <c r="C59" i="19"/>
  <c r="C58" i="19"/>
  <c r="C57" i="19"/>
  <c r="C56" i="19"/>
  <c r="C55" i="19"/>
  <c r="C54" i="19"/>
  <c r="C53" i="19"/>
  <c r="C52" i="19"/>
  <c r="C51" i="19"/>
  <c r="C50" i="19"/>
  <c r="C49" i="19"/>
  <c r="D48" i="19"/>
  <c r="C48" i="19"/>
  <c r="D47" i="19"/>
  <c r="C47" i="19"/>
  <c r="C46" i="19"/>
  <c r="C45" i="19"/>
  <c r="D44" i="19"/>
  <c r="C44" i="19"/>
  <c r="D43" i="19"/>
  <c r="C43" i="19"/>
  <c r="D42" i="19"/>
  <c r="C42" i="19"/>
  <c r="C41" i="19"/>
  <c r="C38" i="19"/>
  <c r="C37" i="19"/>
  <c r="C36" i="19"/>
  <c r="C35" i="19"/>
  <c r="C34" i="19"/>
  <c r="C33" i="19"/>
  <c r="C32" i="19"/>
  <c r="D31" i="19"/>
  <c r="C31" i="19"/>
  <c r="D30" i="19"/>
  <c r="C30" i="19"/>
  <c r="D29" i="19"/>
  <c r="C29" i="19"/>
  <c r="D28" i="19"/>
  <c r="C28" i="19"/>
  <c r="C23" i="19"/>
  <c r="C22" i="19"/>
  <c r="C21" i="19"/>
  <c r="C20" i="19"/>
  <c r="C19" i="19"/>
  <c r="C18" i="19"/>
  <c r="C17" i="19" s="1"/>
  <c r="C13" i="19"/>
  <c r="B13" i="19"/>
  <c r="C12" i="19"/>
  <c r="B12" i="19"/>
  <c r="C11" i="19"/>
  <c r="B11" i="19"/>
  <c r="C10" i="19"/>
  <c r="B10" i="19"/>
  <c r="C9" i="19"/>
  <c r="B9" i="19"/>
  <c r="C8" i="19"/>
  <c r="B8" i="19"/>
  <c r="C7" i="19"/>
  <c r="B7" i="19"/>
  <c r="C6" i="19"/>
  <c r="B6" i="19"/>
  <c r="C5" i="19"/>
  <c r="B5" i="19"/>
  <c r="C4" i="19"/>
  <c r="B4" i="19"/>
  <c r="C225" i="18" l="1"/>
  <c r="C224" i="18"/>
  <c r="C223" i="18"/>
  <c r="C222" i="18"/>
  <c r="C221" i="18"/>
  <c r="C220" i="18"/>
  <c r="C219" i="18"/>
  <c r="C218" i="18"/>
  <c r="C217" i="18"/>
  <c r="C216" i="18"/>
  <c r="C215" i="18"/>
  <c r="C214" i="18"/>
  <c r="C213" i="18"/>
  <c r="C212" i="18"/>
  <c r="C211" i="18"/>
  <c r="C210" i="18"/>
  <c r="C209" i="18"/>
  <c r="C208" i="18"/>
  <c r="C207" i="18"/>
  <c r="C206" i="18"/>
  <c r="C205" i="18"/>
  <c r="C204" i="18"/>
  <c r="C203" i="18"/>
  <c r="C202" i="18"/>
  <c r="C201" i="18"/>
  <c r="C200" i="18"/>
  <c r="C199" i="18"/>
  <c r="C198" i="18"/>
  <c r="C197" i="18"/>
  <c r="C196" i="18"/>
  <c r="C195" i="18"/>
  <c r="C194" i="18"/>
  <c r="C193" i="18"/>
  <c r="C192" i="18"/>
  <c r="C191" i="18"/>
  <c r="C190" i="18"/>
  <c r="C189" i="18"/>
  <c r="C188" i="18"/>
  <c r="C187" i="18"/>
  <c r="C186" i="18"/>
  <c r="C185" i="18"/>
  <c r="C184" i="18"/>
  <c r="C183" i="18"/>
  <c r="C182" i="18"/>
  <c r="C181" i="18"/>
  <c r="C180" i="18"/>
  <c r="C179" i="18"/>
  <c r="C178" i="18"/>
  <c r="C177" i="18"/>
  <c r="C176" i="18"/>
  <c r="C175" i="18"/>
  <c r="C174" i="18"/>
  <c r="C173" i="18"/>
  <c r="C172" i="18"/>
  <c r="C171" i="18"/>
  <c r="C170" i="18"/>
  <c r="C169" i="18"/>
  <c r="C168" i="18"/>
  <c r="C167" i="18"/>
  <c r="C166" i="18"/>
  <c r="C165" i="18"/>
  <c r="C164" i="18"/>
  <c r="C163" i="18"/>
  <c r="C162" i="18"/>
  <c r="C161" i="18"/>
  <c r="C160" i="18"/>
  <c r="C159" i="18"/>
  <c r="C158" i="18"/>
  <c r="C157" i="18"/>
  <c r="C156" i="18"/>
  <c r="C155" i="18"/>
  <c r="C154" i="18"/>
  <c r="C153" i="18"/>
  <c r="C152" i="18"/>
  <c r="C151" i="18"/>
  <c r="C150" i="18"/>
  <c r="C149" i="18"/>
  <c r="C148" i="18"/>
  <c r="C147" i="18"/>
  <c r="C146" i="18"/>
  <c r="B146" i="18"/>
  <c r="B147" i="18" s="1"/>
  <c r="B148" i="18" s="1"/>
  <c r="B149" i="18" s="1"/>
  <c r="B150" i="18" s="1"/>
  <c r="B151" i="18" s="1"/>
  <c r="B152" i="18" s="1"/>
  <c r="B153" i="18" s="1"/>
  <c r="B154" i="18" s="1"/>
  <c r="B155" i="18" s="1"/>
  <c r="B156" i="18" s="1"/>
  <c r="B157" i="18" s="1"/>
  <c r="B158" i="18" s="1"/>
  <c r="B159" i="18" s="1"/>
  <c r="B160" i="18" s="1"/>
  <c r="B161" i="18" s="1"/>
  <c r="B162" i="18" s="1"/>
  <c r="C145" i="18"/>
  <c r="C142" i="18"/>
  <c r="C140" i="18"/>
  <c r="C139" i="18"/>
  <c r="C138" i="18"/>
  <c r="C137" i="18"/>
  <c r="C135" i="18"/>
  <c r="C134" i="18"/>
  <c r="C133" i="18"/>
  <c r="C132" i="18"/>
  <c r="C131" i="18"/>
  <c r="C130" i="18"/>
  <c r="C127" i="18"/>
  <c r="C124" i="18"/>
  <c r="C123" i="18"/>
  <c r="C122" i="18"/>
  <c r="C121" i="18"/>
  <c r="C120" i="18"/>
  <c r="C119" i="18"/>
  <c r="C118" i="18"/>
  <c r="C117" i="18"/>
  <c r="C116" i="18"/>
  <c r="C115" i="18"/>
  <c r="C114" i="18"/>
  <c r="C113" i="18"/>
  <c r="C112" i="18"/>
  <c r="C111" i="18"/>
  <c r="C110" i="18"/>
  <c r="C109" i="18"/>
  <c r="C108" i="18"/>
  <c r="C107" i="18"/>
  <c r="C106" i="18"/>
  <c r="C105" i="18"/>
  <c r="C104" i="18"/>
  <c r="C103" i="18"/>
  <c r="C102" i="18"/>
  <c r="C99" i="18"/>
  <c r="C98" i="18"/>
  <c r="C97" i="18"/>
  <c r="C96" i="18"/>
  <c r="C95" i="18"/>
  <c r="C94" i="18"/>
  <c r="C93" i="18"/>
  <c r="C92" i="18"/>
  <c r="C91" i="18"/>
  <c r="C88" i="18"/>
  <c r="C87" i="18"/>
  <c r="C86" i="18"/>
  <c r="C85" i="18"/>
  <c r="C84" i="18"/>
  <c r="C83" i="18"/>
  <c r="C82" i="18"/>
  <c r="C81" i="18"/>
  <c r="C80" i="18"/>
  <c r="C79" i="18"/>
  <c r="C78" i="18"/>
  <c r="C77" i="18"/>
  <c r="C76" i="18"/>
  <c r="C75" i="18"/>
  <c r="C74" i="18"/>
  <c r="C73" i="18"/>
  <c r="C72" i="18"/>
  <c r="C71" i="18"/>
  <c r="C70" i="18"/>
  <c r="C69" i="18"/>
  <c r="C68" i="18"/>
  <c r="C67" i="18"/>
  <c r="C66" i="18"/>
  <c r="C65" i="18"/>
  <c r="C64" i="18"/>
  <c r="C63" i="18"/>
  <c r="C62" i="18"/>
  <c r="C61" i="18"/>
  <c r="C60" i="18"/>
  <c r="C59" i="18"/>
  <c r="C58" i="18"/>
  <c r="C57" i="18"/>
  <c r="C56" i="18"/>
  <c r="C55" i="18"/>
  <c r="C54" i="18"/>
  <c r="C53" i="18"/>
  <c r="C52" i="18"/>
  <c r="C51" i="18"/>
  <c r="C50" i="18"/>
  <c r="C49" i="18"/>
  <c r="C48" i="18"/>
  <c r="C47" i="18"/>
  <c r="C46" i="18"/>
  <c r="C43" i="18"/>
  <c r="C42" i="18"/>
  <c r="C41" i="18"/>
  <c r="C40" i="18"/>
  <c r="C39" i="18"/>
  <c r="C38" i="18"/>
  <c r="C37" i="18"/>
  <c r="C36" i="18"/>
  <c r="C35" i="18"/>
  <c r="C34" i="18"/>
  <c r="B34" i="18"/>
  <c r="C33" i="18"/>
  <c r="B33" i="18"/>
  <c r="C32" i="18"/>
  <c r="B32" i="18"/>
  <c r="C31" i="18"/>
  <c r="B31" i="18"/>
  <c r="C30" i="18"/>
  <c r="C29" i="18"/>
  <c r="C28" i="18"/>
  <c r="C23" i="18"/>
  <c r="C22" i="18"/>
  <c r="C21" i="18"/>
  <c r="C20" i="18"/>
  <c r="C19" i="18"/>
  <c r="C18" i="18"/>
  <c r="C17" i="18"/>
  <c r="C13" i="18"/>
  <c r="B13" i="18"/>
  <c r="C12" i="18"/>
  <c r="B12" i="18"/>
  <c r="C11" i="18"/>
  <c r="B11" i="18"/>
  <c r="C10" i="18"/>
  <c r="B10" i="18"/>
  <c r="C9" i="18"/>
  <c r="B9" i="18"/>
  <c r="C8" i="18"/>
  <c r="B8" i="18"/>
  <c r="C7" i="18"/>
  <c r="B7" i="18"/>
  <c r="C6" i="18"/>
  <c r="B6" i="18"/>
  <c r="C5" i="18"/>
  <c r="B5" i="18"/>
  <c r="C4" i="18"/>
  <c r="B4" i="18"/>
  <c r="B225" i="18" l="1"/>
  <c r="B163" i="18"/>
  <c r="B164" i="18" s="1"/>
  <c r="B165" i="18" s="1"/>
  <c r="B166" i="18" s="1"/>
  <c r="B167" i="18" s="1"/>
  <c r="B168" i="18" s="1"/>
  <c r="B169" i="18" s="1"/>
  <c r="B170" i="18" s="1"/>
  <c r="B171" i="18" s="1"/>
  <c r="B172" i="18" s="1"/>
  <c r="B173" i="18" s="1"/>
  <c r="B174" i="18" s="1"/>
  <c r="B175" i="18" s="1"/>
  <c r="B176" i="18" s="1"/>
  <c r="B177" i="18" s="1"/>
  <c r="B178" i="18" s="1"/>
  <c r="B179" i="18" s="1"/>
  <c r="B180" i="18" s="1"/>
  <c r="B181" i="18" s="1"/>
  <c r="B182" i="18" s="1"/>
  <c r="B183" i="18" s="1"/>
  <c r="B184" i="18" s="1"/>
  <c r="B185" i="18" s="1"/>
  <c r="B186" i="18" s="1"/>
  <c r="B187" i="18" s="1"/>
  <c r="B188" i="18" s="1"/>
  <c r="B189" i="18" s="1"/>
  <c r="B190" i="18" s="1"/>
  <c r="B191" i="18" s="1"/>
  <c r="B192" i="18" s="1"/>
  <c r="B193" i="18" s="1"/>
  <c r="B194" i="18" s="1"/>
  <c r="B195" i="18" s="1"/>
  <c r="B196" i="18" s="1"/>
  <c r="B197" i="18" s="1"/>
  <c r="B198" i="18" s="1"/>
  <c r="B199" i="18" s="1"/>
  <c r="B200" i="18" s="1"/>
  <c r="B201" i="18" s="1"/>
  <c r="B202" i="18" s="1"/>
  <c r="B203" i="18" s="1"/>
  <c r="B204" i="18" s="1"/>
  <c r="B205" i="18" s="1"/>
  <c r="B206" i="18" s="1"/>
  <c r="B207" i="18" s="1"/>
  <c r="B208" i="18" s="1"/>
  <c r="B209" i="18" s="1"/>
  <c r="B210" i="18" s="1"/>
  <c r="B211" i="18" s="1"/>
  <c r="B212" i="18" s="1"/>
  <c r="B213" i="18" s="1"/>
  <c r="B214" i="18" s="1"/>
  <c r="B215" i="18" s="1"/>
  <c r="B216" i="18" s="1"/>
  <c r="B217" i="18" s="1"/>
  <c r="B218" i="18" s="1"/>
  <c r="B219" i="18" s="1"/>
  <c r="B220" i="18" s="1"/>
  <c r="B221" i="18" s="1"/>
  <c r="B222" i="18" s="1"/>
  <c r="B223" i="18" s="1"/>
  <c r="B224" i="18" s="1"/>
  <c r="C223" i="17" l="1"/>
  <c r="C222" i="17"/>
  <c r="C221" i="17"/>
  <c r="C220" i="17"/>
  <c r="C219" i="17"/>
  <c r="C218" i="17"/>
  <c r="C217" i="17"/>
  <c r="C216" i="17"/>
  <c r="C215" i="17"/>
  <c r="C214" i="17"/>
  <c r="C213" i="17"/>
  <c r="C212" i="17"/>
  <c r="C211" i="17"/>
  <c r="C210" i="17"/>
  <c r="C209" i="17"/>
  <c r="C208" i="17"/>
  <c r="C207" i="17"/>
  <c r="C206" i="17"/>
  <c r="C205" i="17"/>
  <c r="C204" i="17"/>
  <c r="C203" i="17"/>
  <c r="C202" i="17"/>
  <c r="C201" i="17"/>
  <c r="C200" i="17"/>
  <c r="C199" i="17"/>
  <c r="C198" i="17"/>
  <c r="C197" i="17"/>
  <c r="C196" i="17"/>
  <c r="C195" i="17"/>
  <c r="C194" i="17"/>
  <c r="C193" i="17"/>
  <c r="C192" i="17"/>
  <c r="C191" i="17"/>
  <c r="C190" i="17"/>
  <c r="C189" i="17"/>
  <c r="C188" i="17"/>
  <c r="C187" i="17"/>
  <c r="C186" i="17"/>
  <c r="C185" i="17"/>
  <c r="C184" i="17"/>
  <c r="C183" i="17"/>
  <c r="C182" i="17"/>
  <c r="C181" i="17"/>
  <c r="C180" i="17"/>
  <c r="C179" i="17"/>
  <c r="C178" i="17"/>
  <c r="C177" i="17"/>
  <c r="C176" i="17"/>
  <c r="C175" i="17"/>
  <c r="C174" i="17"/>
  <c r="C173" i="17"/>
  <c r="C172" i="17"/>
  <c r="C171" i="17"/>
  <c r="C170" i="17"/>
  <c r="C169" i="17"/>
  <c r="C168" i="17"/>
  <c r="C167" i="17"/>
  <c r="C166" i="17"/>
  <c r="C165" i="17"/>
  <c r="C164" i="17"/>
  <c r="C163" i="17"/>
  <c r="C162" i="17"/>
  <c r="C161" i="17"/>
  <c r="C160" i="17"/>
  <c r="C159" i="17"/>
  <c r="C158" i="17"/>
  <c r="C157" i="17"/>
  <c r="C156" i="17"/>
  <c r="C155" i="17"/>
  <c r="C154" i="17"/>
  <c r="C153" i="17"/>
  <c r="C152" i="17"/>
  <c r="C151" i="17"/>
  <c r="C150" i="17"/>
  <c r="C149" i="17"/>
  <c r="C148" i="17"/>
  <c r="C147" i="17"/>
  <c r="C146" i="17"/>
  <c r="C145" i="17"/>
  <c r="C144" i="17"/>
  <c r="B144" i="17"/>
  <c r="B145" i="17" s="1"/>
  <c r="B146" i="17" s="1"/>
  <c r="B147" i="17" s="1"/>
  <c r="B148" i="17" s="1"/>
  <c r="B149" i="17" s="1"/>
  <c r="B150" i="17" s="1"/>
  <c r="B151" i="17" s="1"/>
  <c r="B152" i="17" s="1"/>
  <c r="B153" i="17" s="1"/>
  <c r="B154" i="17" s="1"/>
  <c r="B155" i="17" s="1"/>
  <c r="B156" i="17" s="1"/>
  <c r="B157" i="17" s="1"/>
  <c r="B158" i="17" s="1"/>
  <c r="B159" i="17" s="1"/>
  <c r="B160" i="17" s="1"/>
  <c r="B161" i="17" s="1"/>
  <c r="B162" i="17" s="1"/>
  <c r="B163" i="17" s="1"/>
  <c r="B164" i="17" s="1"/>
  <c r="B165" i="17" s="1"/>
  <c r="B166" i="17" s="1"/>
  <c r="B167" i="17" s="1"/>
  <c r="B168" i="17" s="1"/>
  <c r="B169" i="17" s="1"/>
  <c r="B170" i="17" s="1"/>
  <c r="B171" i="17" s="1"/>
  <c r="B172" i="17" s="1"/>
  <c r="B173" i="17" s="1"/>
  <c r="B174" i="17" s="1"/>
  <c r="B175" i="17" s="1"/>
  <c r="B176" i="17" s="1"/>
  <c r="B177" i="17" s="1"/>
  <c r="B178" i="17" s="1"/>
  <c r="B179" i="17" s="1"/>
  <c r="B180" i="17" s="1"/>
  <c r="B181" i="17" s="1"/>
  <c r="B182" i="17" s="1"/>
  <c r="B183" i="17" s="1"/>
  <c r="B184" i="17" s="1"/>
  <c r="B185" i="17" s="1"/>
  <c r="B186" i="17" s="1"/>
  <c r="B187" i="17" s="1"/>
  <c r="B188" i="17" s="1"/>
  <c r="B189" i="17" s="1"/>
  <c r="B190" i="17" s="1"/>
  <c r="B191" i="17" s="1"/>
  <c r="B192" i="17" s="1"/>
  <c r="B193" i="17" s="1"/>
  <c r="B194" i="17" s="1"/>
  <c r="B195" i="17" s="1"/>
  <c r="B196" i="17" s="1"/>
  <c r="B197" i="17" s="1"/>
  <c r="B198" i="17" s="1"/>
  <c r="B199" i="17" s="1"/>
  <c r="B200" i="17" s="1"/>
  <c r="B201" i="17" s="1"/>
  <c r="B202" i="17" s="1"/>
  <c r="B203" i="17" s="1"/>
  <c r="B204" i="17" s="1"/>
  <c r="B205" i="17" s="1"/>
  <c r="B206" i="17" s="1"/>
  <c r="B207" i="17" s="1"/>
  <c r="B208" i="17" s="1"/>
  <c r="B209" i="17" s="1"/>
  <c r="B210" i="17" s="1"/>
  <c r="B211" i="17" s="1"/>
  <c r="B212" i="17" s="1"/>
  <c r="B213" i="17" s="1"/>
  <c r="B214" i="17" s="1"/>
  <c r="B215" i="17" s="1"/>
  <c r="B216" i="17" s="1"/>
  <c r="B217" i="17" s="1"/>
  <c r="B218" i="17" s="1"/>
  <c r="B219" i="17" s="1"/>
  <c r="B220" i="17" s="1"/>
  <c r="B221" i="17" s="1"/>
  <c r="B222" i="17" s="1"/>
  <c r="B223" i="17" s="1"/>
  <c r="C143" i="17"/>
  <c r="C140" i="17"/>
  <c r="C138" i="17"/>
  <c r="C137" i="17"/>
  <c r="C136" i="17"/>
  <c r="C135" i="17"/>
  <c r="C125" i="17"/>
  <c r="C122" i="17"/>
  <c r="C121" i="17"/>
  <c r="C120" i="17"/>
  <c r="C119" i="17"/>
  <c r="C118" i="17"/>
  <c r="C117" i="17"/>
  <c r="C116" i="17"/>
  <c r="C115" i="17"/>
  <c r="C114" i="17"/>
  <c r="C113" i="17"/>
  <c r="C112" i="17"/>
  <c r="C111" i="17"/>
  <c r="C110" i="17"/>
  <c r="C109" i="17"/>
  <c r="C108" i="17"/>
  <c r="C107" i="17"/>
  <c r="C106" i="17"/>
  <c r="C105" i="17"/>
  <c r="C104" i="17"/>
  <c r="C103" i="17"/>
  <c r="C102" i="17"/>
  <c r="C101" i="17"/>
  <c r="C100" i="17"/>
  <c r="C99" i="17"/>
  <c r="C98" i="17"/>
  <c r="C97" i="17"/>
  <c r="C96" i="17"/>
  <c r="C93" i="17"/>
  <c r="C92" i="17"/>
  <c r="C91" i="17"/>
  <c r="C90" i="17"/>
  <c r="C89" i="17"/>
  <c r="C88" i="17"/>
  <c r="C87" i="17"/>
  <c r="C86" i="17"/>
  <c r="C85" i="17"/>
  <c r="C82" i="17"/>
  <c r="C81" i="17"/>
  <c r="C80" i="17"/>
  <c r="C79" i="17"/>
  <c r="C78" i="17"/>
  <c r="C77" i="17"/>
  <c r="C76" i="17"/>
  <c r="C75" i="17"/>
  <c r="C74" i="17"/>
  <c r="C73" i="17"/>
  <c r="C72" i="17"/>
  <c r="C71" i="17"/>
  <c r="C70" i="17"/>
  <c r="C69" i="17"/>
  <c r="C68" i="17"/>
  <c r="C67" i="17"/>
  <c r="C66" i="17"/>
  <c r="C65" i="17"/>
  <c r="C64" i="17"/>
  <c r="C63" i="17"/>
  <c r="C62" i="17"/>
  <c r="C61" i="17"/>
  <c r="C60" i="17"/>
  <c r="C59" i="17"/>
  <c r="C58" i="17"/>
  <c r="C57" i="17"/>
  <c r="C56" i="17"/>
  <c r="C55" i="17"/>
  <c r="C54" i="17"/>
  <c r="C53" i="17"/>
  <c r="C52" i="17"/>
  <c r="C51" i="17"/>
  <c r="C50" i="17"/>
  <c r="C49" i="17"/>
  <c r="C48" i="17"/>
  <c r="C47" i="17"/>
  <c r="C46" i="17"/>
  <c r="C45" i="17"/>
  <c r="C44" i="17"/>
  <c r="C43" i="17"/>
  <c r="C42" i="17"/>
  <c r="C41" i="17"/>
  <c r="C38" i="17"/>
  <c r="C37" i="17"/>
  <c r="C36" i="17"/>
  <c r="C35" i="17"/>
  <c r="C34" i="17"/>
  <c r="C33" i="17"/>
  <c r="C32" i="17"/>
  <c r="C31" i="17"/>
  <c r="C30" i="17"/>
  <c r="C29" i="17"/>
  <c r="C28" i="17"/>
  <c r="C23" i="17"/>
  <c r="C22" i="17"/>
  <c r="C21" i="17"/>
  <c r="C20" i="17"/>
  <c r="C19" i="17"/>
  <c r="C18" i="17"/>
  <c r="C17" i="17" s="1"/>
  <c r="C13" i="17"/>
  <c r="B13" i="17"/>
  <c r="C12" i="17"/>
  <c r="B12" i="17"/>
  <c r="C11" i="17"/>
  <c r="B11" i="17"/>
  <c r="C10" i="17"/>
  <c r="B10" i="17"/>
  <c r="C9" i="17"/>
  <c r="B9" i="17"/>
  <c r="C8" i="17"/>
  <c r="B8" i="17"/>
  <c r="C7" i="17"/>
  <c r="B7" i="17"/>
  <c r="C6" i="17"/>
  <c r="B6" i="17"/>
  <c r="C5" i="17"/>
  <c r="B5" i="17"/>
  <c r="C4" i="17"/>
  <c r="B4" i="17"/>
  <c r="C223" i="16" l="1"/>
  <c r="C222" i="16"/>
  <c r="C221" i="16"/>
  <c r="C220" i="16"/>
  <c r="C219" i="16"/>
  <c r="C218" i="16"/>
  <c r="C217" i="16"/>
  <c r="C216" i="16"/>
  <c r="C215" i="16"/>
  <c r="C214" i="16"/>
  <c r="C213" i="16"/>
  <c r="C212" i="16"/>
  <c r="C211" i="16"/>
  <c r="C210" i="16"/>
  <c r="C209" i="16"/>
  <c r="C208" i="16"/>
  <c r="C207" i="16"/>
  <c r="C206" i="16"/>
  <c r="C205" i="16"/>
  <c r="C204" i="16"/>
  <c r="C203" i="16"/>
  <c r="C202" i="16"/>
  <c r="C201" i="16"/>
  <c r="C200" i="16"/>
  <c r="C199" i="16"/>
  <c r="C198" i="16"/>
  <c r="C197" i="16"/>
  <c r="C196" i="16"/>
  <c r="C195" i="16"/>
  <c r="C194" i="16"/>
  <c r="C193" i="16"/>
  <c r="C192" i="16"/>
  <c r="C191" i="16"/>
  <c r="C190" i="16"/>
  <c r="C189" i="16"/>
  <c r="C188" i="16"/>
  <c r="C187" i="16"/>
  <c r="C186" i="16"/>
  <c r="C185" i="16"/>
  <c r="C184" i="16"/>
  <c r="C183" i="16"/>
  <c r="C182" i="16"/>
  <c r="C181" i="16"/>
  <c r="C180" i="16"/>
  <c r="C179" i="16"/>
  <c r="C178" i="16"/>
  <c r="C177" i="16"/>
  <c r="C176" i="16"/>
  <c r="C175" i="16"/>
  <c r="C174" i="16"/>
  <c r="C173" i="16"/>
  <c r="C172" i="16"/>
  <c r="C171" i="16"/>
  <c r="C170" i="16"/>
  <c r="C169" i="16"/>
  <c r="C168" i="16"/>
  <c r="C167" i="16"/>
  <c r="C166" i="16"/>
  <c r="C165" i="16"/>
  <c r="C164" i="16"/>
  <c r="C163" i="16"/>
  <c r="C162" i="16"/>
  <c r="C161" i="16"/>
  <c r="C160" i="16"/>
  <c r="C159" i="16"/>
  <c r="C158" i="16"/>
  <c r="C157" i="16"/>
  <c r="C156" i="16"/>
  <c r="C155" i="16"/>
  <c r="C154" i="16"/>
  <c r="C153" i="16"/>
  <c r="C152" i="16"/>
  <c r="C151" i="16"/>
  <c r="C150" i="16"/>
  <c r="C149" i="16"/>
  <c r="C148" i="16"/>
  <c r="C147" i="16"/>
  <c r="C146" i="16"/>
  <c r="C145" i="16"/>
  <c r="C144" i="16"/>
  <c r="B144" i="16"/>
  <c r="B145" i="16" s="1"/>
  <c r="B146" i="16" s="1"/>
  <c r="B147" i="16" s="1"/>
  <c r="B148" i="16" s="1"/>
  <c r="B149" i="16" s="1"/>
  <c r="B150" i="16" s="1"/>
  <c r="B151" i="16" s="1"/>
  <c r="B152" i="16" s="1"/>
  <c r="B153" i="16" s="1"/>
  <c r="B154" i="16" s="1"/>
  <c r="B155" i="16" s="1"/>
  <c r="B156" i="16" s="1"/>
  <c r="B157" i="16" s="1"/>
  <c r="B158" i="16" s="1"/>
  <c r="B159" i="16" s="1"/>
  <c r="B160" i="16" s="1"/>
  <c r="B161" i="16" s="1"/>
  <c r="B162" i="16" s="1"/>
  <c r="B163" i="16" s="1"/>
  <c r="B164" i="16" s="1"/>
  <c r="B165" i="16" s="1"/>
  <c r="B166" i="16" s="1"/>
  <c r="B167" i="16" s="1"/>
  <c r="B168" i="16" s="1"/>
  <c r="B169" i="16" s="1"/>
  <c r="B170" i="16" s="1"/>
  <c r="B171" i="16" s="1"/>
  <c r="B172" i="16" s="1"/>
  <c r="B173" i="16" s="1"/>
  <c r="B174" i="16" s="1"/>
  <c r="B175" i="16" s="1"/>
  <c r="B176" i="16" s="1"/>
  <c r="B177" i="16" s="1"/>
  <c r="B178" i="16" s="1"/>
  <c r="B179" i="16" s="1"/>
  <c r="B180" i="16" s="1"/>
  <c r="B181" i="16" s="1"/>
  <c r="B182" i="16" s="1"/>
  <c r="B183" i="16" s="1"/>
  <c r="B184" i="16" s="1"/>
  <c r="B185" i="16" s="1"/>
  <c r="B186" i="16" s="1"/>
  <c r="B187" i="16" s="1"/>
  <c r="B188" i="16" s="1"/>
  <c r="B189" i="16" s="1"/>
  <c r="B190" i="16" s="1"/>
  <c r="B191" i="16" s="1"/>
  <c r="B192" i="16" s="1"/>
  <c r="B193" i="16" s="1"/>
  <c r="B194" i="16" s="1"/>
  <c r="B195" i="16" s="1"/>
  <c r="B196" i="16" s="1"/>
  <c r="B197" i="16" s="1"/>
  <c r="B198" i="16" s="1"/>
  <c r="B199" i="16" s="1"/>
  <c r="B200" i="16" s="1"/>
  <c r="B201" i="16" s="1"/>
  <c r="B202" i="16" s="1"/>
  <c r="B203" i="16" s="1"/>
  <c r="B204" i="16" s="1"/>
  <c r="B205" i="16" s="1"/>
  <c r="B206" i="16" s="1"/>
  <c r="B207" i="16" s="1"/>
  <c r="B208" i="16" s="1"/>
  <c r="B209" i="16" s="1"/>
  <c r="B210" i="16" s="1"/>
  <c r="B211" i="16" s="1"/>
  <c r="B212" i="16" s="1"/>
  <c r="B213" i="16" s="1"/>
  <c r="B214" i="16" s="1"/>
  <c r="B215" i="16" s="1"/>
  <c r="B216" i="16" s="1"/>
  <c r="B217" i="16" s="1"/>
  <c r="B218" i="16" s="1"/>
  <c r="B219" i="16" s="1"/>
  <c r="B220" i="16" s="1"/>
  <c r="B221" i="16" s="1"/>
  <c r="B222" i="16" s="1"/>
  <c r="B223" i="16" s="1"/>
  <c r="C143" i="16"/>
  <c r="C140" i="16"/>
  <c r="C138" i="16"/>
  <c r="C137" i="16"/>
  <c r="C136" i="16"/>
  <c r="C135" i="16"/>
  <c r="C125" i="16"/>
  <c r="C122" i="16"/>
  <c r="C121" i="16"/>
  <c r="C120" i="16"/>
  <c r="C119" i="16"/>
  <c r="C118" i="16"/>
  <c r="C117" i="16"/>
  <c r="C116" i="16"/>
  <c r="C115" i="16"/>
  <c r="C114" i="16"/>
  <c r="C113" i="16"/>
  <c r="C112" i="16"/>
  <c r="C111" i="16"/>
  <c r="C110" i="16"/>
  <c r="C109" i="16"/>
  <c r="C108" i="16"/>
  <c r="C107" i="16"/>
  <c r="C106" i="16"/>
  <c r="C105" i="16"/>
  <c r="C104" i="16"/>
  <c r="C103" i="16"/>
  <c r="C102" i="16"/>
  <c r="C101" i="16"/>
  <c r="C100" i="16"/>
  <c r="C99" i="16"/>
  <c r="C98" i="16"/>
  <c r="C97" i="16"/>
  <c r="C96" i="16"/>
  <c r="C93" i="16"/>
  <c r="C92" i="16"/>
  <c r="C91" i="16"/>
  <c r="C90" i="16"/>
  <c r="C89" i="16"/>
  <c r="C88" i="16"/>
  <c r="C87" i="16"/>
  <c r="C86" i="16"/>
  <c r="C85" i="16"/>
  <c r="C82" i="16"/>
  <c r="C81" i="16"/>
  <c r="C80" i="16"/>
  <c r="C79" i="16"/>
  <c r="C78" i="16"/>
  <c r="C77" i="16"/>
  <c r="C76" i="16"/>
  <c r="C75" i="16"/>
  <c r="C74" i="16"/>
  <c r="C73" i="16"/>
  <c r="C72" i="16"/>
  <c r="C71" i="16"/>
  <c r="C70" i="16"/>
  <c r="C69" i="16"/>
  <c r="C68" i="16"/>
  <c r="C67" i="16"/>
  <c r="C66" i="16"/>
  <c r="C65" i="16"/>
  <c r="C64" i="16"/>
  <c r="C63" i="16"/>
  <c r="C62" i="16"/>
  <c r="C61" i="16"/>
  <c r="C60" i="16"/>
  <c r="C59" i="16"/>
  <c r="C58" i="16"/>
  <c r="C57" i="16"/>
  <c r="C56" i="16"/>
  <c r="C55" i="16"/>
  <c r="C54" i="16"/>
  <c r="C53" i="16"/>
  <c r="C52" i="16"/>
  <c r="C51" i="16"/>
  <c r="C50" i="16"/>
  <c r="C49" i="16"/>
  <c r="C48" i="16"/>
  <c r="C47" i="16"/>
  <c r="C46" i="16"/>
  <c r="C45" i="16"/>
  <c r="C44" i="16"/>
  <c r="C43" i="16"/>
  <c r="C42" i="16"/>
  <c r="C41" i="16"/>
  <c r="C38" i="16"/>
  <c r="C37" i="16"/>
  <c r="C36" i="16"/>
  <c r="C35" i="16"/>
  <c r="C34" i="16"/>
  <c r="C33" i="16"/>
  <c r="C32" i="16"/>
  <c r="C31" i="16"/>
  <c r="C30" i="16"/>
  <c r="C29" i="16"/>
  <c r="C28" i="16"/>
  <c r="C23" i="16"/>
  <c r="C22" i="16"/>
  <c r="C21" i="16"/>
  <c r="C20" i="16"/>
  <c r="C19" i="16"/>
  <c r="C18" i="16"/>
  <c r="C17" i="16" s="1"/>
  <c r="C13" i="16"/>
  <c r="B13" i="16"/>
  <c r="C12" i="16"/>
  <c r="B12" i="16"/>
  <c r="C11" i="16"/>
  <c r="B11" i="16"/>
  <c r="C10" i="16"/>
  <c r="B10" i="16"/>
  <c r="C9" i="16"/>
  <c r="B9" i="16"/>
  <c r="C8" i="16"/>
  <c r="B8" i="16"/>
  <c r="C7" i="16"/>
  <c r="B7" i="16"/>
  <c r="C6" i="16"/>
  <c r="B6" i="16"/>
  <c r="C5" i="16"/>
  <c r="B5" i="16"/>
  <c r="C4" i="16"/>
  <c r="B4" i="16"/>
  <c r="C225" i="15" l="1"/>
  <c r="C224" i="15"/>
  <c r="C223" i="15"/>
  <c r="C222" i="15"/>
  <c r="C221" i="15"/>
  <c r="C220" i="15"/>
  <c r="C219" i="15"/>
  <c r="C218" i="15"/>
  <c r="C217" i="15"/>
  <c r="C216" i="15"/>
  <c r="C215" i="15"/>
  <c r="C214" i="15"/>
  <c r="C213" i="15"/>
  <c r="C212" i="15"/>
  <c r="C211" i="15"/>
  <c r="C210" i="15"/>
  <c r="C209" i="15"/>
  <c r="C208" i="15"/>
  <c r="C207" i="15"/>
  <c r="C206" i="15"/>
  <c r="C205" i="15"/>
  <c r="C204" i="15"/>
  <c r="C203" i="15"/>
  <c r="C202" i="15"/>
  <c r="C201" i="15"/>
  <c r="C200" i="15"/>
  <c r="C199" i="15"/>
  <c r="C198" i="15"/>
  <c r="C197" i="15"/>
  <c r="C196" i="15"/>
  <c r="C195" i="15"/>
  <c r="C194" i="15"/>
  <c r="C193" i="15"/>
  <c r="C192" i="15"/>
  <c r="C191" i="15"/>
  <c r="C190" i="15"/>
  <c r="C189" i="15"/>
  <c r="C188" i="15"/>
  <c r="C187" i="15"/>
  <c r="C186" i="15"/>
  <c r="C185" i="15"/>
  <c r="C184" i="15"/>
  <c r="C183" i="15"/>
  <c r="C182" i="15"/>
  <c r="C181" i="15"/>
  <c r="C180" i="15"/>
  <c r="C179" i="15"/>
  <c r="C178" i="15"/>
  <c r="C177" i="15"/>
  <c r="C176" i="15"/>
  <c r="C175" i="15"/>
  <c r="C174" i="15"/>
  <c r="C173" i="15"/>
  <c r="C172" i="15"/>
  <c r="C171" i="15"/>
  <c r="C170" i="15"/>
  <c r="C169" i="15"/>
  <c r="C168" i="15"/>
  <c r="C167" i="15"/>
  <c r="C166" i="15"/>
  <c r="C165" i="15"/>
  <c r="C164" i="15"/>
  <c r="C163" i="15"/>
  <c r="C162" i="15"/>
  <c r="C161" i="15"/>
  <c r="C160" i="15"/>
  <c r="C159" i="15"/>
  <c r="C158" i="15"/>
  <c r="C157" i="15"/>
  <c r="C156" i="15"/>
  <c r="C155" i="15"/>
  <c r="C154" i="15"/>
  <c r="C153" i="15"/>
  <c r="C152" i="15"/>
  <c r="C151" i="15"/>
  <c r="C150" i="15"/>
  <c r="C149" i="15"/>
  <c r="C148" i="15"/>
  <c r="C147" i="15"/>
  <c r="C146" i="15"/>
  <c r="B146" i="15"/>
  <c r="B147" i="15" s="1"/>
  <c r="B148" i="15" s="1"/>
  <c r="B149" i="15" s="1"/>
  <c r="B150" i="15" s="1"/>
  <c r="B151" i="15" s="1"/>
  <c r="B152" i="15" s="1"/>
  <c r="B153" i="15" s="1"/>
  <c r="B154" i="15" s="1"/>
  <c r="B155" i="15" s="1"/>
  <c r="B156" i="15" s="1"/>
  <c r="B157" i="15" s="1"/>
  <c r="B158" i="15" s="1"/>
  <c r="B159" i="15" s="1"/>
  <c r="B160" i="15" s="1"/>
  <c r="B161" i="15" s="1"/>
  <c r="B162" i="15" s="1"/>
  <c r="C145" i="15"/>
  <c r="C142" i="15"/>
  <c r="C140" i="15"/>
  <c r="C139" i="15"/>
  <c r="C138" i="15"/>
  <c r="C137" i="15"/>
  <c r="C135" i="15"/>
  <c r="C134" i="15"/>
  <c r="C133" i="15"/>
  <c r="C132" i="15"/>
  <c r="C131" i="15"/>
  <c r="C130" i="15"/>
  <c r="C127" i="15"/>
  <c r="C124" i="15"/>
  <c r="C123" i="15"/>
  <c r="C122" i="15"/>
  <c r="C121" i="15"/>
  <c r="C120" i="15"/>
  <c r="C119" i="15"/>
  <c r="C118" i="15"/>
  <c r="C117" i="15"/>
  <c r="C116" i="15"/>
  <c r="C115" i="15"/>
  <c r="C114" i="15"/>
  <c r="C113" i="15"/>
  <c r="C112" i="15"/>
  <c r="C111" i="15"/>
  <c r="C110" i="15"/>
  <c r="C109" i="15"/>
  <c r="C108" i="15"/>
  <c r="C107" i="15"/>
  <c r="C106" i="15"/>
  <c r="C105" i="15"/>
  <c r="C104" i="15"/>
  <c r="C103" i="15"/>
  <c r="C102" i="15"/>
  <c r="C99" i="15"/>
  <c r="C98" i="15"/>
  <c r="C97" i="15"/>
  <c r="C96" i="15"/>
  <c r="C95" i="15"/>
  <c r="C94" i="15"/>
  <c r="C93" i="15"/>
  <c r="C92" i="15"/>
  <c r="C91" i="15"/>
  <c r="C88" i="15"/>
  <c r="C87" i="15"/>
  <c r="C86" i="15"/>
  <c r="C85" i="15"/>
  <c r="C84" i="15"/>
  <c r="C83" i="15"/>
  <c r="C82" i="15"/>
  <c r="C81" i="15"/>
  <c r="C80" i="15"/>
  <c r="C79" i="15"/>
  <c r="C78" i="15"/>
  <c r="C77" i="15"/>
  <c r="C76" i="15"/>
  <c r="C75" i="15"/>
  <c r="C74" i="15"/>
  <c r="C73" i="15"/>
  <c r="C72" i="15"/>
  <c r="C71" i="15"/>
  <c r="C70" i="15"/>
  <c r="C69" i="15"/>
  <c r="C68" i="15"/>
  <c r="C67" i="15"/>
  <c r="C66" i="15"/>
  <c r="C65" i="15"/>
  <c r="C64" i="15"/>
  <c r="C63" i="15"/>
  <c r="C62" i="15"/>
  <c r="C61" i="15"/>
  <c r="C60" i="15"/>
  <c r="C59" i="15"/>
  <c r="C58" i="15"/>
  <c r="C57" i="15"/>
  <c r="C56" i="15"/>
  <c r="C55" i="15"/>
  <c r="C54" i="15"/>
  <c r="C53" i="15"/>
  <c r="C52" i="15"/>
  <c r="C51" i="15"/>
  <c r="C50" i="15"/>
  <c r="C49" i="15"/>
  <c r="C48" i="15"/>
  <c r="C47" i="15"/>
  <c r="C46" i="15"/>
  <c r="C43" i="15"/>
  <c r="C42" i="15"/>
  <c r="C41" i="15"/>
  <c r="C40" i="15"/>
  <c r="C39" i="15"/>
  <c r="C38" i="15"/>
  <c r="C37" i="15"/>
  <c r="C36" i="15"/>
  <c r="C35" i="15"/>
  <c r="C34" i="15"/>
  <c r="B34" i="15"/>
  <c r="C33" i="15"/>
  <c r="B33" i="15"/>
  <c r="C32" i="15"/>
  <c r="B32" i="15"/>
  <c r="C31" i="15"/>
  <c r="B31" i="15"/>
  <c r="C30" i="15"/>
  <c r="C29" i="15"/>
  <c r="C28" i="15"/>
  <c r="C23" i="15"/>
  <c r="C22" i="15"/>
  <c r="C21" i="15"/>
  <c r="C20" i="15"/>
  <c r="C19" i="15"/>
  <c r="C18" i="15"/>
  <c r="C17" i="15" s="1"/>
  <c r="C13" i="15"/>
  <c r="B13" i="15"/>
  <c r="C12" i="15"/>
  <c r="B12" i="15"/>
  <c r="C11" i="15"/>
  <c r="B11" i="15"/>
  <c r="C10" i="15"/>
  <c r="B10" i="15"/>
  <c r="C9" i="15"/>
  <c r="B9" i="15"/>
  <c r="C8" i="15"/>
  <c r="B8" i="15"/>
  <c r="C7" i="15"/>
  <c r="B7" i="15"/>
  <c r="C6" i="15"/>
  <c r="B6" i="15"/>
  <c r="C5" i="15"/>
  <c r="B5" i="15"/>
  <c r="C4" i="15"/>
  <c r="B4" i="15"/>
  <c r="B225" i="15" l="1"/>
  <c r="B163" i="15"/>
  <c r="B164" i="15" s="1"/>
  <c r="B165" i="15" s="1"/>
  <c r="B166" i="15" s="1"/>
  <c r="B167" i="15" s="1"/>
  <c r="B168" i="15" s="1"/>
  <c r="B169" i="15" s="1"/>
  <c r="B170" i="15" s="1"/>
  <c r="B171" i="15" s="1"/>
  <c r="B172" i="15" s="1"/>
  <c r="B173" i="15" s="1"/>
  <c r="B174" i="15" s="1"/>
  <c r="B175" i="15" s="1"/>
  <c r="B176" i="15" s="1"/>
  <c r="B177" i="15" s="1"/>
  <c r="B178" i="15" s="1"/>
  <c r="B179" i="15" s="1"/>
  <c r="B180" i="15" s="1"/>
  <c r="B181" i="15" s="1"/>
  <c r="B182" i="15" s="1"/>
  <c r="B183" i="15" s="1"/>
  <c r="B184" i="15" s="1"/>
  <c r="B185" i="15" s="1"/>
  <c r="B186" i="15" s="1"/>
  <c r="B187" i="15" s="1"/>
  <c r="B188" i="15" s="1"/>
  <c r="B189" i="15" s="1"/>
  <c r="B190" i="15" s="1"/>
  <c r="B191" i="15" s="1"/>
  <c r="B192" i="15" s="1"/>
  <c r="B193" i="15" s="1"/>
  <c r="B194" i="15" s="1"/>
  <c r="B195" i="15" s="1"/>
  <c r="B196" i="15" s="1"/>
  <c r="B197" i="15" s="1"/>
  <c r="B198" i="15" s="1"/>
  <c r="B199" i="15" s="1"/>
  <c r="B200" i="15" s="1"/>
  <c r="B201" i="15" s="1"/>
  <c r="B202" i="15" s="1"/>
  <c r="B203" i="15" s="1"/>
  <c r="B204" i="15" s="1"/>
  <c r="B205" i="15" s="1"/>
  <c r="B206" i="15" s="1"/>
  <c r="B207" i="15" s="1"/>
  <c r="B208" i="15" s="1"/>
  <c r="B209" i="15" s="1"/>
  <c r="B210" i="15" s="1"/>
  <c r="B211" i="15" s="1"/>
  <c r="B212" i="15" s="1"/>
  <c r="B213" i="15" s="1"/>
  <c r="B214" i="15" s="1"/>
  <c r="B215" i="15" s="1"/>
  <c r="B216" i="15" s="1"/>
  <c r="B217" i="15" s="1"/>
  <c r="B218" i="15" s="1"/>
  <c r="B219" i="15" s="1"/>
  <c r="B220" i="15" s="1"/>
  <c r="B221" i="15" s="1"/>
  <c r="B222" i="15" s="1"/>
  <c r="B223" i="15" s="1"/>
  <c r="B224" i="15" s="1"/>
  <c r="C223" i="14" l="1"/>
  <c r="C222" i="14"/>
  <c r="C221" i="14"/>
  <c r="C220" i="14"/>
  <c r="C219" i="14"/>
  <c r="C218" i="14"/>
  <c r="C217" i="14"/>
  <c r="C216" i="14"/>
  <c r="C215" i="14"/>
  <c r="C214" i="14"/>
  <c r="C213" i="14"/>
  <c r="C212" i="14"/>
  <c r="C211" i="14"/>
  <c r="C210" i="14"/>
  <c r="C209" i="14"/>
  <c r="C208" i="14"/>
  <c r="C207" i="14"/>
  <c r="C206" i="14"/>
  <c r="C205" i="14"/>
  <c r="C204" i="14"/>
  <c r="C203" i="14"/>
  <c r="C202" i="14"/>
  <c r="C201" i="14"/>
  <c r="C200" i="14"/>
  <c r="C199" i="14"/>
  <c r="C198" i="14"/>
  <c r="C197" i="14"/>
  <c r="C196" i="14"/>
  <c r="C195" i="14"/>
  <c r="C194" i="14"/>
  <c r="C193" i="14"/>
  <c r="C192" i="14"/>
  <c r="C191" i="14"/>
  <c r="C190" i="14"/>
  <c r="C189" i="14"/>
  <c r="C188" i="14"/>
  <c r="C187" i="14"/>
  <c r="C186" i="14"/>
  <c r="C185" i="14"/>
  <c r="C184" i="14"/>
  <c r="C183" i="14"/>
  <c r="C182" i="14"/>
  <c r="C181" i="14"/>
  <c r="C180" i="14"/>
  <c r="C179" i="14"/>
  <c r="C178" i="14"/>
  <c r="C177" i="14"/>
  <c r="C176" i="14"/>
  <c r="C175" i="14"/>
  <c r="C174" i="14"/>
  <c r="C173" i="14"/>
  <c r="C172" i="14"/>
  <c r="C171" i="14"/>
  <c r="C170" i="14"/>
  <c r="C169" i="14"/>
  <c r="C168" i="14"/>
  <c r="C167" i="14"/>
  <c r="C166" i="14"/>
  <c r="C165" i="14"/>
  <c r="C164" i="14"/>
  <c r="C163" i="14"/>
  <c r="C162" i="14"/>
  <c r="C161" i="14"/>
  <c r="C160" i="14"/>
  <c r="C159" i="14"/>
  <c r="C158" i="14"/>
  <c r="C157" i="14"/>
  <c r="C156" i="14"/>
  <c r="C155" i="14"/>
  <c r="C154" i="14"/>
  <c r="C153" i="14"/>
  <c r="C152" i="14"/>
  <c r="C151" i="14"/>
  <c r="C150" i="14"/>
  <c r="C149" i="14"/>
  <c r="C148" i="14"/>
  <c r="C147" i="14"/>
  <c r="C146" i="14"/>
  <c r="C145" i="14"/>
  <c r="C144" i="14"/>
  <c r="B144" i="14"/>
  <c r="B145" i="14" s="1"/>
  <c r="B146" i="14" s="1"/>
  <c r="B147" i="14" s="1"/>
  <c r="B148" i="14" s="1"/>
  <c r="B149" i="14" s="1"/>
  <c r="B150" i="14" s="1"/>
  <c r="B151" i="14" s="1"/>
  <c r="B152" i="14" s="1"/>
  <c r="B153" i="14" s="1"/>
  <c r="B154" i="14" s="1"/>
  <c r="B155" i="14" s="1"/>
  <c r="B156" i="14" s="1"/>
  <c r="B157" i="14" s="1"/>
  <c r="B158" i="14" s="1"/>
  <c r="B159" i="14" s="1"/>
  <c r="B160" i="14" s="1"/>
  <c r="B161" i="14" s="1"/>
  <c r="B162" i="14" s="1"/>
  <c r="B163" i="14" s="1"/>
  <c r="B164" i="14" s="1"/>
  <c r="B165" i="14" s="1"/>
  <c r="B166" i="14" s="1"/>
  <c r="B167" i="14" s="1"/>
  <c r="B168" i="14" s="1"/>
  <c r="B169" i="14" s="1"/>
  <c r="B170" i="14" s="1"/>
  <c r="B171" i="14" s="1"/>
  <c r="B172" i="14" s="1"/>
  <c r="B173" i="14" s="1"/>
  <c r="B174" i="14" s="1"/>
  <c r="B175" i="14" s="1"/>
  <c r="B176" i="14" s="1"/>
  <c r="B177" i="14" s="1"/>
  <c r="B178" i="14" s="1"/>
  <c r="B179" i="14" s="1"/>
  <c r="B180" i="14" s="1"/>
  <c r="B181" i="14" s="1"/>
  <c r="B182" i="14" s="1"/>
  <c r="B183" i="14" s="1"/>
  <c r="B184" i="14" s="1"/>
  <c r="B185" i="14" s="1"/>
  <c r="B186" i="14" s="1"/>
  <c r="B187" i="14" s="1"/>
  <c r="B188" i="14" s="1"/>
  <c r="B189" i="14" s="1"/>
  <c r="B190" i="14" s="1"/>
  <c r="B191" i="14" s="1"/>
  <c r="B192" i="14" s="1"/>
  <c r="B193" i="14" s="1"/>
  <c r="B194" i="14" s="1"/>
  <c r="B195" i="14" s="1"/>
  <c r="B196" i="14" s="1"/>
  <c r="B197" i="14" s="1"/>
  <c r="B198" i="14" s="1"/>
  <c r="B199" i="14" s="1"/>
  <c r="B200" i="14" s="1"/>
  <c r="B201" i="14" s="1"/>
  <c r="B202" i="14" s="1"/>
  <c r="B203" i="14" s="1"/>
  <c r="B204" i="14" s="1"/>
  <c r="B205" i="14" s="1"/>
  <c r="B206" i="14" s="1"/>
  <c r="B207" i="14" s="1"/>
  <c r="B208" i="14" s="1"/>
  <c r="B209" i="14" s="1"/>
  <c r="B210" i="14" s="1"/>
  <c r="B211" i="14" s="1"/>
  <c r="B212" i="14" s="1"/>
  <c r="B213" i="14" s="1"/>
  <c r="B214" i="14" s="1"/>
  <c r="B215" i="14" s="1"/>
  <c r="B216" i="14" s="1"/>
  <c r="B217" i="14" s="1"/>
  <c r="B218" i="14" s="1"/>
  <c r="B219" i="14" s="1"/>
  <c r="B220" i="14" s="1"/>
  <c r="B221" i="14" s="1"/>
  <c r="B222" i="14" s="1"/>
  <c r="B223" i="14" s="1"/>
  <c r="C143" i="14"/>
  <c r="C140" i="14"/>
  <c r="C138" i="14"/>
  <c r="C137" i="14"/>
  <c r="C136" i="14"/>
  <c r="C135" i="14"/>
  <c r="C125" i="14"/>
  <c r="C122" i="14"/>
  <c r="C121" i="14"/>
  <c r="C120" i="14"/>
  <c r="C119" i="14"/>
  <c r="C118" i="14"/>
  <c r="C117" i="14"/>
  <c r="C116" i="14"/>
  <c r="C115" i="14"/>
  <c r="C114" i="14"/>
  <c r="C113" i="14"/>
  <c r="C112" i="14"/>
  <c r="C111" i="14"/>
  <c r="C110" i="14"/>
  <c r="C109" i="14"/>
  <c r="C108" i="14"/>
  <c r="C107" i="14"/>
  <c r="C106" i="14"/>
  <c r="C105" i="14"/>
  <c r="C104" i="14"/>
  <c r="C103" i="14"/>
  <c r="C102" i="14"/>
  <c r="C101" i="14"/>
  <c r="C100" i="14"/>
  <c r="C99" i="14"/>
  <c r="C98" i="14"/>
  <c r="C97" i="14"/>
  <c r="C96" i="14"/>
  <c r="C93" i="14"/>
  <c r="C92" i="14"/>
  <c r="C91" i="14"/>
  <c r="C90" i="14"/>
  <c r="C89" i="14"/>
  <c r="C88" i="14"/>
  <c r="C87" i="14"/>
  <c r="C86" i="14"/>
  <c r="C85" i="14"/>
  <c r="C82" i="14"/>
  <c r="C8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38" i="14"/>
  <c r="C37" i="14"/>
  <c r="C36" i="14"/>
  <c r="C35" i="14"/>
  <c r="C34" i="14"/>
  <c r="C33" i="14"/>
  <c r="C32" i="14"/>
  <c r="C31" i="14"/>
  <c r="C30" i="14"/>
  <c r="C29" i="14"/>
  <c r="C28" i="14"/>
  <c r="C23" i="14"/>
  <c r="C22" i="14"/>
  <c r="C21" i="14"/>
  <c r="C20" i="14"/>
  <c r="C19" i="14"/>
  <c r="C18" i="14"/>
  <c r="C17" i="14" s="1"/>
  <c r="C13" i="14"/>
  <c r="B13" i="14"/>
  <c r="C12" i="14"/>
  <c r="B12" i="14"/>
  <c r="C11" i="14"/>
  <c r="B11" i="14"/>
  <c r="C10" i="14"/>
  <c r="B10" i="14"/>
  <c r="C9" i="14"/>
  <c r="B9" i="14"/>
  <c r="C8" i="14"/>
  <c r="B8" i="14"/>
  <c r="C7" i="14"/>
  <c r="B7" i="14"/>
  <c r="C6" i="14"/>
  <c r="B6" i="14"/>
  <c r="C5" i="14"/>
  <c r="B5" i="14"/>
  <c r="C4" i="14"/>
  <c r="B4" i="14"/>
  <c r="C225" i="13" l="1"/>
  <c r="C224" i="13"/>
  <c r="C223" i="13"/>
  <c r="C222" i="13"/>
  <c r="C221" i="13"/>
  <c r="C220" i="13"/>
  <c r="C219" i="13"/>
  <c r="C218" i="13"/>
  <c r="C217" i="13"/>
  <c r="C216" i="13"/>
  <c r="C215" i="13"/>
  <c r="C214" i="13"/>
  <c r="C213" i="13"/>
  <c r="C212" i="13"/>
  <c r="C211" i="13"/>
  <c r="C210" i="13"/>
  <c r="C209" i="13"/>
  <c r="C208" i="13"/>
  <c r="C207" i="13"/>
  <c r="C206" i="13"/>
  <c r="C205" i="13"/>
  <c r="C204" i="13"/>
  <c r="C203" i="13"/>
  <c r="C202" i="13"/>
  <c r="C201" i="13"/>
  <c r="C200" i="13"/>
  <c r="C199" i="13"/>
  <c r="C198" i="13"/>
  <c r="C197" i="13"/>
  <c r="C196" i="13"/>
  <c r="C195" i="13"/>
  <c r="C194" i="13"/>
  <c r="C193" i="13"/>
  <c r="C192" i="13"/>
  <c r="C191" i="13"/>
  <c r="C190" i="13"/>
  <c r="C189" i="13"/>
  <c r="C188" i="13"/>
  <c r="C187" i="13"/>
  <c r="C186" i="13"/>
  <c r="C185" i="13"/>
  <c r="C184" i="13"/>
  <c r="C183" i="13"/>
  <c r="C182" i="13"/>
  <c r="C181" i="13"/>
  <c r="C180" i="13"/>
  <c r="C179" i="13"/>
  <c r="C178" i="13"/>
  <c r="C177" i="13"/>
  <c r="C176" i="13"/>
  <c r="C175" i="13"/>
  <c r="C174" i="13"/>
  <c r="C173" i="13"/>
  <c r="C172" i="13"/>
  <c r="C171" i="13"/>
  <c r="C170" i="13"/>
  <c r="C169" i="13"/>
  <c r="C168" i="13"/>
  <c r="C167" i="13"/>
  <c r="C166" i="13"/>
  <c r="C165" i="13"/>
  <c r="C164" i="13"/>
  <c r="C163" i="13"/>
  <c r="C162" i="13"/>
  <c r="C161" i="13"/>
  <c r="C160" i="13"/>
  <c r="C159" i="13"/>
  <c r="C158" i="13"/>
  <c r="C157" i="13"/>
  <c r="C156" i="13"/>
  <c r="C155" i="13"/>
  <c r="C154" i="13"/>
  <c r="C153" i="13"/>
  <c r="C152" i="13"/>
  <c r="C151" i="13"/>
  <c r="C150" i="13"/>
  <c r="C149" i="13"/>
  <c r="C148" i="13"/>
  <c r="C147" i="13"/>
  <c r="C146" i="13"/>
  <c r="B146" i="13"/>
  <c r="B147" i="13" s="1"/>
  <c r="B148" i="13" s="1"/>
  <c r="B149" i="13" s="1"/>
  <c r="B150" i="13" s="1"/>
  <c r="B151" i="13" s="1"/>
  <c r="B152" i="13" s="1"/>
  <c r="B153" i="13" s="1"/>
  <c r="B154" i="13" s="1"/>
  <c r="B155" i="13" s="1"/>
  <c r="B156" i="13" s="1"/>
  <c r="B157" i="13" s="1"/>
  <c r="B158" i="13" s="1"/>
  <c r="B159" i="13" s="1"/>
  <c r="B160" i="13" s="1"/>
  <c r="B161" i="13" s="1"/>
  <c r="B162" i="13" s="1"/>
  <c r="C145" i="13"/>
  <c r="C142" i="13"/>
  <c r="C140" i="13"/>
  <c r="C139" i="13"/>
  <c r="C138" i="13"/>
  <c r="C137" i="13"/>
  <c r="C135" i="13"/>
  <c r="C134" i="13"/>
  <c r="C133" i="13"/>
  <c r="C132" i="13"/>
  <c r="C131" i="13"/>
  <c r="C130" i="13"/>
  <c r="C127" i="13"/>
  <c r="C124" i="13"/>
  <c r="C123" i="13"/>
  <c r="C122" i="13"/>
  <c r="C121" i="13"/>
  <c r="C120" i="13"/>
  <c r="C119" i="13"/>
  <c r="C118" i="13"/>
  <c r="C117" i="13"/>
  <c r="C116" i="13"/>
  <c r="C115" i="13"/>
  <c r="C114" i="13"/>
  <c r="C113" i="13"/>
  <c r="C112" i="13"/>
  <c r="C111" i="13"/>
  <c r="C110" i="13"/>
  <c r="C109" i="13"/>
  <c r="C108" i="13"/>
  <c r="C107" i="13"/>
  <c r="C106" i="13"/>
  <c r="C105" i="13"/>
  <c r="C104" i="13"/>
  <c r="C103" i="13"/>
  <c r="C102" i="13"/>
  <c r="C99" i="13"/>
  <c r="C98" i="13"/>
  <c r="C97" i="13"/>
  <c r="C96" i="13"/>
  <c r="C95" i="13"/>
  <c r="C94" i="13"/>
  <c r="C93" i="13"/>
  <c r="C92" i="13"/>
  <c r="C91" i="13"/>
  <c r="C88" i="13"/>
  <c r="C87" i="13"/>
  <c r="C86" i="13"/>
  <c r="C85" i="13"/>
  <c r="C84" i="13"/>
  <c r="C83" i="13"/>
  <c r="C82" i="13"/>
  <c r="C81" i="13"/>
  <c r="C80" i="13"/>
  <c r="C79" i="13"/>
  <c r="C78" i="13"/>
  <c r="C77" i="13"/>
  <c r="C76" i="13"/>
  <c r="C75" i="13"/>
  <c r="C74" i="13"/>
  <c r="C73" i="13"/>
  <c r="C72" i="13"/>
  <c r="C71" i="13"/>
  <c r="C70" i="13"/>
  <c r="C69" i="13"/>
  <c r="C68" i="13"/>
  <c r="C67" i="13"/>
  <c r="C66" i="13"/>
  <c r="C65" i="13"/>
  <c r="C64" i="13"/>
  <c r="C63" i="13"/>
  <c r="C62" i="13"/>
  <c r="C61" i="13"/>
  <c r="C60" i="13"/>
  <c r="C59" i="13"/>
  <c r="C58" i="13"/>
  <c r="C57" i="13"/>
  <c r="C56" i="13"/>
  <c r="C55" i="13"/>
  <c r="C54" i="13"/>
  <c r="C53" i="13"/>
  <c r="C52" i="13"/>
  <c r="C51" i="13"/>
  <c r="C50" i="13"/>
  <c r="C49" i="13"/>
  <c r="C48" i="13"/>
  <c r="C47" i="13"/>
  <c r="C46" i="13"/>
  <c r="C43" i="13"/>
  <c r="C42" i="13"/>
  <c r="C41" i="13"/>
  <c r="C40" i="13"/>
  <c r="C39" i="13"/>
  <c r="C38" i="13"/>
  <c r="C37" i="13"/>
  <c r="C36" i="13"/>
  <c r="C35" i="13"/>
  <c r="C34" i="13"/>
  <c r="B34" i="13"/>
  <c r="C33" i="13"/>
  <c r="B33" i="13"/>
  <c r="C32" i="13"/>
  <c r="B32" i="13"/>
  <c r="C31" i="13"/>
  <c r="B31" i="13"/>
  <c r="C30" i="13"/>
  <c r="C29" i="13"/>
  <c r="C28" i="13"/>
  <c r="C23" i="13"/>
  <c r="C22" i="13"/>
  <c r="C21" i="13"/>
  <c r="C20" i="13"/>
  <c r="C19" i="13"/>
  <c r="C18" i="13"/>
  <c r="C17" i="13"/>
  <c r="C13" i="13"/>
  <c r="B13" i="13"/>
  <c r="C12" i="13"/>
  <c r="B12" i="13"/>
  <c r="C11" i="13"/>
  <c r="B11" i="13"/>
  <c r="C10" i="13"/>
  <c r="B10" i="13"/>
  <c r="C9" i="13"/>
  <c r="B9" i="13"/>
  <c r="C8" i="13"/>
  <c r="B8" i="13"/>
  <c r="C7" i="13"/>
  <c r="B7" i="13"/>
  <c r="C6" i="13"/>
  <c r="B6" i="13"/>
  <c r="C5" i="13"/>
  <c r="B5" i="13"/>
  <c r="C4" i="13"/>
  <c r="B4" i="13"/>
  <c r="B225" i="13" l="1"/>
  <c r="B163" i="13"/>
  <c r="B164" i="13" s="1"/>
  <c r="B165" i="13" s="1"/>
  <c r="B166" i="13" s="1"/>
  <c r="B167" i="13" s="1"/>
  <c r="B168" i="13" s="1"/>
  <c r="B169" i="13" s="1"/>
  <c r="B170" i="13" s="1"/>
  <c r="B171" i="13" s="1"/>
  <c r="B172" i="13" s="1"/>
  <c r="B173" i="13" s="1"/>
  <c r="B174" i="13" s="1"/>
  <c r="B175" i="13" s="1"/>
  <c r="B176" i="13" s="1"/>
  <c r="B177" i="13" s="1"/>
  <c r="B178" i="13" s="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202" i="13" s="1"/>
  <c r="B203" i="13" s="1"/>
  <c r="B204" i="13" s="1"/>
  <c r="B205" i="13" s="1"/>
  <c r="B206" i="13" s="1"/>
  <c r="B207" i="13" s="1"/>
  <c r="B208" i="13" s="1"/>
  <c r="B209" i="13" s="1"/>
  <c r="B210" i="13" s="1"/>
  <c r="B211" i="13" s="1"/>
  <c r="B212" i="13" s="1"/>
  <c r="B213" i="13" s="1"/>
  <c r="B214" i="13" s="1"/>
  <c r="B215" i="13" s="1"/>
  <c r="B216" i="13" s="1"/>
  <c r="B217" i="13" s="1"/>
  <c r="B218" i="13" s="1"/>
  <c r="B219" i="13" s="1"/>
  <c r="B220" i="13" s="1"/>
  <c r="B221" i="13" s="1"/>
  <c r="B222" i="13" s="1"/>
  <c r="B223" i="13" s="1"/>
  <c r="B224" i="13" s="1"/>
  <c r="C225" i="12" l="1"/>
  <c r="C224" i="12"/>
  <c r="C223" i="12"/>
  <c r="C222" i="12"/>
  <c r="C221" i="12"/>
  <c r="C220" i="12"/>
  <c r="C219" i="12"/>
  <c r="C218" i="12"/>
  <c r="C217" i="12"/>
  <c r="C216" i="12"/>
  <c r="C215" i="12"/>
  <c r="C214" i="12"/>
  <c r="C213" i="12"/>
  <c r="C212" i="12"/>
  <c r="C211" i="12"/>
  <c r="C210" i="12"/>
  <c r="C209" i="12"/>
  <c r="C208" i="12"/>
  <c r="C207" i="12"/>
  <c r="C206" i="12"/>
  <c r="C205" i="12"/>
  <c r="C204" i="12"/>
  <c r="C203" i="12"/>
  <c r="C202" i="12"/>
  <c r="C201" i="12"/>
  <c r="C200" i="12"/>
  <c r="C199" i="12"/>
  <c r="C198" i="12"/>
  <c r="C197" i="12"/>
  <c r="C196" i="12"/>
  <c r="C195" i="12"/>
  <c r="C194" i="12"/>
  <c r="C193" i="12"/>
  <c r="C192" i="12"/>
  <c r="C191" i="12"/>
  <c r="C190" i="12"/>
  <c r="C189" i="12"/>
  <c r="C188" i="12"/>
  <c r="C187" i="12"/>
  <c r="C186" i="12"/>
  <c r="C185" i="12"/>
  <c r="C184" i="12"/>
  <c r="C183" i="12"/>
  <c r="C182" i="12"/>
  <c r="C181" i="12"/>
  <c r="C180" i="12"/>
  <c r="C179" i="12"/>
  <c r="C178" i="12"/>
  <c r="C177" i="12"/>
  <c r="C176" i="12"/>
  <c r="C175" i="12"/>
  <c r="C174" i="12"/>
  <c r="C173" i="12"/>
  <c r="C172" i="12"/>
  <c r="C171" i="12"/>
  <c r="C170" i="12"/>
  <c r="C169" i="12"/>
  <c r="C168" i="12"/>
  <c r="C167" i="12"/>
  <c r="C166" i="12"/>
  <c r="C165" i="12"/>
  <c r="C164" i="12"/>
  <c r="C163" i="12"/>
  <c r="C162" i="12"/>
  <c r="C161" i="12"/>
  <c r="C160" i="12"/>
  <c r="C159" i="12"/>
  <c r="C158" i="12"/>
  <c r="C157" i="12"/>
  <c r="C156" i="12"/>
  <c r="C155" i="12"/>
  <c r="C154" i="12"/>
  <c r="C153" i="12"/>
  <c r="C152" i="12"/>
  <c r="C151" i="12"/>
  <c r="C150" i="12"/>
  <c r="C149" i="12"/>
  <c r="C148" i="12"/>
  <c r="C147" i="12"/>
  <c r="C146" i="12"/>
  <c r="B146" i="12"/>
  <c r="B147" i="12" s="1"/>
  <c r="B148" i="12" s="1"/>
  <c r="B149" i="12" s="1"/>
  <c r="B150" i="12" s="1"/>
  <c r="B151" i="12" s="1"/>
  <c r="B152" i="12" s="1"/>
  <c r="B153" i="12" s="1"/>
  <c r="B154" i="12" s="1"/>
  <c r="B155" i="12" s="1"/>
  <c r="B156" i="12" s="1"/>
  <c r="B157" i="12" s="1"/>
  <c r="B158" i="12" s="1"/>
  <c r="B159" i="12" s="1"/>
  <c r="B160" i="12" s="1"/>
  <c r="B161" i="12" s="1"/>
  <c r="B162" i="12" s="1"/>
  <c r="C145" i="12"/>
  <c r="D142" i="12"/>
  <c r="C142" i="12"/>
  <c r="C140" i="12"/>
  <c r="C139" i="12"/>
  <c r="C138" i="12"/>
  <c r="C137" i="12"/>
  <c r="D135" i="12"/>
  <c r="C135" i="12"/>
  <c r="D134" i="12"/>
  <c r="C134" i="12"/>
  <c r="D133" i="12"/>
  <c r="C133" i="12"/>
  <c r="C132" i="12"/>
  <c r="D131" i="12"/>
  <c r="C131" i="12"/>
  <c r="C130" i="12"/>
  <c r="C127" i="12"/>
  <c r="C124" i="12"/>
  <c r="C123" i="12"/>
  <c r="C122" i="12"/>
  <c r="C121" i="12"/>
  <c r="C120" i="12"/>
  <c r="C119" i="12"/>
  <c r="C118" i="12"/>
  <c r="D117" i="12"/>
  <c r="C117" i="12"/>
  <c r="D116" i="12"/>
  <c r="C116" i="12"/>
  <c r="D115" i="12"/>
  <c r="C115" i="12"/>
  <c r="D114" i="12"/>
  <c r="C114" i="12"/>
  <c r="C113" i="12"/>
  <c r="C112" i="12"/>
  <c r="C111" i="12"/>
  <c r="C110" i="12"/>
  <c r="D109" i="12"/>
  <c r="C109" i="12"/>
  <c r="C108" i="12"/>
  <c r="C107" i="12"/>
  <c r="C106" i="12"/>
  <c r="C105" i="12"/>
  <c r="C104" i="12"/>
  <c r="C103" i="12"/>
  <c r="C102" i="12"/>
  <c r="C99" i="12"/>
  <c r="D98" i="12"/>
  <c r="C98" i="12"/>
  <c r="C97" i="12"/>
  <c r="C96" i="12"/>
  <c r="D95" i="12"/>
  <c r="C95" i="12"/>
  <c r="C94" i="12"/>
  <c r="C93" i="12"/>
  <c r="D92" i="12"/>
  <c r="C92" i="12"/>
  <c r="C91" i="12"/>
  <c r="C88" i="12"/>
  <c r="C87" i="12"/>
  <c r="D86" i="12"/>
  <c r="C86" i="12"/>
  <c r="C85" i="12"/>
  <c r="D84" i="12"/>
  <c r="C84" i="12"/>
  <c r="C83" i="12"/>
  <c r="D83" i="12" s="1"/>
  <c r="C82" i="12"/>
  <c r="D82" i="12" s="1"/>
  <c r="C81" i="12"/>
  <c r="C80" i="12"/>
  <c r="D79" i="12"/>
  <c r="C79" i="12"/>
  <c r="C78" i="12"/>
  <c r="D77" i="12"/>
  <c r="C77" i="12"/>
  <c r="D76" i="12"/>
  <c r="C76" i="12"/>
  <c r="C75" i="12"/>
  <c r="C74" i="12"/>
  <c r="D73" i="12"/>
  <c r="C73" i="12"/>
  <c r="C72" i="12"/>
  <c r="C71" i="12"/>
  <c r="C70" i="12"/>
  <c r="C69" i="12"/>
  <c r="D68" i="12"/>
  <c r="C68" i="12"/>
  <c r="C67" i="12"/>
  <c r="C66" i="12"/>
  <c r="C65" i="12"/>
  <c r="C64" i="12"/>
  <c r="C63" i="12"/>
  <c r="C62" i="12"/>
  <c r="C61" i="12"/>
  <c r="C60" i="12"/>
  <c r="C59" i="12"/>
  <c r="C58" i="12"/>
  <c r="C57" i="12"/>
  <c r="C56" i="12"/>
  <c r="C55" i="12"/>
  <c r="C54" i="12"/>
  <c r="D53" i="12"/>
  <c r="C53" i="12"/>
  <c r="D52" i="12"/>
  <c r="C52" i="12"/>
  <c r="C51" i="12"/>
  <c r="C50" i="12"/>
  <c r="D49" i="12"/>
  <c r="C49" i="12"/>
  <c r="D48" i="12"/>
  <c r="C48" i="12"/>
  <c r="D47" i="12"/>
  <c r="C47" i="12"/>
  <c r="C46" i="12"/>
  <c r="C43" i="12"/>
  <c r="C42" i="12"/>
  <c r="C41" i="12"/>
  <c r="C40" i="12"/>
  <c r="C39" i="12"/>
  <c r="C38" i="12"/>
  <c r="C37" i="12"/>
  <c r="D36" i="12"/>
  <c r="C36" i="12"/>
  <c r="D35" i="12"/>
  <c r="C35" i="12"/>
  <c r="D34" i="12"/>
  <c r="C34" i="12"/>
  <c r="B34" i="12"/>
  <c r="D33" i="12"/>
  <c r="C33" i="12"/>
  <c r="B33" i="12"/>
  <c r="D32" i="12"/>
  <c r="C32" i="12"/>
  <c r="B32" i="12"/>
  <c r="D31" i="12"/>
  <c r="C31" i="12"/>
  <c r="B31" i="12"/>
  <c r="D30" i="12"/>
  <c r="C30" i="12"/>
  <c r="D29" i="12"/>
  <c r="C29" i="12"/>
  <c r="D28" i="12"/>
  <c r="C28" i="12"/>
  <c r="C23" i="12"/>
  <c r="C22" i="12"/>
  <c r="C21" i="12"/>
  <c r="C20" i="12"/>
  <c r="C19" i="12"/>
  <c r="C18" i="12"/>
  <c r="C17" i="12"/>
  <c r="C13" i="12"/>
  <c r="B13" i="12"/>
  <c r="C12" i="12"/>
  <c r="B12" i="12"/>
  <c r="C11" i="12"/>
  <c r="B11" i="12"/>
  <c r="C10" i="12"/>
  <c r="B10" i="12"/>
  <c r="C9" i="12"/>
  <c r="B9" i="12"/>
  <c r="C8" i="12"/>
  <c r="B8" i="12"/>
  <c r="C7" i="12"/>
  <c r="B7" i="12"/>
  <c r="C6" i="12"/>
  <c r="B6" i="12"/>
  <c r="C5" i="12"/>
  <c r="B5" i="12"/>
  <c r="C4" i="12"/>
  <c r="B4" i="12"/>
  <c r="B225" i="12" l="1"/>
  <c r="B163" i="12"/>
  <c r="B164" i="12" s="1"/>
  <c r="B165" i="12" s="1"/>
  <c r="B166" i="12" s="1"/>
  <c r="B167" i="12" s="1"/>
  <c r="B168" i="12" s="1"/>
  <c r="B169" i="12" s="1"/>
  <c r="B170" i="12" s="1"/>
  <c r="B171" i="12" s="1"/>
  <c r="B172" i="12" s="1"/>
  <c r="B173" i="12" s="1"/>
  <c r="B174" i="12" s="1"/>
  <c r="B175" i="12" s="1"/>
  <c r="B176" i="12" s="1"/>
  <c r="B177" i="12" s="1"/>
  <c r="B178" i="12" s="1"/>
  <c r="B179" i="12" s="1"/>
  <c r="B180" i="12" s="1"/>
  <c r="B181" i="12" s="1"/>
  <c r="B182" i="12" s="1"/>
  <c r="B183" i="12" s="1"/>
  <c r="B184" i="12" s="1"/>
  <c r="B185" i="12" s="1"/>
  <c r="B186" i="12" s="1"/>
  <c r="B187" i="12" s="1"/>
  <c r="B188" i="12" s="1"/>
  <c r="B189" i="12" s="1"/>
  <c r="B190" i="12" s="1"/>
  <c r="B191" i="12" s="1"/>
  <c r="B192" i="12" s="1"/>
  <c r="B193" i="12" s="1"/>
  <c r="B194" i="12" s="1"/>
  <c r="B195" i="12" s="1"/>
  <c r="B196" i="12" s="1"/>
  <c r="B197" i="12" s="1"/>
  <c r="B198" i="12" s="1"/>
  <c r="B199" i="12" s="1"/>
  <c r="B200" i="12" s="1"/>
  <c r="B201" i="12" s="1"/>
  <c r="B202" i="12" s="1"/>
  <c r="B203" i="12" s="1"/>
  <c r="B204" i="12" s="1"/>
  <c r="B205" i="12" s="1"/>
  <c r="B206" i="12" s="1"/>
  <c r="B207" i="12" s="1"/>
  <c r="B208" i="12" s="1"/>
  <c r="B209" i="12" s="1"/>
  <c r="B210" i="12" s="1"/>
  <c r="B211" i="12" s="1"/>
  <c r="B212" i="12" s="1"/>
  <c r="B213" i="12" s="1"/>
  <c r="B214" i="12" s="1"/>
  <c r="B215" i="12" s="1"/>
  <c r="B216" i="12" s="1"/>
  <c r="B217" i="12" s="1"/>
  <c r="B218" i="12" s="1"/>
  <c r="B219" i="12" s="1"/>
  <c r="B220" i="12" s="1"/>
  <c r="B221" i="12" s="1"/>
  <c r="B222" i="12" s="1"/>
  <c r="B223" i="12" s="1"/>
  <c r="B224" i="12" s="1"/>
  <c r="C223" i="11" l="1"/>
  <c r="C222" i="11"/>
  <c r="C221" i="11"/>
  <c r="C220" i="11"/>
  <c r="C219" i="11"/>
  <c r="C218" i="11"/>
  <c r="C217" i="11"/>
  <c r="C216" i="11"/>
  <c r="C215" i="11"/>
  <c r="C214" i="11"/>
  <c r="C213" i="11"/>
  <c r="C212" i="11"/>
  <c r="C211" i="11"/>
  <c r="C210" i="11"/>
  <c r="C209" i="11"/>
  <c r="C208" i="11"/>
  <c r="C207" i="11"/>
  <c r="C206" i="11"/>
  <c r="C205" i="11"/>
  <c r="C204" i="11"/>
  <c r="C203" i="11"/>
  <c r="C202" i="11"/>
  <c r="C201" i="11"/>
  <c r="C200" i="11"/>
  <c r="C199" i="11"/>
  <c r="C198" i="11"/>
  <c r="C197" i="11"/>
  <c r="C196" i="11"/>
  <c r="C195" i="11"/>
  <c r="C194" i="11"/>
  <c r="C193" i="11"/>
  <c r="C192" i="11"/>
  <c r="C191" i="11"/>
  <c r="C190" i="11"/>
  <c r="C189" i="11"/>
  <c r="C188" i="11"/>
  <c r="C187" i="11"/>
  <c r="C186" i="11"/>
  <c r="C185" i="11"/>
  <c r="C184" i="11"/>
  <c r="C183" i="11"/>
  <c r="C182" i="11"/>
  <c r="C181" i="11"/>
  <c r="C180" i="11"/>
  <c r="C179" i="11"/>
  <c r="C178" i="11"/>
  <c r="C177" i="11"/>
  <c r="C176" i="11"/>
  <c r="C175" i="11"/>
  <c r="C174" i="11"/>
  <c r="C173" i="11"/>
  <c r="C172" i="11"/>
  <c r="C171" i="11"/>
  <c r="C170" i="11"/>
  <c r="C169" i="11"/>
  <c r="C168" i="11"/>
  <c r="C167" i="11"/>
  <c r="C166" i="11"/>
  <c r="C165" i="11"/>
  <c r="C164" i="11"/>
  <c r="C163" i="11"/>
  <c r="C162" i="11"/>
  <c r="C161" i="11"/>
  <c r="C160" i="11"/>
  <c r="C159" i="11"/>
  <c r="C158" i="11"/>
  <c r="C157" i="11"/>
  <c r="C156" i="11"/>
  <c r="C155" i="11"/>
  <c r="C154" i="11"/>
  <c r="C153" i="11"/>
  <c r="C152" i="11"/>
  <c r="C151" i="11"/>
  <c r="C150" i="11"/>
  <c r="C149" i="11"/>
  <c r="C148" i="11"/>
  <c r="C147" i="11"/>
  <c r="C146" i="11"/>
  <c r="C145" i="11"/>
  <c r="C144" i="11"/>
  <c r="B144" i="11"/>
  <c r="B145" i="11" s="1"/>
  <c r="B146" i="11" s="1"/>
  <c r="B147" i="11" s="1"/>
  <c r="B148" i="11" s="1"/>
  <c r="B149" i="11" s="1"/>
  <c r="B150" i="11" s="1"/>
  <c r="B151" i="11" s="1"/>
  <c r="B152" i="11" s="1"/>
  <c r="B153" i="11" s="1"/>
  <c r="B154" i="11" s="1"/>
  <c r="B155" i="11" s="1"/>
  <c r="B156" i="11" s="1"/>
  <c r="B157" i="11" s="1"/>
  <c r="B158" i="11" s="1"/>
  <c r="B159" i="11" s="1"/>
  <c r="B160" i="11" s="1"/>
  <c r="B161" i="11" s="1"/>
  <c r="B162" i="11" s="1"/>
  <c r="B163" i="11" s="1"/>
  <c r="B164" i="11" s="1"/>
  <c r="B165" i="11" s="1"/>
  <c r="B166" i="11" s="1"/>
  <c r="B167" i="11" s="1"/>
  <c r="B168" i="11" s="1"/>
  <c r="B169" i="11" s="1"/>
  <c r="B170" i="11" s="1"/>
  <c r="B171" i="11" s="1"/>
  <c r="B172" i="11" s="1"/>
  <c r="B173" i="11" s="1"/>
  <c r="B174" i="11" s="1"/>
  <c r="B175" i="11" s="1"/>
  <c r="B176" i="11" s="1"/>
  <c r="B177" i="11" s="1"/>
  <c r="B178" i="11" s="1"/>
  <c r="B179" i="11" s="1"/>
  <c r="B180" i="11" s="1"/>
  <c r="B181" i="11" s="1"/>
  <c r="B182" i="11" s="1"/>
  <c r="B183" i="11" s="1"/>
  <c r="B184" i="11" s="1"/>
  <c r="B185" i="11" s="1"/>
  <c r="B186" i="11" s="1"/>
  <c r="B187" i="11" s="1"/>
  <c r="B188" i="11" s="1"/>
  <c r="B189" i="11" s="1"/>
  <c r="B190" i="11" s="1"/>
  <c r="B191" i="11" s="1"/>
  <c r="B192" i="11" s="1"/>
  <c r="B193" i="11" s="1"/>
  <c r="B194" i="11" s="1"/>
  <c r="B195" i="11" s="1"/>
  <c r="B196" i="11" s="1"/>
  <c r="B197" i="11" s="1"/>
  <c r="B198" i="11" s="1"/>
  <c r="B199" i="11" s="1"/>
  <c r="B200" i="11" s="1"/>
  <c r="B201" i="11" s="1"/>
  <c r="B202" i="11" s="1"/>
  <c r="B203" i="11" s="1"/>
  <c r="B204" i="11" s="1"/>
  <c r="B205" i="11" s="1"/>
  <c r="B206" i="11" s="1"/>
  <c r="B207" i="11" s="1"/>
  <c r="B208" i="11" s="1"/>
  <c r="B209" i="11" s="1"/>
  <c r="B210" i="11" s="1"/>
  <c r="B211" i="11" s="1"/>
  <c r="B212" i="11" s="1"/>
  <c r="B213" i="11" s="1"/>
  <c r="B214" i="11" s="1"/>
  <c r="B215" i="11" s="1"/>
  <c r="B216" i="11" s="1"/>
  <c r="B217" i="11" s="1"/>
  <c r="B218" i="11" s="1"/>
  <c r="B219" i="11" s="1"/>
  <c r="B220" i="11" s="1"/>
  <c r="B221" i="11" s="1"/>
  <c r="B222" i="11" s="1"/>
  <c r="B223" i="11" s="1"/>
  <c r="C143" i="11"/>
  <c r="C140" i="11"/>
  <c r="C138" i="11"/>
  <c r="C137" i="11"/>
  <c r="C136" i="11"/>
  <c r="C135" i="11"/>
  <c r="C125" i="11"/>
  <c r="C122" i="11"/>
  <c r="C121" i="11"/>
  <c r="C120" i="11"/>
  <c r="C119" i="11"/>
  <c r="C118" i="11"/>
  <c r="C117" i="11"/>
  <c r="C116" i="11"/>
  <c r="C115" i="11"/>
  <c r="C114" i="11"/>
  <c r="C113" i="11"/>
  <c r="C112" i="11"/>
  <c r="C111" i="11"/>
  <c r="C110" i="11"/>
  <c r="C109" i="11"/>
  <c r="C108" i="11"/>
  <c r="C107" i="11"/>
  <c r="C106" i="11"/>
  <c r="C105" i="11"/>
  <c r="C104" i="11"/>
  <c r="C103" i="11"/>
  <c r="C102" i="11"/>
  <c r="C101" i="11"/>
  <c r="C100" i="11"/>
  <c r="C99" i="11"/>
  <c r="C98" i="11"/>
  <c r="C97" i="11"/>
  <c r="C96" i="11"/>
  <c r="C93" i="11"/>
  <c r="C92" i="11"/>
  <c r="C91" i="11"/>
  <c r="C90" i="11"/>
  <c r="C89" i="11"/>
  <c r="C88" i="11"/>
  <c r="C87" i="11"/>
  <c r="C86" i="11"/>
  <c r="C85" i="11"/>
  <c r="C82" i="11"/>
  <c r="C81" i="11"/>
  <c r="C80" i="11"/>
  <c r="C79" i="11"/>
  <c r="C78" i="11"/>
  <c r="C77" i="11"/>
  <c r="C76" i="11"/>
  <c r="C75" i="11"/>
  <c r="C74" i="11"/>
  <c r="C73" i="11"/>
  <c r="C72" i="11"/>
  <c r="C71" i="11"/>
  <c r="C70" i="11"/>
  <c r="C69" i="11"/>
  <c r="C68" i="11"/>
  <c r="C67" i="11"/>
  <c r="C66" i="11"/>
  <c r="C65" i="11"/>
  <c r="C64" i="11"/>
  <c r="C63" i="11"/>
  <c r="C62" i="11"/>
  <c r="C61" i="11"/>
  <c r="C60" i="11"/>
  <c r="C59" i="11"/>
  <c r="C58" i="11"/>
  <c r="C57" i="11"/>
  <c r="C56" i="11"/>
  <c r="C55" i="11"/>
  <c r="C54" i="11"/>
  <c r="C53" i="11"/>
  <c r="C52" i="11"/>
  <c r="C51" i="11"/>
  <c r="C50" i="11"/>
  <c r="C49" i="11"/>
  <c r="C48" i="11"/>
  <c r="C47" i="11"/>
  <c r="C46" i="11"/>
  <c r="C45" i="11"/>
  <c r="C44" i="11"/>
  <c r="C43" i="11"/>
  <c r="C42" i="11"/>
  <c r="C41" i="11"/>
  <c r="C38" i="11"/>
  <c r="C37" i="11"/>
  <c r="C36" i="11"/>
  <c r="C35" i="11"/>
  <c r="C34" i="11"/>
  <c r="C33" i="11"/>
  <c r="C32" i="11"/>
  <c r="C31" i="11"/>
  <c r="C30" i="11"/>
  <c r="C29" i="11"/>
  <c r="C28" i="11"/>
  <c r="C23" i="11"/>
  <c r="C22" i="11"/>
  <c r="C21" i="11"/>
  <c r="C20" i="11"/>
  <c r="C19" i="11"/>
  <c r="C18" i="11"/>
  <c r="C17" i="11" s="1"/>
  <c r="C13" i="11"/>
  <c r="B13" i="11"/>
  <c r="C12" i="11"/>
  <c r="B12" i="11"/>
  <c r="C11" i="11"/>
  <c r="B11" i="11"/>
  <c r="C10" i="11"/>
  <c r="B10" i="11"/>
  <c r="C9" i="11"/>
  <c r="B9" i="11"/>
  <c r="C8" i="11"/>
  <c r="B8" i="11"/>
  <c r="C7" i="11"/>
  <c r="B7" i="11"/>
  <c r="C6" i="11"/>
  <c r="B6" i="11"/>
  <c r="C5" i="11"/>
  <c r="B5" i="11"/>
  <c r="C4" i="11"/>
  <c r="B4" i="11"/>
  <c r="C225" i="10" l="1"/>
  <c r="C224" i="10"/>
  <c r="C223" i="10"/>
  <c r="C222" i="10"/>
  <c r="C221" i="10"/>
  <c r="C220" i="10"/>
  <c r="C219" i="10"/>
  <c r="C218" i="10"/>
  <c r="C217" i="10"/>
  <c r="C216" i="10"/>
  <c r="C215" i="10"/>
  <c r="C214" i="10"/>
  <c r="C213" i="10"/>
  <c r="C212" i="10"/>
  <c r="C211" i="10"/>
  <c r="C210" i="10"/>
  <c r="C209" i="10"/>
  <c r="C208" i="10"/>
  <c r="C207" i="10"/>
  <c r="C206" i="10"/>
  <c r="C205" i="10"/>
  <c r="C204" i="10"/>
  <c r="C203" i="10"/>
  <c r="C202" i="10"/>
  <c r="C201" i="10"/>
  <c r="C200" i="10"/>
  <c r="C199" i="10"/>
  <c r="C198" i="10"/>
  <c r="C197" i="10"/>
  <c r="C196" i="10"/>
  <c r="C195" i="10"/>
  <c r="C194" i="10"/>
  <c r="C193" i="10"/>
  <c r="C192" i="10"/>
  <c r="C191" i="10"/>
  <c r="C190" i="10"/>
  <c r="C189" i="10"/>
  <c r="C188" i="10"/>
  <c r="C187" i="10"/>
  <c r="C186" i="10"/>
  <c r="C185" i="10"/>
  <c r="C184" i="10"/>
  <c r="C183" i="10"/>
  <c r="C182" i="10"/>
  <c r="C181" i="10"/>
  <c r="C180" i="10"/>
  <c r="C179" i="10"/>
  <c r="C178" i="10"/>
  <c r="C177" i="10"/>
  <c r="C176" i="10"/>
  <c r="C175" i="10"/>
  <c r="C174" i="10"/>
  <c r="C173" i="10"/>
  <c r="C172" i="10"/>
  <c r="C171" i="10"/>
  <c r="C170" i="10"/>
  <c r="C169" i="10"/>
  <c r="C168" i="10"/>
  <c r="C167" i="10"/>
  <c r="C166" i="10"/>
  <c r="C165" i="10"/>
  <c r="C164" i="10"/>
  <c r="C163" i="10"/>
  <c r="C162" i="10"/>
  <c r="C161" i="10"/>
  <c r="C160" i="10"/>
  <c r="C159" i="10"/>
  <c r="C158" i="10"/>
  <c r="C157" i="10"/>
  <c r="C156" i="10"/>
  <c r="C155" i="10"/>
  <c r="C154" i="10"/>
  <c r="C153" i="10"/>
  <c r="C152" i="10"/>
  <c r="C151" i="10"/>
  <c r="C150" i="10"/>
  <c r="C149" i="10"/>
  <c r="C148" i="10"/>
  <c r="C147" i="10"/>
  <c r="C146" i="10"/>
  <c r="B146" i="10"/>
  <c r="B147" i="10" s="1"/>
  <c r="B148" i="10" s="1"/>
  <c r="B149" i="10" s="1"/>
  <c r="B150" i="10" s="1"/>
  <c r="B151" i="10" s="1"/>
  <c r="B152" i="10" s="1"/>
  <c r="B153" i="10" s="1"/>
  <c r="B154" i="10" s="1"/>
  <c r="B155" i="10" s="1"/>
  <c r="B156" i="10" s="1"/>
  <c r="B157" i="10" s="1"/>
  <c r="B158" i="10" s="1"/>
  <c r="B159" i="10" s="1"/>
  <c r="B160" i="10" s="1"/>
  <c r="B161" i="10" s="1"/>
  <c r="B162" i="10" s="1"/>
  <c r="C145" i="10"/>
  <c r="D142" i="10"/>
  <c r="C142" i="10"/>
  <c r="C140" i="10"/>
  <c r="C139" i="10"/>
  <c r="C138" i="10"/>
  <c r="C137" i="10"/>
  <c r="D135" i="10"/>
  <c r="C135" i="10"/>
  <c r="D134" i="10"/>
  <c r="C134" i="10"/>
  <c r="D133" i="10"/>
  <c r="C133" i="10"/>
  <c r="C132" i="10"/>
  <c r="D131" i="10"/>
  <c r="C131" i="10"/>
  <c r="C130" i="10"/>
  <c r="C127" i="10"/>
  <c r="C124" i="10"/>
  <c r="C123" i="10"/>
  <c r="C122" i="10"/>
  <c r="C121" i="10"/>
  <c r="C120" i="10"/>
  <c r="C119" i="10"/>
  <c r="C118" i="10"/>
  <c r="D117" i="10"/>
  <c r="C117" i="10"/>
  <c r="D116" i="10"/>
  <c r="C116" i="10"/>
  <c r="D115" i="10"/>
  <c r="C115" i="10"/>
  <c r="D114" i="10"/>
  <c r="C114" i="10"/>
  <c r="C113" i="10"/>
  <c r="C112" i="10"/>
  <c r="C111" i="10"/>
  <c r="C110" i="10"/>
  <c r="D109" i="10"/>
  <c r="C109" i="10"/>
  <c r="C108" i="10"/>
  <c r="C107" i="10"/>
  <c r="C106" i="10"/>
  <c r="C105" i="10"/>
  <c r="C104" i="10"/>
  <c r="C103" i="10"/>
  <c r="C102" i="10"/>
  <c r="C99" i="10"/>
  <c r="D98" i="10"/>
  <c r="C98" i="10"/>
  <c r="C97" i="10"/>
  <c r="C96" i="10"/>
  <c r="D95" i="10"/>
  <c r="C95" i="10"/>
  <c r="C94" i="10"/>
  <c r="C93" i="10"/>
  <c r="D92" i="10"/>
  <c r="C92" i="10"/>
  <c r="C91" i="10"/>
  <c r="C88" i="10"/>
  <c r="C87" i="10"/>
  <c r="D86" i="10"/>
  <c r="C86" i="10"/>
  <c r="C85" i="10"/>
  <c r="D84" i="10"/>
  <c r="C84" i="10"/>
  <c r="C83" i="10"/>
  <c r="D83" i="10" s="1"/>
  <c r="C82" i="10"/>
  <c r="D82" i="10" s="1"/>
  <c r="C81" i="10"/>
  <c r="C80" i="10"/>
  <c r="D79" i="10"/>
  <c r="C79" i="10"/>
  <c r="C78" i="10"/>
  <c r="D77" i="10"/>
  <c r="C77" i="10"/>
  <c r="D76" i="10"/>
  <c r="C76" i="10"/>
  <c r="C75" i="10"/>
  <c r="C74" i="10"/>
  <c r="D73" i="10"/>
  <c r="C73" i="10"/>
  <c r="C72" i="10"/>
  <c r="C71" i="10"/>
  <c r="C70" i="10"/>
  <c r="C69" i="10"/>
  <c r="D68" i="10"/>
  <c r="C68" i="10"/>
  <c r="C67" i="10"/>
  <c r="C66" i="10"/>
  <c r="C65" i="10"/>
  <c r="C64" i="10"/>
  <c r="C63" i="10"/>
  <c r="C62" i="10"/>
  <c r="C61" i="10"/>
  <c r="C60" i="10"/>
  <c r="C59" i="10"/>
  <c r="C58" i="10"/>
  <c r="C57" i="10"/>
  <c r="C56" i="10"/>
  <c r="C55" i="10"/>
  <c r="C54" i="10"/>
  <c r="D53" i="10"/>
  <c r="C53" i="10"/>
  <c r="D52" i="10"/>
  <c r="C52" i="10"/>
  <c r="C51" i="10"/>
  <c r="C50" i="10"/>
  <c r="D49" i="10"/>
  <c r="C49" i="10"/>
  <c r="D48" i="10"/>
  <c r="C48" i="10"/>
  <c r="D47" i="10"/>
  <c r="C47" i="10"/>
  <c r="C46" i="10"/>
  <c r="C43" i="10"/>
  <c r="C42" i="10"/>
  <c r="C41" i="10"/>
  <c r="C40" i="10"/>
  <c r="C39" i="10"/>
  <c r="C38" i="10"/>
  <c r="C37" i="10"/>
  <c r="D36" i="10"/>
  <c r="C36" i="10"/>
  <c r="D35" i="10"/>
  <c r="C35" i="10"/>
  <c r="D34" i="10"/>
  <c r="C34" i="10"/>
  <c r="B34" i="10"/>
  <c r="D33" i="10"/>
  <c r="C33" i="10"/>
  <c r="B33" i="10"/>
  <c r="D32" i="10"/>
  <c r="C32" i="10"/>
  <c r="B32" i="10"/>
  <c r="D31" i="10"/>
  <c r="C31" i="10"/>
  <c r="B31" i="10"/>
  <c r="D30" i="10"/>
  <c r="C30" i="10"/>
  <c r="D29" i="10"/>
  <c r="C29" i="10"/>
  <c r="D28" i="10"/>
  <c r="C28" i="10"/>
  <c r="C23" i="10"/>
  <c r="C22" i="10"/>
  <c r="C21" i="10"/>
  <c r="C20" i="10"/>
  <c r="C19" i="10"/>
  <c r="C18" i="10"/>
  <c r="C17" i="10"/>
  <c r="C13" i="10"/>
  <c r="B13" i="10"/>
  <c r="C12" i="10"/>
  <c r="B12" i="10"/>
  <c r="C11" i="10"/>
  <c r="B11" i="10"/>
  <c r="C10" i="10"/>
  <c r="B10" i="10"/>
  <c r="C9" i="10"/>
  <c r="B9" i="10"/>
  <c r="C8" i="10"/>
  <c r="B8" i="10"/>
  <c r="C7" i="10"/>
  <c r="B7" i="10"/>
  <c r="C6" i="10"/>
  <c r="B6" i="10"/>
  <c r="C5" i="10"/>
  <c r="B5" i="10"/>
  <c r="C4" i="10"/>
  <c r="B4" i="10"/>
  <c r="B225" i="10" l="1"/>
  <c r="B163" i="10"/>
  <c r="B164" i="10" s="1"/>
  <c r="B165" i="10" s="1"/>
  <c r="B166" i="10" s="1"/>
  <c r="B167" i="10" s="1"/>
  <c r="B168" i="10" s="1"/>
  <c r="B169" i="10" s="1"/>
  <c r="B170" i="10" s="1"/>
  <c r="B171" i="10" s="1"/>
  <c r="B172" i="10" s="1"/>
  <c r="B173" i="10" s="1"/>
  <c r="B174" i="10" s="1"/>
  <c r="B175" i="10" s="1"/>
  <c r="B176" i="10" s="1"/>
  <c r="B177" i="10" s="1"/>
  <c r="B178" i="10" s="1"/>
  <c r="B179" i="10" s="1"/>
  <c r="B180" i="10" s="1"/>
  <c r="B181" i="10" s="1"/>
  <c r="B182" i="10" s="1"/>
  <c r="B183" i="10" s="1"/>
  <c r="B184" i="10" s="1"/>
  <c r="B185" i="10" s="1"/>
  <c r="B186" i="10" s="1"/>
  <c r="B187" i="10" s="1"/>
  <c r="B188" i="10" s="1"/>
  <c r="B189" i="10" s="1"/>
  <c r="B190" i="10" s="1"/>
  <c r="B191" i="10" s="1"/>
  <c r="B192" i="10" s="1"/>
  <c r="B193" i="10" s="1"/>
  <c r="B194" i="10" s="1"/>
  <c r="B195" i="10" s="1"/>
  <c r="B196" i="10" s="1"/>
  <c r="B197" i="10" s="1"/>
  <c r="B198" i="10" s="1"/>
  <c r="B199" i="10" s="1"/>
  <c r="B200" i="10" s="1"/>
  <c r="B201" i="10" s="1"/>
  <c r="B202" i="10" s="1"/>
  <c r="B203" i="10" s="1"/>
  <c r="B204" i="10" s="1"/>
  <c r="B205" i="10" s="1"/>
  <c r="B206" i="10" s="1"/>
  <c r="B207" i="10" s="1"/>
  <c r="B208" i="10" s="1"/>
  <c r="B209" i="10" s="1"/>
  <c r="B210" i="10" s="1"/>
  <c r="B211" i="10" s="1"/>
  <c r="B212" i="10" s="1"/>
  <c r="B213" i="10" s="1"/>
  <c r="B214" i="10" s="1"/>
  <c r="B215" i="10" s="1"/>
  <c r="B216" i="10" s="1"/>
  <c r="B217" i="10" s="1"/>
  <c r="B218" i="10" s="1"/>
  <c r="B219" i="10" s="1"/>
  <c r="B220" i="10" s="1"/>
  <c r="B221" i="10" s="1"/>
  <c r="B222" i="10" s="1"/>
  <c r="B223" i="10" s="1"/>
  <c r="B224" i="10" s="1"/>
  <c r="C225" i="9" l="1"/>
  <c r="C224" i="9"/>
  <c r="C223" i="9"/>
  <c r="C222" i="9"/>
  <c r="C221" i="9"/>
  <c r="C220" i="9"/>
  <c r="C219" i="9"/>
  <c r="C218" i="9"/>
  <c r="C217" i="9"/>
  <c r="C216" i="9"/>
  <c r="C215" i="9"/>
  <c r="C214" i="9"/>
  <c r="C213" i="9"/>
  <c r="C212" i="9"/>
  <c r="C211" i="9"/>
  <c r="C210" i="9"/>
  <c r="C209" i="9"/>
  <c r="C208" i="9"/>
  <c r="C207" i="9"/>
  <c r="C206" i="9"/>
  <c r="C205" i="9"/>
  <c r="C204" i="9"/>
  <c r="C203" i="9"/>
  <c r="C202" i="9"/>
  <c r="C201" i="9"/>
  <c r="C200" i="9"/>
  <c r="C199" i="9"/>
  <c r="C198" i="9"/>
  <c r="C197" i="9"/>
  <c r="C196" i="9"/>
  <c r="C195" i="9"/>
  <c r="C194" i="9"/>
  <c r="C193" i="9"/>
  <c r="C192" i="9"/>
  <c r="C191" i="9"/>
  <c r="C190" i="9"/>
  <c r="C189" i="9"/>
  <c r="C188" i="9"/>
  <c r="C187" i="9"/>
  <c r="C186" i="9"/>
  <c r="C185" i="9"/>
  <c r="C184" i="9"/>
  <c r="C183" i="9"/>
  <c r="C182" i="9"/>
  <c r="C181" i="9"/>
  <c r="C180" i="9"/>
  <c r="C179" i="9"/>
  <c r="C178" i="9"/>
  <c r="C177" i="9"/>
  <c r="C176" i="9"/>
  <c r="C175" i="9"/>
  <c r="C174" i="9"/>
  <c r="C173" i="9"/>
  <c r="C172" i="9"/>
  <c r="C171" i="9"/>
  <c r="C170" i="9"/>
  <c r="C169" i="9"/>
  <c r="C168" i="9"/>
  <c r="C167" i="9"/>
  <c r="C166" i="9"/>
  <c r="C165" i="9"/>
  <c r="C164" i="9"/>
  <c r="C163" i="9"/>
  <c r="C162" i="9"/>
  <c r="C161" i="9"/>
  <c r="C160" i="9"/>
  <c r="C159" i="9"/>
  <c r="C158" i="9"/>
  <c r="C157" i="9"/>
  <c r="C156" i="9"/>
  <c r="C155" i="9"/>
  <c r="C154" i="9"/>
  <c r="C153" i="9"/>
  <c r="C152" i="9"/>
  <c r="C151" i="9"/>
  <c r="C150" i="9"/>
  <c r="C149" i="9"/>
  <c r="C148" i="9"/>
  <c r="C147" i="9"/>
  <c r="C146" i="9"/>
  <c r="B146" i="9"/>
  <c r="B147" i="9" s="1"/>
  <c r="B148" i="9" s="1"/>
  <c r="B149" i="9" s="1"/>
  <c r="B150" i="9" s="1"/>
  <c r="B151" i="9" s="1"/>
  <c r="B152" i="9" s="1"/>
  <c r="B153" i="9" s="1"/>
  <c r="B154" i="9" s="1"/>
  <c r="B155" i="9" s="1"/>
  <c r="B156" i="9" s="1"/>
  <c r="B157" i="9" s="1"/>
  <c r="B158" i="9" s="1"/>
  <c r="B159" i="9" s="1"/>
  <c r="B160" i="9" s="1"/>
  <c r="B161" i="9" s="1"/>
  <c r="B162" i="9" s="1"/>
  <c r="C145" i="9"/>
  <c r="D142" i="9"/>
  <c r="C142" i="9"/>
  <c r="C140" i="9"/>
  <c r="C139" i="9"/>
  <c r="C138" i="9"/>
  <c r="C137" i="9"/>
  <c r="D135" i="9"/>
  <c r="C135" i="9"/>
  <c r="D134" i="9"/>
  <c r="C134" i="9"/>
  <c r="D133" i="9"/>
  <c r="C133" i="9"/>
  <c r="C132" i="9"/>
  <c r="D131" i="9"/>
  <c r="C131" i="9"/>
  <c r="C130" i="9"/>
  <c r="C127" i="9"/>
  <c r="C124" i="9"/>
  <c r="C123" i="9"/>
  <c r="C122" i="9"/>
  <c r="C121" i="9"/>
  <c r="C120" i="9"/>
  <c r="C119" i="9"/>
  <c r="C118" i="9"/>
  <c r="D117" i="9"/>
  <c r="C117" i="9"/>
  <c r="D116" i="9"/>
  <c r="C116" i="9"/>
  <c r="D115" i="9"/>
  <c r="C115" i="9"/>
  <c r="D114" i="9"/>
  <c r="C114" i="9"/>
  <c r="C113" i="9"/>
  <c r="C112" i="9"/>
  <c r="C111" i="9"/>
  <c r="C110" i="9"/>
  <c r="D109" i="9"/>
  <c r="C109" i="9"/>
  <c r="C108" i="9"/>
  <c r="C107" i="9"/>
  <c r="C106" i="9"/>
  <c r="C105" i="9"/>
  <c r="C104" i="9"/>
  <c r="C103" i="9"/>
  <c r="C102" i="9"/>
  <c r="C99" i="9"/>
  <c r="D98" i="9"/>
  <c r="C98" i="9"/>
  <c r="C97" i="9"/>
  <c r="C96" i="9"/>
  <c r="D95" i="9"/>
  <c r="C95" i="9"/>
  <c r="C94" i="9"/>
  <c r="C93" i="9"/>
  <c r="D92" i="9"/>
  <c r="C92" i="9"/>
  <c r="C91" i="9"/>
  <c r="C88" i="9"/>
  <c r="C87" i="9"/>
  <c r="D86" i="9"/>
  <c r="C86" i="9"/>
  <c r="C85" i="9"/>
  <c r="D84" i="9"/>
  <c r="C84" i="9"/>
  <c r="C83" i="9"/>
  <c r="D83" i="9" s="1"/>
  <c r="C82" i="9"/>
  <c r="D82" i="9" s="1"/>
  <c r="C81" i="9"/>
  <c r="C80" i="9"/>
  <c r="D79" i="9"/>
  <c r="C79" i="9"/>
  <c r="C78" i="9"/>
  <c r="D77" i="9"/>
  <c r="C77" i="9"/>
  <c r="D76" i="9"/>
  <c r="C76" i="9"/>
  <c r="C75" i="9"/>
  <c r="C74" i="9"/>
  <c r="D73" i="9"/>
  <c r="C73" i="9"/>
  <c r="C72" i="9"/>
  <c r="C71" i="9"/>
  <c r="C70" i="9"/>
  <c r="C69" i="9"/>
  <c r="D68" i="9"/>
  <c r="C68" i="9"/>
  <c r="C67" i="9"/>
  <c r="C66" i="9"/>
  <c r="C65" i="9"/>
  <c r="C64" i="9"/>
  <c r="C63" i="9"/>
  <c r="C62" i="9"/>
  <c r="C61" i="9"/>
  <c r="C60" i="9"/>
  <c r="C59" i="9"/>
  <c r="C58" i="9"/>
  <c r="C57" i="9"/>
  <c r="C56" i="9"/>
  <c r="C55" i="9"/>
  <c r="C54" i="9"/>
  <c r="D53" i="9"/>
  <c r="C53" i="9"/>
  <c r="D52" i="9"/>
  <c r="C52" i="9"/>
  <c r="C51" i="9"/>
  <c r="C50" i="9"/>
  <c r="D49" i="9"/>
  <c r="C49" i="9"/>
  <c r="D48" i="9"/>
  <c r="C48" i="9"/>
  <c r="D47" i="9"/>
  <c r="C47" i="9"/>
  <c r="C46" i="9"/>
  <c r="C43" i="9"/>
  <c r="C42" i="9"/>
  <c r="C41" i="9"/>
  <c r="C40" i="9"/>
  <c r="C39" i="9"/>
  <c r="C38" i="9"/>
  <c r="C37" i="9"/>
  <c r="D36" i="9"/>
  <c r="C36" i="9"/>
  <c r="D35" i="9"/>
  <c r="C35" i="9"/>
  <c r="D34" i="9"/>
  <c r="C34" i="9"/>
  <c r="B34" i="9"/>
  <c r="D33" i="9"/>
  <c r="C33" i="9"/>
  <c r="B33" i="9"/>
  <c r="D32" i="9"/>
  <c r="C32" i="9"/>
  <c r="B32" i="9"/>
  <c r="D31" i="9"/>
  <c r="C31" i="9"/>
  <c r="B31" i="9"/>
  <c r="D30" i="9"/>
  <c r="C30" i="9"/>
  <c r="D29" i="9"/>
  <c r="C29" i="9"/>
  <c r="D28" i="9"/>
  <c r="C28" i="9"/>
  <c r="C23" i="9"/>
  <c r="C22" i="9"/>
  <c r="C21" i="9"/>
  <c r="C20" i="9"/>
  <c r="C19" i="9"/>
  <c r="C18" i="9"/>
  <c r="C17" i="9"/>
  <c r="C13" i="9"/>
  <c r="B13" i="9"/>
  <c r="C12" i="9"/>
  <c r="B12" i="9"/>
  <c r="C11" i="9"/>
  <c r="B11" i="9"/>
  <c r="C10" i="9"/>
  <c r="B10" i="9"/>
  <c r="C9" i="9"/>
  <c r="B9" i="9"/>
  <c r="C8" i="9"/>
  <c r="B8" i="9"/>
  <c r="C7" i="9"/>
  <c r="B7" i="9"/>
  <c r="C6" i="9"/>
  <c r="B6" i="9"/>
  <c r="C5" i="9"/>
  <c r="B5" i="9"/>
  <c r="C4" i="9"/>
  <c r="B4" i="9"/>
  <c r="B225" i="9" l="1"/>
  <c r="B163" i="9"/>
  <c r="B164" i="9" s="1"/>
  <c r="B165" i="9" s="1"/>
  <c r="B166" i="9" s="1"/>
  <c r="B167" i="9" s="1"/>
  <c r="B168" i="9" s="1"/>
  <c r="B169" i="9" s="1"/>
  <c r="B170" i="9" s="1"/>
  <c r="B171" i="9" s="1"/>
  <c r="B172" i="9" s="1"/>
  <c r="B173" i="9" s="1"/>
  <c r="B174" i="9" s="1"/>
  <c r="B175" i="9" s="1"/>
  <c r="B176" i="9" s="1"/>
  <c r="B177" i="9" s="1"/>
  <c r="B178" i="9" s="1"/>
  <c r="B179" i="9" s="1"/>
  <c r="B180" i="9" s="1"/>
  <c r="B181" i="9" s="1"/>
  <c r="B182" i="9" s="1"/>
  <c r="B183" i="9" s="1"/>
  <c r="B184" i="9" s="1"/>
  <c r="B185" i="9" s="1"/>
  <c r="B186" i="9" s="1"/>
  <c r="B187" i="9" s="1"/>
  <c r="B188" i="9" s="1"/>
  <c r="B189" i="9" s="1"/>
  <c r="B190" i="9" s="1"/>
  <c r="B191" i="9" s="1"/>
  <c r="B192" i="9" s="1"/>
  <c r="B193" i="9" s="1"/>
  <c r="B194" i="9" s="1"/>
  <c r="B195" i="9" s="1"/>
  <c r="B196" i="9" s="1"/>
  <c r="B197" i="9" s="1"/>
  <c r="B198" i="9" s="1"/>
  <c r="B199" i="9" s="1"/>
  <c r="B200" i="9" s="1"/>
  <c r="B201" i="9" s="1"/>
  <c r="B202" i="9" s="1"/>
  <c r="B203" i="9" s="1"/>
  <c r="B204" i="9" s="1"/>
  <c r="B205" i="9" s="1"/>
  <c r="B206" i="9" s="1"/>
  <c r="B207" i="9" s="1"/>
  <c r="B208" i="9" s="1"/>
  <c r="B209" i="9" s="1"/>
  <c r="B210" i="9" s="1"/>
  <c r="B211" i="9" s="1"/>
  <c r="B212" i="9" s="1"/>
  <c r="B213" i="9" s="1"/>
  <c r="B214" i="9" s="1"/>
  <c r="B215" i="9" s="1"/>
  <c r="B216" i="9" s="1"/>
  <c r="B217" i="9" s="1"/>
  <c r="B218" i="9" s="1"/>
  <c r="B219" i="9" s="1"/>
  <c r="B220" i="9" s="1"/>
  <c r="B221" i="9" s="1"/>
  <c r="B222" i="9" s="1"/>
  <c r="B223" i="9" s="1"/>
  <c r="B224" i="9" s="1"/>
  <c r="C223" i="8" l="1"/>
  <c r="C222" i="8"/>
  <c r="C221" i="8"/>
  <c r="C220" i="8"/>
  <c r="C219" i="8"/>
  <c r="C218" i="8"/>
  <c r="C217" i="8"/>
  <c r="C216" i="8"/>
  <c r="C215" i="8"/>
  <c r="C214" i="8"/>
  <c r="C213" i="8"/>
  <c r="C212" i="8"/>
  <c r="C211" i="8"/>
  <c r="C210" i="8"/>
  <c r="C209" i="8"/>
  <c r="C208" i="8"/>
  <c r="C207" i="8"/>
  <c r="C206" i="8"/>
  <c r="C205" i="8"/>
  <c r="C204" i="8"/>
  <c r="C203" i="8"/>
  <c r="C202" i="8"/>
  <c r="C201" i="8"/>
  <c r="C200" i="8"/>
  <c r="C199" i="8"/>
  <c r="C198" i="8"/>
  <c r="C197" i="8"/>
  <c r="C196" i="8"/>
  <c r="C195" i="8"/>
  <c r="C194" i="8"/>
  <c r="C193" i="8"/>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C161" i="8"/>
  <c r="C160" i="8"/>
  <c r="C159" i="8"/>
  <c r="C158" i="8"/>
  <c r="C157" i="8"/>
  <c r="C156" i="8"/>
  <c r="C155" i="8"/>
  <c r="C154" i="8"/>
  <c r="C153" i="8"/>
  <c r="C152" i="8"/>
  <c r="C151" i="8"/>
  <c r="C150" i="8"/>
  <c r="C149" i="8"/>
  <c r="C148" i="8"/>
  <c r="C147" i="8"/>
  <c r="C146" i="8"/>
  <c r="C145" i="8"/>
  <c r="C144" i="8"/>
  <c r="B144" i="8"/>
  <c r="B145" i="8" s="1"/>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72" i="8" s="1"/>
  <c r="B173" i="8" s="1"/>
  <c r="B174" i="8" s="1"/>
  <c r="B175" i="8" s="1"/>
  <c r="B176" i="8" s="1"/>
  <c r="B177" i="8" s="1"/>
  <c r="B178" i="8" s="1"/>
  <c r="B179" i="8" s="1"/>
  <c r="B180" i="8" s="1"/>
  <c r="B181" i="8" s="1"/>
  <c r="B182" i="8" s="1"/>
  <c r="B183" i="8" s="1"/>
  <c r="B184" i="8" s="1"/>
  <c r="B185" i="8" s="1"/>
  <c r="B186" i="8" s="1"/>
  <c r="B187" i="8" s="1"/>
  <c r="B188" i="8" s="1"/>
  <c r="B189" i="8" s="1"/>
  <c r="B190" i="8" s="1"/>
  <c r="B191" i="8" s="1"/>
  <c r="B192" i="8" s="1"/>
  <c r="B193" i="8" s="1"/>
  <c r="B194" i="8" s="1"/>
  <c r="B195" i="8" s="1"/>
  <c r="B196" i="8" s="1"/>
  <c r="B197" i="8" s="1"/>
  <c r="B198" i="8" s="1"/>
  <c r="B199" i="8" s="1"/>
  <c r="B200" i="8" s="1"/>
  <c r="B201" i="8" s="1"/>
  <c r="B202" i="8" s="1"/>
  <c r="B203" i="8" s="1"/>
  <c r="B204" i="8" s="1"/>
  <c r="B205" i="8" s="1"/>
  <c r="B206" i="8" s="1"/>
  <c r="B207" i="8" s="1"/>
  <c r="B208" i="8" s="1"/>
  <c r="B209" i="8" s="1"/>
  <c r="B210" i="8" s="1"/>
  <c r="B211" i="8" s="1"/>
  <c r="B212" i="8" s="1"/>
  <c r="B213" i="8" s="1"/>
  <c r="B214" i="8" s="1"/>
  <c r="B215" i="8" s="1"/>
  <c r="B216" i="8" s="1"/>
  <c r="B217" i="8" s="1"/>
  <c r="B218" i="8" s="1"/>
  <c r="B219" i="8" s="1"/>
  <c r="B220" i="8" s="1"/>
  <c r="B221" i="8" s="1"/>
  <c r="B222" i="8" s="1"/>
  <c r="B223" i="8" s="1"/>
  <c r="C143" i="8"/>
  <c r="C140" i="8"/>
  <c r="C138" i="8"/>
  <c r="C137" i="8"/>
  <c r="C136" i="8"/>
  <c r="C135" i="8"/>
  <c r="C125" i="8"/>
  <c r="C122" i="8"/>
  <c r="C121" i="8"/>
  <c r="C120" i="8"/>
  <c r="C119" i="8"/>
  <c r="C118" i="8"/>
  <c r="C117" i="8"/>
  <c r="C116" i="8"/>
  <c r="C115" i="8"/>
  <c r="C114" i="8"/>
  <c r="C113" i="8"/>
  <c r="C112" i="8"/>
  <c r="C111" i="8"/>
  <c r="C110" i="8"/>
  <c r="C109" i="8"/>
  <c r="C108" i="8"/>
  <c r="C107" i="8"/>
  <c r="C106" i="8"/>
  <c r="C105" i="8"/>
  <c r="C104" i="8"/>
  <c r="C103" i="8"/>
  <c r="C102" i="8"/>
  <c r="C101" i="8"/>
  <c r="C100" i="8"/>
  <c r="C99" i="8"/>
  <c r="C98" i="8"/>
  <c r="C97" i="8"/>
  <c r="C96" i="8"/>
  <c r="C93" i="8"/>
  <c r="C92" i="8"/>
  <c r="C91" i="8"/>
  <c r="C90" i="8"/>
  <c r="C89" i="8"/>
  <c r="C88" i="8"/>
  <c r="C87" i="8"/>
  <c r="C86" i="8"/>
  <c r="C85"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38" i="8"/>
  <c r="C37" i="8"/>
  <c r="C36" i="8"/>
  <c r="C35" i="8"/>
  <c r="C34" i="8"/>
  <c r="C33" i="8"/>
  <c r="C32" i="8"/>
  <c r="C31" i="8"/>
  <c r="C30" i="8"/>
  <c r="C29" i="8"/>
  <c r="C28" i="8"/>
  <c r="C23" i="8"/>
  <c r="C22" i="8"/>
  <c r="C21" i="8"/>
  <c r="C20" i="8"/>
  <c r="C19" i="8"/>
  <c r="C18" i="8"/>
  <c r="C17" i="8" s="1"/>
  <c r="C13" i="8"/>
  <c r="B13" i="8"/>
  <c r="C12" i="8"/>
  <c r="B12" i="8"/>
  <c r="C11" i="8"/>
  <c r="B11" i="8"/>
  <c r="C10" i="8"/>
  <c r="B10" i="8"/>
  <c r="C9" i="8"/>
  <c r="B9" i="8"/>
  <c r="C8" i="8"/>
  <c r="B8" i="8"/>
  <c r="C7" i="8"/>
  <c r="B7" i="8"/>
  <c r="C6" i="8"/>
  <c r="B6" i="8"/>
  <c r="C5" i="8"/>
  <c r="B5" i="8"/>
  <c r="C4" i="8"/>
  <c r="B4" i="8"/>
  <c r="C223" i="7" l="1"/>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B144" i="7"/>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C143" i="7"/>
  <c r="C140" i="7"/>
  <c r="C138" i="7"/>
  <c r="C137" i="7"/>
  <c r="C136" i="7"/>
  <c r="C135" i="7"/>
  <c r="C125"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3" i="7"/>
  <c r="C92" i="7"/>
  <c r="C91" i="7"/>
  <c r="C90" i="7"/>
  <c r="C89" i="7"/>
  <c r="C88" i="7"/>
  <c r="C87" i="7"/>
  <c r="C86" i="7"/>
  <c r="C85"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38" i="7"/>
  <c r="C37" i="7"/>
  <c r="C36" i="7"/>
  <c r="C35" i="7"/>
  <c r="C34" i="7"/>
  <c r="C33" i="7"/>
  <c r="C32" i="7"/>
  <c r="C31" i="7"/>
  <c r="C30" i="7"/>
  <c r="C29" i="7"/>
  <c r="C28" i="7"/>
  <c r="C23" i="7"/>
  <c r="C22" i="7"/>
  <c r="C21" i="7"/>
  <c r="C20" i="7"/>
  <c r="C19" i="7"/>
  <c r="C18" i="7"/>
  <c r="C17" i="7" s="1"/>
  <c r="C13" i="7"/>
  <c r="B13" i="7"/>
  <c r="C12" i="7"/>
  <c r="B12" i="7"/>
  <c r="C11" i="7"/>
  <c r="B11" i="7"/>
  <c r="C10" i="7"/>
  <c r="B10" i="7"/>
  <c r="C9" i="7"/>
  <c r="B9" i="7"/>
  <c r="C8" i="7"/>
  <c r="B8" i="7"/>
  <c r="C7" i="7"/>
  <c r="B7" i="7"/>
  <c r="C6" i="7"/>
  <c r="B6" i="7"/>
  <c r="C5" i="7"/>
  <c r="B5" i="7"/>
  <c r="C4" i="7"/>
  <c r="B4" i="7"/>
  <c r="C225" i="6" l="1"/>
  <c r="C224" i="6"/>
  <c r="C223" i="6"/>
  <c r="C222" i="6"/>
  <c r="C221" i="6"/>
  <c r="C220" i="6"/>
  <c r="C219" i="6"/>
  <c r="C218" i="6"/>
  <c r="C217" i="6"/>
  <c r="C216" i="6"/>
  <c r="C215" i="6"/>
  <c r="C214" i="6"/>
  <c r="C213" i="6"/>
  <c r="C212" i="6"/>
  <c r="C211" i="6"/>
  <c r="C210" i="6"/>
  <c r="C209" i="6"/>
  <c r="C208" i="6"/>
  <c r="C207" i="6"/>
  <c r="C206" i="6"/>
  <c r="C205" i="6"/>
  <c r="C204" i="6"/>
  <c r="C203" i="6"/>
  <c r="C202" i="6"/>
  <c r="C201" i="6"/>
  <c r="C200" i="6"/>
  <c r="C199" i="6"/>
  <c r="C198" i="6"/>
  <c r="C197" i="6"/>
  <c r="C196" i="6"/>
  <c r="C195" i="6"/>
  <c r="C194" i="6"/>
  <c r="C193" i="6"/>
  <c r="C192" i="6"/>
  <c r="C191" i="6"/>
  <c r="C190" i="6"/>
  <c r="C189" i="6"/>
  <c r="C188" i="6"/>
  <c r="C187" i="6"/>
  <c r="C186" i="6"/>
  <c r="C185" i="6"/>
  <c r="C184" i="6"/>
  <c r="C183" i="6"/>
  <c r="C182" i="6"/>
  <c r="C181" i="6"/>
  <c r="C180" i="6"/>
  <c r="C179" i="6"/>
  <c r="C178" i="6"/>
  <c r="C177" i="6"/>
  <c r="C176" i="6"/>
  <c r="C175" i="6"/>
  <c r="C174" i="6"/>
  <c r="C173" i="6"/>
  <c r="C172" i="6"/>
  <c r="C171" i="6"/>
  <c r="C170" i="6"/>
  <c r="C169" i="6"/>
  <c r="C168" i="6"/>
  <c r="C167" i="6"/>
  <c r="C166" i="6"/>
  <c r="C165" i="6"/>
  <c r="C164" i="6"/>
  <c r="C163" i="6"/>
  <c r="C162" i="6"/>
  <c r="C161" i="6"/>
  <c r="C160" i="6"/>
  <c r="C159" i="6"/>
  <c r="C158" i="6"/>
  <c r="C157" i="6"/>
  <c r="C156" i="6"/>
  <c r="C155" i="6"/>
  <c r="C154" i="6"/>
  <c r="C153" i="6"/>
  <c r="C152" i="6"/>
  <c r="C151" i="6"/>
  <c r="C150" i="6"/>
  <c r="C149" i="6"/>
  <c r="C148" i="6"/>
  <c r="C147" i="6"/>
  <c r="C146" i="6"/>
  <c r="B146" i="6"/>
  <c r="B147" i="6" s="1"/>
  <c r="B148" i="6" s="1"/>
  <c r="B149" i="6" s="1"/>
  <c r="B150" i="6" s="1"/>
  <c r="B151" i="6" s="1"/>
  <c r="B152" i="6" s="1"/>
  <c r="B153" i="6" s="1"/>
  <c r="B154" i="6" s="1"/>
  <c r="B155" i="6" s="1"/>
  <c r="B156" i="6" s="1"/>
  <c r="B157" i="6" s="1"/>
  <c r="B158" i="6" s="1"/>
  <c r="B159" i="6" s="1"/>
  <c r="B160" i="6" s="1"/>
  <c r="B161" i="6" s="1"/>
  <c r="B162" i="6" s="1"/>
  <c r="C145" i="6"/>
  <c r="D142" i="6"/>
  <c r="C142" i="6"/>
  <c r="C140" i="6"/>
  <c r="C139" i="6"/>
  <c r="C138" i="6"/>
  <c r="C137" i="6"/>
  <c r="D135" i="6"/>
  <c r="C135" i="6"/>
  <c r="D134" i="6"/>
  <c r="C134" i="6"/>
  <c r="D133" i="6"/>
  <c r="C133" i="6"/>
  <c r="C132" i="6"/>
  <c r="D131" i="6"/>
  <c r="C131" i="6"/>
  <c r="C130" i="6"/>
  <c r="C127" i="6"/>
  <c r="C124" i="6"/>
  <c r="C123" i="6"/>
  <c r="C122" i="6"/>
  <c r="C121" i="6"/>
  <c r="C120" i="6"/>
  <c r="C119" i="6"/>
  <c r="C118" i="6"/>
  <c r="D117" i="6"/>
  <c r="C117" i="6"/>
  <c r="D116" i="6"/>
  <c r="C116" i="6"/>
  <c r="D115" i="6"/>
  <c r="C115" i="6"/>
  <c r="D114" i="6"/>
  <c r="C114" i="6"/>
  <c r="C113" i="6"/>
  <c r="C112" i="6"/>
  <c r="C111" i="6"/>
  <c r="C110" i="6"/>
  <c r="D109" i="6"/>
  <c r="C109" i="6"/>
  <c r="C108" i="6"/>
  <c r="C107" i="6"/>
  <c r="C106" i="6"/>
  <c r="C105" i="6"/>
  <c r="C104" i="6"/>
  <c r="C103" i="6"/>
  <c r="C102" i="6"/>
  <c r="C99" i="6"/>
  <c r="D98" i="6"/>
  <c r="C98" i="6"/>
  <c r="C97" i="6"/>
  <c r="C96" i="6"/>
  <c r="D95" i="6"/>
  <c r="C95" i="6"/>
  <c r="C94" i="6"/>
  <c r="C93" i="6"/>
  <c r="D92" i="6"/>
  <c r="C92" i="6"/>
  <c r="C91" i="6"/>
  <c r="C88" i="6"/>
  <c r="C87" i="6"/>
  <c r="D86" i="6"/>
  <c r="C86" i="6"/>
  <c r="C85" i="6"/>
  <c r="D84" i="6"/>
  <c r="C84" i="6"/>
  <c r="C83" i="6"/>
  <c r="D83" i="6" s="1"/>
  <c r="C82" i="6"/>
  <c r="D82" i="6" s="1"/>
  <c r="C81" i="6"/>
  <c r="C80" i="6"/>
  <c r="D79" i="6"/>
  <c r="C79" i="6"/>
  <c r="C78" i="6"/>
  <c r="D77" i="6"/>
  <c r="C77" i="6"/>
  <c r="D76" i="6"/>
  <c r="C76" i="6"/>
  <c r="C75" i="6"/>
  <c r="C74" i="6"/>
  <c r="D73" i="6"/>
  <c r="C73" i="6"/>
  <c r="C72" i="6"/>
  <c r="C71" i="6"/>
  <c r="C70" i="6"/>
  <c r="C69" i="6"/>
  <c r="D68" i="6"/>
  <c r="C68" i="6"/>
  <c r="C67" i="6"/>
  <c r="C66" i="6"/>
  <c r="C65" i="6"/>
  <c r="C64" i="6"/>
  <c r="C63" i="6"/>
  <c r="C62" i="6"/>
  <c r="C61" i="6"/>
  <c r="C60" i="6"/>
  <c r="C59" i="6"/>
  <c r="C58" i="6"/>
  <c r="C57" i="6"/>
  <c r="C56" i="6"/>
  <c r="C55" i="6"/>
  <c r="C54" i="6"/>
  <c r="D53" i="6"/>
  <c r="C53" i="6"/>
  <c r="D52" i="6"/>
  <c r="C52" i="6"/>
  <c r="C51" i="6"/>
  <c r="C50" i="6"/>
  <c r="D49" i="6"/>
  <c r="C49" i="6"/>
  <c r="D48" i="6"/>
  <c r="C48" i="6"/>
  <c r="D47" i="6"/>
  <c r="C47" i="6"/>
  <c r="C46" i="6"/>
  <c r="C43" i="6"/>
  <c r="C42" i="6"/>
  <c r="C41" i="6"/>
  <c r="C40" i="6"/>
  <c r="C39" i="6"/>
  <c r="C38" i="6"/>
  <c r="C37" i="6"/>
  <c r="D36" i="6"/>
  <c r="C36" i="6"/>
  <c r="D35" i="6"/>
  <c r="C35" i="6"/>
  <c r="D34" i="6"/>
  <c r="C34" i="6"/>
  <c r="B34" i="6"/>
  <c r="D33" i="6"/>
  <c r="C33" i="6"/>
  <c r="B33" i="6"/>
  <c r="D32" i="6"/>
  <c r="C32" i="6"/>
  <c r="B32" i="6"/>
  <c r="D31" i="6"/>
  <c r="C31" i="6"/>
  <c r="B31" i="6"/>
  <c r="D30" i="6"/>
  <c r="C30" i="6"/>
  <c r="D29" i="6"/>
  <c r="C29" i="6"/>
  <c r="D28" i="6"/>
  <c r="C28" i="6"/>
  <c r="C23" i="6"/>
  <c r="C22" i="6"/>
  <c r="C21" i="6"/>
  <c r="C20" i="6"/>
  <c r="C19" i="6"/>
  <c r="C18" i="6"/>
  <c r="C17" i="6"/>
  <c r="C13" i="6"/>
  <c r="B13" i="6"/>
  <c r="C12" i="6"/>
  <c r="B12" i="6"/>
  <c r="C11" i="6"/>
  <c r="B11" i="6"/>
  <c r="C10" i="6"/>
  <c r="B10" i="6"/>
  <c r="C9" i="6"/>
  <c r="B9" i="6"/>
  <c r="C8" i="6"/>
  <c r="B8" i="6"/>
  <c r="C7" i="6"/>
  <c r="B7" i="6"/>
  <c r="C6" i="6"/>
  <c r="B6" i="6"/>
  <c r="C5" i="6"/>
  <c r="B5" i="6"/>
  <c r="C4" i="6"/>
  <c r="B4" i="6"/>
  <c r="B225" i="6" l="1"/>
  <c r="B163" i="6"/>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B224" i="6" s="1"/>
  <c r="C223" i="5" l="1"/>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B144" i="5"/>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1" i="5" s="1"/>
  <c r="B202" i="5" s="1"/>
  <c r="B203" i="5" s="1"/>
  <c r="B204" i="5" s="1"/>
  <c r="B205" i="5" s="1"/>
  <c r="B206" i="5" s="1"/>
  <c r="B207" i="5" s="1"/>
  <c r="B208" i="5" s="1"/>
  <c r="B209" i="5" s="1"/>
  <c r="B210" i="5" s="1"/>
  <c r="B211" i="5" s="1"/>
  <c r="B212" i="5" s="1"/>
  <c r="B213" i="5" s="1"/>
  <c r="B214" i="5" s="1"/>
  <c r="B215" i="5" s="1"/>
  <c r="B216" i="5" s="1"/>
  <c r="B217" i="5" s="1"/>
  <c r="B218" i="5" s="1"/>
  <c r="B219" i="5" s="1"/>
  <c r="B220" i="5" s="1"/>
  <c r="B221" i="5" s="1"/>
  <c r="B222" i="5" s="1"/>
  <c r="B223" i="5" s="1"/>
  <c r="C143" i="5"/>
  <c r="D140" i="5"/>
  <c r="C140" i="5"/>
  <c r="C138" i="5"/>
  <c r="C137" i="5"/>
  <c r="C136" i="5"/>
  <c r="C135" i="5"/>
  <c r="C125" i="5"/>
  <c r="D122" i="5"/>
  <c r="C122" i="5"/>
  <c r="C121" i="5"/>
  <c r="C120" i="5"/>
  <c r="C119" i="5"/>
  <c r="C118" i="5"/>
  <c r="C117" i="5"/>
  <c r="C116" i="5"/>
  <c r="C115" i="5"/>
  <c r="C114" i="5"/>
  <c r="C113" i="5"/>
  <c r="C112" i="5"/>
  <c r="D111" i="5"/>
  <c r="C111" i="5"/>
  <c r="D110" i="5"/>
  <c r="C110" i="5"/>
  <c r="D109" i="5"/>
  <c r="C109" i="5"/>
  <c r="D108" i="5"/>
  <c r="C108" i="5"/>
  <c r="C107" i="5"/>
  <c r="C106" i="5"/>
  <c r="C105" i="5"/>
  <c r="C104" i="5"/>
  <c r="D103" i="5"/>
  <c r="C103" i="5"/>
  <c r="C102" i="5"/>
  <c r="C101" i="5"/>
  <c r="C100" i="5"/>
  <c r="C99" i="5"/>
  <c r="C98" i="5"/>
  <c r="C97" i="5"/>
  <c r="C96" i="5"/>
  <c r="C93" i="5"/>
  <c r="D92" i="5"/>
  <c r="C92" i="5"/>
  <c r="C91" i="5"/>
  <c r="C90" i="5"/>
  <c r="D89" i="5"/>
  <c r="C89" i="5"/>
  <c r="C88" i="5"/>
  <c r="C87" i="5"/>
  <c r="D86" i="5"/>
  <c r="C86" i="5"/>
  <c r="C85" i="5"/>
  <c r="C82" i="5"/>
  <c r="C81" i="5"/>
  <c r="D80" i="5"/>
  <c r="C80" i="5"/>
  <c r="C79" i="5"/>
  <c r="D78" i="5"/>
  <c r="C78" i="5"/>
  <c r="D77" i="5"/>
  <c r="C77" i="5"/>
  <c r="C76" i="5"/>
  <c r="C75" i="5"/>
  <c r="D74" i="5"/>
  <c r="C74" i="5"/>
  <c r="C73" i="5"/>
  <c r="C72" i="5"/>
  <c r="D72" i="5" s="1"/>
  <c r="C71" i="5"/>
  <c r="D71" i="5" s="1"/>
  <c r="C70" i="5"/>
  <c r="C69" i="5"/>
  <c r="D68" i="5"/>
  <c r="C68" i="5"/>
  <c r="C67" i="5"/>
  <c r="C66" i="5"/>
  <c r="C65" i="5"/>
  <c r="C64" i="5"/>
  <c r="D63" i="5"/>
  <c r="C63" i="5"/>
  <c r="C62" i="5"/>
  <c r="C61" i="5"/>
  <c r="C60" i="5"/>
  <c r="C59" i="5"/>
  <c r="C58" i="5"/>
  <c r="C57" i="5"/>
  <c r="C56" i="5"/>
  <c r="C55" i="5"/>
  <c r="C54" i="5"/>
  <c r="C53" i="5"/>
  <c r="C52" i="5"/>
  <c r="C51" i="5"/>
  <c r="C50" i="5"/>
  <c r="C49" i="5"/>
  <c r="D48" i="5"/>
  <c r="C48" i="5"/>
  <c r="D47" i="5"/>
  <c r="C47" i="5"/>
  <c r="C46" i="5"/>
  <c r="C45" i="5"/>
  <c r="D44" i="5"/>
  <c r="C44" i="5"/>
  <c r="D43" i="5"/>
  <c r="C43" i="5"/>
  <c r="D42" i="5"/>
  <c r="C42" i="5"/>
  <c r="C41" i="5"/>
  <c r="C38" i="5"/>
  <c r="C37" i="5"/>
  <c r="C36" i="5"/>
  <c r="C35" i="5"/>
  <c r="C34" i="5"/>
  <c r="C33" i="5"/>
  <c r="C32" i="5"/>
  <c r="D31" i="5"/>
  <c r="C31" i="5"/>
  <c r="D30" i="5"/>
  <c r="C30" i="5"/>
  <c r="D29" i="5"/>
  <c r="C29" i="5"/>
  <c r="D28" i="5"/>
  <c r="C28" i="5"/>
  <c r="C23" i="5"/>
  <c r="C22" i="5"/>
  <c r="C21" i="5"/>
  <c r="C20" i="5"/>
  <c r="C19" i="5"/>
  <c r="C18" i="5"/>
  <c r="C17" i="5" s="1"/>
  <c r="C13" i="5"/>
  <c r="B13" i="5"/>
  <c r="C12" i="5"/>
  <c r="B12" i="5"/>
  <c r="C11" i="5"/>
  <c r="B11" i="5"/>
  <c r="C10" i="5"/>
  <c r="B10" i="5"/>
  <c r="C9" i="5"/>
  <c r="B9" i="5"/>
  <c r="C8" i="5"/>
  <c r="B8" i="5"/>
  <c r="C7" i="5"/>
  <c r="B7" i="5"/>
  <c r="C6" i="5"/>
  <c r="B6" i="5"/>
  <c r="C5" i="5"/>
  <c r="B5" i="5"/>
  <c r="C4" i="5"/>
  <c r="B4" i="5"/>
  <c r="C223" i="4" l="1"/>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B144" i="4"/>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C143" i="4"/>
  <c r="C140" i="4"/>
  <c r="C138" i="4"/>
  <c r="C137" i="4"/>
  <c r="C136" i="4"/>
  <c r="C135" i="4"/>
  <c r="C125"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3" i="4"/>
  <c r="C92" i="4"/>
  <c r="C91" i="4"/>
  <c r="C90" i="4"/>
  <c r="C89" i="4"/>
  <c r="C88" i="4"/>
  <c r="C87" i="4"/>
  <c r="C86" i="4"/>
  <c r="C85"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38" i="4"/>
  <c r="C37" i="4"/>
  <c r="C36" i="4"/>
  <c r="C35" i="4"/>
  <c r="C34" i="4"/>
  <c r="C33" i="4"/>
  <c r="C32" i="4"/>
  <c r="C31" i="4"/>
  <c r="C30" i="4"/>
  <c r="C29" i="4"/>
  <c r="C28" i="4"/>
  <c r="C23" i="4"/>
  <c r="C22" i="4"/>
  <c r="C21" i="4"/>
  <c r="C20" i="4"/>
  <c r="C19" i="4"/>
  <c r="C18" i="4"/>
  <c r="C17" i="4" s="1"/>
  <c r="C13" i="4"/>
  <c r="B13" i="4"/>
  <c r="C12" i="4"/>
  <c r="B12" i="4"/>
  <c r="C11" i="4"/>
  <c r="B11" i="4"/>
  <c r="C10" i="4"/>
  <c r="B10" i="4"/>
  <c r="C9" i="4"/>
  <c r="B9" i="4"/>
  <c r="C8" i="4"/>
  <c r="B8" i="4"/>
  <c r="C7" i="4"/>
  <c r="B7" i="4"/>
  <c r="C6" i="4"/>
  <c r="B6" i="4"/>
  <c r="C5" i="4"/>
  <c r="B5" i="4"/>
  <c r="C4" i="4"/>
  <c r="B4" i="4"/>
  <c r="C225" i="3" l="1"/>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B146" i="3"/>
  <c r="B147" i="3" s="1"/>
  <c r="B148" i="3" s="1"/>
  <c r="B149" i="3" s="1"/>
  <c r="B150" i="3" s="1"/>
  <c r="B151" i="3" s="1"/>
  <c r="B152" i="3" s="1"/>
  <c r="B153" i="3" s="1"/>
  <c r="B154" i="3" s="1"/>
  <c r="B155" i="3" s="1"/>
  <c r="B156" i="3" s="1"/>
  <c r="B157" i="3" s="1"/>
  <c r="B158" i="3" s="1"/>
  <c r="B159" i="3" s="1"/>
  <c r="B160" i="3" s="1"/>
  <c r="B161" i="3" s="1"/>
  <c r="B162" i="3" s="1"/>
  <c r="C145" i="3"/>
  <c r="C142" i="3"/>
  <c r="C140" i="3"/>
  <c r="C139" i="3"/>
  <c r="C138" i="3"/>
  <c r="C137" i="3"/>
  <c r="C135" i="3"/>
  <c r="C134" i="3"/>
  <c r="C133" i="3"/>
  <c r="C132" i="3"/>
  <c r="C131" i="3"/>
  <c r="C130" i="3"/>
  <c r="C127" i="3"/>
  <c r="C124" i="3"/>
  <c r="C123" i="3"/>
  <c r="C122" i="3"/>
  <c r="C121" i="3"/>
  <c r="C120" i="3"/>
  <c r="C119" i="3"/>
  <c r="C118" i="3"/>
  <c r="C117" i="3"/>
  <c r="C116" i="3"/>
  <c r="C115" i="3"/>
  <c r="C114" i="3"/>
  <c r="C113" i="3"/>
  <c r="C112" i="3"/>
  <c r="C111" i="3"/>
  <c r="C110" i="3"/>
  <c r="C109" i="3"/>
  <c r="C108" i="3"/>
  <c r="C107" i="3"/>
  <c r="C106" i="3"/>
  <c r="C105" i="3"/>
  <c r="C104" i="3"/>
  <c r="C103" i="3"/>
  <c r="C102" i="3"/>
  <c r="C99" i="3"/>
  <c r="C98" i="3"/>
  <c r="C97" i="3"/>
  <c r="C96" i="3"/>
  <c r="C95" i="3"/>
  <c r="C94" i="3"/>
  <c r="C93" i="3"/>
  <c r="C92" i="3"/>
  <c r="C91"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3" i="3"/>
  <c r="C42" i="3"/>
  <c r="C41" i="3"/>
  <c r="C40" i="3"/>
  <c r="C39" i="3"/>
  <c r="C38" i="3"/>
  <c r="C37" i="3"/>
  <c r="C36" i="3"/>
  <c r="C35" i="3"/>
  <c r="C34" i="3"/>
  <c r="B34" i="3"/>
  <c r="C33" i="3"/>
  <c r="B33" i="3"/>
  <c r="C32" i="3"/>
  <c r="B32" i="3"/>
  <c r="C31" i="3"/>
  <c r="B31" i="3"/>
  <c r="C30" i="3"/>
  <c r="C29" i="3"/>
  <c r="C28" i="3"/>
  <c r="C23" i="3"/>
  <c r="C22" i="3"/>
  <c r="C21" i="3"/>
  <c r="C20" i="3"/>
  <c r="C19" i="3"/>
  <c r="C18" i="3"/>
  <c r="C17" i="3"/>
  <c r="C13" i="3"/>
  <c r="B13" i="3"/>
  <c r="C12" i="3"/>
  <c r="B12" i="3"/>
  <c r="C11" i="3"/>
  <c r="B11" i="3"/>
  <c r="C10" i="3"/>
  <c r="B10" i="3"/>
  <c r="C9" i="3"/>
  <c r="B9" i="3"/>
  <c r="C8" i="3"/>
  <c r="B8" i="3"/>
  <c r="C7" i="3"/>
  <c r="B7" i="3"/>
  <c r="C6" i="3"/>
  <c r="B6" i="3"/>
  <c r="C5" i="3"/>
  <c r="B5" i="3"/>
  <c r="C4" i="3"/>
  <c r="B4" i="3"/>
  <c r="B225" i="3" l="1"/>
  <c r="B163" i="3"/>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C223" i="2" l="1"/>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B144" i="2"/>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C143" i="2"/>
  <c r="C140" i="2"/>
  <c r="C138" i="2"/>
  <c r="C137" i="2"/>
  <c r="C136" i="2"/>
  <c r="C135" i="2"/>
  <c r="C125"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3" i="2"/>
  <c r="C92" i="2"/>
  <c r="C91" i="2"/>
  <c r="C90" i="2"/>
  <c r="C89" i="2"/>
  <c r="C88" i="2"/>
  <c r="C87" i="2"/>
  <c r="C86" i="2"/>
  <c r="C85"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38" i="2"/>
  <c r="C37" i="2"/>
  <c r="C36" i="2"/>
  <c r="C35" i="2"/>
  <c r="C34" i="2"/>
  <c r="C33" i="2"/>
  <c r="C32" i="2"/>
  <c r="C31" i="2"/>
  <c r="C30" i="2"/>
  <c r="C29" i="2"/>
  <c r="C28" i="2"/>
  <c r="C23" i="2"/>
  <c r="C22" i="2"/>
  <c r="C21" i="2"/>
  <c r="C20" i="2"/>
  <c r="C19" i="2"/>
  <c r="C18" i="2"/>
  <c r="C17" i="2" s="1"/>
  <c r="C13" i="2"/>
  <c r="B13" i="2"/>
  <c r="C12" i="2"/>
  <c r="B12" i="2"/>
  <c r="C11" i="2"/>
  <c r="B11" i="2"/>
  <c r="C10" i="2"/>
  <c r="B10" i="2"/>
  <c r="C9" i="2"/>
  <c r="B9" i="2"/>
  <c r="C8" i="2"/>
  <c r="B8" i="2"/>
  <c r="C7" i="2"/>
  <c r="B7" i="2"/>
  <c r="C6" i="2"/>
  <c r="B6" i="2"/>
  <c r="C5" i="2"/>
  <c r="B5" i="2"/>
  <c r="C4" i="2"/>
  <c r="B4" i="2"/>
  <c r="C223" i="1" l="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B144" i="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C143" i="1"/>
  <c r="C140" i="1"/>
  <c r="C138" i="1"/>
  <c r="C137" i="1"/>
  <c r="C136" i="1"/>
  <c r="C135" i="1"/>
  <c r="C125"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3" i="1"/>
  <c r="C92" i="1"/>
  <c r="C91" i="1"/>
  <c r="C90" i="1"/>
  <c r="C89" i="1"/>
  <c r="C88" i="1"/>
  <c r="C87" i="1"/>
  <c r="C86" i="1"/>
  <c r="C85"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38" i="1"/>
  <c r="C37" i="1"/>
  <c r="C36" i="1"/>
  <c r="C35" i="1"/>
  <c r="C34" i="1"/>
  <c r="C33" i="1"/>
  <c r="C32" i="1"/>
  <c r="C31" i="1"/>
  <c r="C30" i="1"/>
  <c r="C29" i="1"/>
  <c r="C28" i="1"/>
  <c r="C23" i="1"/>
  <c r="C22" i="1"/>
  <c r="C21" i="1"/>
  <c r="C20" i="1"/>
  <c r="C19" i="1"/>
  <c r="C18" i="1"/>
  <c r="C17" i="1" s="1"/>
  <c r="C13" i="1"/>
  <c r="B13" i="1"/>
  <c r="C12" i="1"/>
  <c r="B12" i="1"/>
  <c r="C11" i="1"/>
  <c r="B11" i="1"/>
  <c r="C10" i="1"/>
  <c r="B10" i="1"/>
  <c r="C9" i="1"/>
  <c r="B9" i="1"/>
  <c r="C8" i="1"/>
  <c r="B8" i="1"/>
  <c r="C7" i="1"/>
  <c r="B7" i="1"/>
  <c r="C6" i="1"/>
  <c r="B6" i="1"/>
  <c r="C5" i="1"/>
  <c r="B5" i="1"/>
  <c r="C4" i="1"/>
  <c r="B4" i="1"/>
</calcChain>
</file>

<file path=xl/sharedStrings.xml><?xml version="1.0" encoding="utf-8"?>
<sst xmlns="http://schemas.openxmlformats.org/spreadsheetml/2006/main" count="4821" uniqueCount="278">
  <si>
    <t>Предельный уровень цены на тепловую энергию (мощность), рассчитанный в соответствии с частью 1 статьи 23.6 Федерального закона от 27.07.2010 № 190-ФЗ "О теплоснабжении" и Постановлением № 1562, а также сведения о параметрах, использованных при расчете</t>
  </si>
  <si>
    <t>Дата:</t>
  </si>
  <si>
    <t>Информация о системе теплоснабжения, в отношении которой выполняется расчет:</t>
  </si>
  <si>
    <t>Предельный уровень цены на тепловую энергию (мощность) и его составляющие, обеспечивающие компенсацию расходов:</t>
  </si>
  <si>
    <t>№пп</t>
  </si>
  <si>
    <t>Наименование</t>
  </si>
  <si>
    <t>Значения</t>
  </si>
  <si>
    <t>Уровень цены на тепловую энергию (мощность) без НДС, руб./Гкал</t>
  </si>
  <si>
    <t>1.1</t>
  </si>
  <si>
    <r>
      <t>Составляющая предельного уровня цены на тепловую энергию (мощность), обеспечивающая компенсацию расходов на топливо при производстве тепловой энергии котельной в i-м расчетном периоде регулирования, руб./Гкал (</t>
    </r>
    <r>
      <rPr>
        <b/>
        <sz val="11"/>
        <color theme="1"/>
        <rFont val="Tahoma"/>
        <family val="2"/>
        <charset val="204"/>
      </rPr>
      <t>РТ</t>
    </r>
    <r>
      <rPr>
        <b/>
        <vertAlign val="subscript"/>
        <sz val="11"/>
        <color theme="1"/>
        <rFont val="Tahoma"/>
        <family val="2"/>
        <charset val="204"/>
      </rPr>
      <t>i</t>
    </r>
    <r>
      <rPr>
        <sz val="10"/>
        <color theme="1"/>
        <rFont val="Tahoma"/>
        <family val="2"/>
        <charset val="204"/>
      </rPr>
      <t>)</t>
    </r>
  </si>
  <si>
    <t>1.2</t>
  </si>
  <si>
    <r>
      <t>Составляющая предельного уровня цены на тепловую энергию (мощность), обеспечивающая возврат капитальных затрат на строительство котельной и тепловых сетей в i-м расчетном периоде регулирования, руб./Гкал (</t>
    </r>
    <r>
      <rPr>
        <b/>
        <sz val="11"/>
        <color theme="1"/>
        <rFont val="Tahoma"/>
        <family val="2"/>
        <charset val="204"/>
      </rPr>
      <t>КР</t>
    </r>
    <r>
      <rPr>
        <b/>
        <vertAlign val="subscript"/>
        <sz val="11"/>
        <color theme="1"/>
        <rFont val="Tahoma"/>
        <family val="2"/>
        <charset val="204"/>
      </rPr>
      <t>i</t>
    </r>
    <r>
      <rPr>
        <sz val="10"/>
        <color theme="1"/>
        <rFont val="Tahoma"/>
        <family val="2"/>
        <charset val="204"/>
      </rPr>
      <t>)</t>
    </r>
  </si>
  <si>
    <t>1.3</t>
  </si>
  <si>
    <r>
      <t>Составляющая предельного уровня цены на тепловую энергию (мощность), обеспечивающая компенсацию расходов на уплату налогов в i-м расчетном периоде регулирования (</t>
    </r>
    <r>
      <rPr>
        <b/>
        <sz val="11"/>
        <color theme="1"/>
        <rFont val="Tahoma"/>
        <family val="2"/>
        <charset val="204"/>
      </rPr>
      <t>Н</t>
    </r>
    <r>
      <rPr>
        <b/>
        <vertAlign val="subscript"/>
        <sz val="11"/>
        <color theme="1"/>
        <rFont val="Tahoma"/>
        <family val="2"/>
        <charset val="204"/>
      </rPr>
      <t>i</t>
    </r>
    <r>
      <rPr>
        <sz val="10"/>
        <color theme="1"/>
        <rFont val="Tahoma"/>
        <family val="2"/>
        <charset val="204"/>
      </rPr>
      <t>)</t>
    </r>
  </si>
  <si>
    <t>1.4</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</si>
  <si>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0"/>
        <color theme="1"/>
        <rFont val="Tahoma"/>
        <family val="2"/>
        <charset val="204"/>
      </rPr>
      <t>)</t>
    </r>
  </si>
  <si>
    <t>1.5</t>
  </si>
  <si>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0"/>
        <color theme="1"/>
        <rFont val="Tahoma"/>
        <family val="2"/>
        <charset val="204"/>
      </rPr>
      <t>)</t>
    </r>
  </si>
  <si>
    <t>1.6</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</si>
  <si>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0"/>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0"/>
        <color theme="1"/>
        <rFont val="Tahoma"/>
        <family val="2"/>
        <charset val="204"/>
      </rPr>
      <t>)</t>
    </r>
  </si>
  <si>
    <t>Параметры, использованные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i-м расчетном периоде регулирования</t>
  </si>
  <si>
    <t>Низшая теплота сгорания натурального топлива (угля), ккал/кг</t>
  </si>
  <si>
    <r>
      <t>Фактическая цена на топливо (уголь),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 / т н.т.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</si>
  <si>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r>
      <t>Прогнозный индекс роста цены на топливо в (i-1)-м расчетном периоде регулирования, % (</t>
    </r>
    <r>
      <rPr>
        <b/>
        <sz val="11"/>
        <color theme="1"/>
        <rFont val="Tahoma"/>
        <family val="2"/>
        <charset val="204"/>
      </rPr>
      <t>I</t>
    </r>
    <r>
      <rPr>
        <b/>
        <vertAlign val="subscript"/>
        <sz val="11"/>
        <color theme="1"/>
        <rFont val="Tahoma"/>
        <family val="2"/>
        <charset val="204"/>
      </rPr>
      <t>i-1,k</t>
    </r>
    <r>
      <rPr>
        <b/>
        <vertAlign val="superscript"/>
        <sz val="11"/>
        <color theme="1"/>
        <rFont val="Tahoma"/>
        <family val="2"/>
        <charset val="204"/>
      </rPr>
      <t>П</t>
    </r>
    <r>
      <rPr>
        <sz val="10"/>
        <color theme="1"/>
        <rFont val="Tahoma"/>
        <family val="2"/>
        <charset val="204"/>
      </rPr>
      <t>)</t>
    </r>
  </si>
  <si>
    <r>
      <t>Прогнозный индекс роста цены на топливо в i-м расчетном периоде регулирования, % (</t>
    </r>
    <r>
      <rPr>
        <b/>
        <sz val="11"/>
        <color theme="1"/>
        <rFont val="Tahoma"/>
        <family val="2"/>
        <charset val="204"/>
      </rPr>
      <t>I</t>
    </r>
    <r>
      <rPr>
        <b/>
        <vertAlign val="subscript"/>
        <sz val="11"/>
        <color theme="1"/>
        <rFont val="Tahoma"/>
        <family val="2"/>
        <charset val="204"/>
      </rPr>
      <t>i,k</t>
    </r>
    <r>
      <rPr>
        <b/>
        <vertAlign val="superscript"/>
        <sz val="11"/>
        <color theme="1"/>
        <rFont val="Tahoma"/>
        <family val="2"/>
        <charset val="204"/>
      </rPr>
      <t>П</t>
    </r>
    <r>
      <rPr>
        <sz val="10"/>
        <color theme="1"/>
        <rFont val="Tahoma"/>
        <family val="2"/>
        <charset val="204"/>
      </rPr>
      <t>)</t>
    </r>
  </si>
  <si>
    <r>
      <t>Удельный расход условного топлива при производстве тепловой энергии котельной с использованием угля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</si>
  <si>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t>Низшая теплота сгорания 1 кг условного топлива</t>
  </si>
  <si>
    <t>1.7</t>
  </si>
  <si>
    <r>
      <t>Коэффициент перевода натурального топлива в условное топливо, кг у.т./кг (</t>
    </r>
    <r>
      <rPr>
        <b/>
        <sz val="11"/>
        <color theme="1"/>
        <rFont val="Tahoma"/>
        <family val="2"/>
        <charset val="204"/>
      </rPr>
      <t>К</t>
    </r>
    <r>
      <rPr>
        <sz val="10"/>
        <color theme="1"/>
        <rFont val="Tahoma"/>
        <family val="2"/>
        <charset val="204"/>
      </rPr>
      <t>)</t>
    </r>
  </si>
  <si>
    <t>1.8</t>
  </si>
  <si>
    <r>
      <t>Объем отпуска тепловой энергии с коллекторов котельной (</t>
    </r>
    <r>
      <rPr>
        <b/>
        <sz val="11"/>
        <rFont val="Tahoma"/>
        <family val="2"/>
        <charset val="204"/>
      </rPr>
      <t>Q</t>
    </r>
    <r>
      <rPr>
        <b/>
        <vertAlign val="superscript"/>
        <sz val="11"/>
        <rFont val="Tahoma"/>
        <family val="2"/>
        <charset val="204"/>
      </rPr>
      <t>ОТП</t>
    </r>
    <r>
      <rPr>
        <sz val="10"/>
        <rFont val="Tahoma"/>
        <family val="2"/>
        <charset val="204"/>
      </rPr>
      <t>)</t>
    </r>
  </si>
  <si>
    <t>1.8.1</t>
  </si>
  <si>
    <r>
      <t>Объем полезного отпуска тепловой энергии котельной (</t>
    </r>
    <r>
      <rPr>
        <b/>
        <sz val="11"/>
        <color theme="1"/>
        <rFont val="Tahoma"/>
        <family val="2"/>
        <charset val="204"/>
      </rPr>
      <t>Q</t>
    </r>
    <r>
      <rPr>
        <b/>
        <vertAlign val="superscript"/>
        <sz val="11"/>
        <color theme="1"/>
        <rFont val="Tahoma"/>
        <family val="2"/>
        <charset val="204"/>
      </rPr>
      <t>ПО</t>
    </r>
    <r>
      <rPr>
        <sz val="10"/>
        <color theme="1"/>
        <rFont val="Tahoma"/>
        <family val="2"/>
        <charset val="204"/>
      </rPr>
      <t>)</t>
    </r>
  </si>
  <si>
    <t>1.8.2</t>
  </si>
  <si>
    <r>
      <t>Коэффициент учета потерь тепловой энергии в тепловых сетях(</t>
    </r>
    <r>
      <rPr>
        <b/>
        <i/>
        <sz val="10"/>
        <color theme="1"/>
        <rFont val="Tahoma"/>
        <family val="2"/>
        <charset val="204"/>
      </rPr>
      <t>К</t>
    </r>
    <r>
      <rPr>
        <b/>
        <i/>
        <vertAlign val="superscript"/>
        <sz val="10"/>
        <color theme="1"/>
        <rFont val="Tahoma"/>
        <family val="2"/>
        <charset val="204"/>
      </rPr>
      <t>П</t>
    </r>
    <r>
      <rPr>
        <i/>
        <sz val="10"/>
        <color theme="1"/>
        <rFont val="Tahoma"/>
        <family val="2"/>
        <charset val="204"/>
      </rPr>
      <t>)</t>
    </r>
  </si>
  <si>
    <t>1.9</t>
  </si>
  <si>
    <r>
      <t>Коэффициент учета стоимости транспортных услуг, оказываемых на подъездных железнодорожных путях организациями промышленного железнодорожного транспорта и другими хозяйствующими субъектами независимо от организационно-правовой формы, за исключением организаций федерального железнодорожного транспорта (</t>
    </r>
    <r>
      <rPr>
        <b/>
        <i/>
        <sz val="10"/>
        <color theme="1"/>
        <rFont val="Tahoma"/>
        <family val="2"/>
        <charset val="204"/>
      </rPr>
      <t>К</t>
    </r>
    <r>
      <rPr>
        <b/>
        <i/>
        <vertAlign val="superscript"/>
        <sz val="10"/>
        <color theme="1"/>
        <rFont val="Tahoma"/>
        <family val="2"/>
        <charset val="204"/>
      </rPr>
      <t>ппжт</t>
    </r>
    <r>
      <rPr>
        <i/>
        <sz val="10"/>
        <color theme="1"/>
        <rFont val="Tahoma"/>
        <family val="2"/>
        <charset val="204"/>
      </rPr>
      <t xml:space="preserve">) </t>
    </r>
  </si>
  <si>
    <t>2</t>
  </si>
  <si>
    <t>Параметры, использованные при расчете составляющей предельного уровня цены на тепловую энергию (мощность), обеспечивающей возврат капитальных затрат на строительство котельной и тепловых сетей в i-м расчетном периоде регулирования</t>
  </si>
  <si>
    <t>2.1</t>
  </si>
  <si>
    <t>Температурная зона, к которой относится поселение или городской округ, на территории которого находится система теплоснабжения</t>
  </si>
  <si>
    <t>2.2</t>
  </si>
  <si>
    <t>Степень сейсмической опасности сейсмического района, к которому относится поселение или городской округ, на территории которого находится система теплоснабжения</t>
  </si>
  <si>
    <t>2.3</t>
  </si>
  <si>
    <t>Расстояние от границы системы теплоснабжения до границы ближайшего административного центра субъекта Российской Федерации с железнодорожным сообщением, км</t>
  </si>
  <si>
    <t>2.4</t>
  </si>
  <si>
    <t>Поселение, городской округ, на территории которого находится система теплоснабжения, отнесено к территории распространения вечномерзлых грунтов?</t>
  </si>
  <si>
    <t>2.5</t>
  </si>
  <si>
    <r>
      <t>Величина капитальных затрат на строительство тепловых сетей в i-м расчетном периоде регулирования, тыс. руб. (</t>
    </r>
    <r>
      <rPr>
        <b/>
        <sz val="11"/>
        <color theme="1"/>
        <rFont val="Tahoma"/>
        <family val="2"/>
        <charset val="204"/>
      </rPr>
      <t>КЗ</t>
    </r>
    <r>
      <rPr>
        <b/>
        <vertAlign val="subscript"/>
        <sz val="11"/>
        <color theme="1"/>
        <rFont val="Tahoma"/>
        <family val="2"/>
        <charset val="204"/>
      </rPr>
      <t>i</t>
    </r>
    <r>
      <rPr>
        <b/>
        <vertAlign val="superscript"/>
        <sz val="11"/>
        <color theme="1"/>
        <rFont val="Tahoma"/>
        <family val="2"/>
        <charset val="204"/>
      </rPr>
      <t>сети</t>
    </r>
    <r>
      <rPr>
        <sz val="10"/>
        <color theme="1"/>
        <rFont val="Tahoma"/>
        <family val="2"/>
        <charset val="204"/>
      </rPr>
      <t>)</t>
    </r>
  </si>
  <si>
    <t>2.5.1</t>
  </si>
  <si>
    <r>
      <t xml:space="preserve">Базовая величина капитальных затрат на строительство тепловых сетей в базовом (2019) году, тыс. руб. </t>
    </r>
    <r>
      <rPr>
        <sz val="11"/>
        <color theme="1"/>
        <rFont val="Tahoma"/>
        <family val="2"/>
        <charset val="204"/>
      </rPr>
      <t>(</t>
    </r>
    <r>
      <rPr>
        <b/>
        <sz val="11"/>
        <color theme="1"/>
        <rFont val="Tahoma"/>
        <family val="2"/>
        <charset val="204"/>
      </rPr>
      <t>КЗ</t>
    </r>
    <r>
      <rPr>
        <b/>
        <vertAlign val="subscript"/>
        <sz val="11"/>
        <color theme="1"/>
        <rFont val="Tahoma"/>
        <family val="2"/>
        <charset val="204"/>
      </rPr>
      <t>б</t>
    </r>
    <r>
      <rPr>
        <b/>
        <vertAlign val="superscript"/>
        <sz val="11"/>
        <color theme="1"/>
        <rFont val="Tahoma"/>
        <family val="2"/>
        <charset val="204"/>
      </rPr>
      <t>сети(б)</t>
    </r>
    <r>
      <rPr>
        <sz val="11"/>
        <color theme="1"/>
        <rFont val="Tahoma"/>
        <family val="2"/>
        <charset val="204"/>
      </rPr>
      <t>)</t>
    </r>
  </si>
  <si>
    <t>2.5.1.1</t>
  </si>
  <si>
    <t>Расчетная температура наружного воздуха, которая соответствует температуре воздуха наиболее холодной пятидневки, в поселении, городском округе,°C</t>
  </si>
  <si>
    <t>2.5.1.2</t>
  </si>
  <si>
    <t>Поселение, городской округ, на территории которого находится система теплоснабжения, отнесено к районам Крайнего Севера или местностям, приравненным к районам Крайнего Севера?</t>
  </si>
  <si>
    <t>2.5.1.3</t>
  </si>
  <si>
    <r>
      <t>Сметная стоимость строительно-монтажных и пусконаладочных работ по объекту строительства "Внешние инженерные сети теплоснабжения", учитывающая прямые затраты, накладные расходы и сметную прибыль, в ценах 2001 года,тыс. рублей (</t>
    </r>
    <r>
      <rPr>
        <b/>
        <i/>
        <sz val="10"/>
        <color indexed="8"/>
        <rFont val="Tahoma"/>
        <family val="2"/>
        <charset val="204"/>
      </rPr>
      <t>Р</t>
    </r>
    <r>
      <rPr>
        <i/>
        <sz val="10"/>
        <color indexed="8"/>
        <rFont val="Tahoma"/>
        <family val="2"/>
        <charset val="204"/>
      </rPr>
      <t>)</t>
    </r>
  </si>
  <si>
    <t>2.5.1.4</t>
  </si>
  <si>
    <r>
      <t>Индекс изменения сметной стоимости строительно-монтажных и пусконаладочных работ по объекту строительства "Внешние инженерные сети теплоснабжения" на базовый год (</t>
    </r>
    <r>
      <rPr>
        <b/>
        <i/>
        <sz val="10"/>
        <color theme="1"/>
        <rFont val="Tahoma"/>
        <family val="2"/>
        <charset val="204"/>
      </rPr>
      <t>И</t>
    </r>
    <r>
      <rPr>
        <i/>
        <sz val="10"/>
        <color theme="1"/>
        <rFont val="Tahoma"/>
        <family val="2"/>
        <charset val="204"/>
      </rPr>
      <t>)</t>
    </r>
  </si>
  <si>
    <t>2.5.1.5</t>
  </si>
  <si>
    <r>
      <t>Коэффициент, применяемый для учета повышенной нормы накладных расходов к индексам изменения сметной стоимости строительно-монтажных и пусконаладочных работ в базовом году в случае отнесения поселения, городского округа к районам Крайнего Севера или местностям, приравненным к районам Крайнего Севера (</t>
    </r>
    <r>
      <rPr>
        <b/>
        <sz val="10"/>
        <color theme="1"/>
        <rFont val="Tahoma"/>
        <family val="2"/>
        <charset val="204"/>
      </rPr>
      <t>К</t>
    </r>
    <r>
      <rPr>
        <b/>
        <vertAlign val="superscript"/>
        <sz val="10"/>
        <color theme="1"/>
        <rFont val="Tahoma"/>
        <family val="2"/>
        <charset val="204"/>
      </rPr>
      <t>кс</t>
    </r>
    <r>
      <rPr>
        <sz val="10"/>
        <color theme="1"/>
        <rFont val="Tahoma"/>
        <family val="2"/>
        <charset val="204"/>
      </rPr>
      <t>)</t>
    </r>
  </si>
  <si>
    <t>2.5.1.6</t>
  </si>
  <si>
    <r>
      <t>Базовая величина капитальных затрат на основные средства тепловых сетей в базовом году, тыс.рублей (</t>
    </r>
    <r>
      <rPr>
        <b/>
        <i/>
        <sz val="10"/>
        <color theme="1"/>
        <rFont val="Tahoma"/>
        <family val="2"/>
        <charset val="204"/>
      </rPr>
      <t>КЗО</t>
    </r>
    <r>
      <rPr>
        <b/>
        <i/>
        <vertAlign val="subscript"/>
        <sz val="10"/>
        <color theme="1"/>
        <rFont val="Tahoma"/>
        <family val="2"/>
        <charset val="204"/>
      </rPr>
      <t>б</t>
    </r>
    <r>
      <rPr>
        <b/>
        <i/>
        <vertAlign val="superscript"/>
        <sz val="10"/>
        <color theme="1"/>
        <rFont val="Tahoma"/>
        <family val="2"/>
        <charset val="204"/>
      </rPr>
      <t>сети(б)</t>
    </r>
    <r>
      <rPr>
        <i/>
        <sz val="10"/>
        <color theme="1"/>
        <rFont val="Tahoma"/>
        <family val="2"/>
        <charset val="204"/>
      </rPr>
      <t>)</t>
    </r>
  </si>
  <si>
    <t>2.5.1.7</t>
  </si>
  <si>
    <r>
      <t>Сметная норма дополнительных затрат по виду строительства "Энергетическое строительство. Тепловые сети",% (</t>
    </r>
    <r>
      <rPr>
        <b/>
        <sz val="10"/>
        <color theme="1"/>
        <rFont val="Tahoma"/>
        <family val="2"/>
        <charset val="204"/>
      </rPr>
      <t>z</t>
    </r>
    <r>
      <rPr>
        <sz val="10"/>
        <color theme="1"/>
        <rFont val="Tahoma"/>
        <family val="2"/>
        <charset val="204"/>
      </rPr>
      <t>)</t>
    </r>
  </si>
  <si>
    <t>2.5.1.8</t>
  </si>
  <si>
    <r>
      <t>Коэффициент к сметным нормам по видам строительства (</t>
    </r>
    <r>
      <rPr>
        <b/>
        <sz val="10"/>
        <color theme="1"/>
        <rFont val="Tahoma"/>
        <family val="2"/>
        <charset val="204"/>
      </rPr>
      <t>h</t>
    </r>
    <r>
      <rPr>
        <sz val="10"/>
        <color theme="1"/>
        <rFont val="Tahoma"/>
        <family val="2"/>
        <charset val="204"/>
      </rPr>
      <t>)</t>
    </r>
  </si>
  <si>
    <t>2.5.2</t>
  </si>
  <si>
    <r>
      <t>Коэффициент сейсмического влияния для тепловых сетей (</t>
    </r>
    <r>
      <rPr>
        <b/>
        <i/>
        <sz val="11"/>
        <color theme="1"/>
        <rFont val="Tahoma"/>
        <family val="2"/>
        <charset val="204"/>
      </rPr>
      <t>К</t>
    </r>
    <r>
      <rPr>
        <b/>
        <i/>
        <vertAlign val="superscript"/>
        <sz val="11"/>
        <color theme="1"/>
        <rFont val="Tahoma"/>
        <family val="2"/>
        <charset val="204"/>
      </rPr>
      <t>сети,с</t>
    </r>
    <r>
      <rPr>
        <i/>
        <sz val="10"/>
        <color theme="1"/>
        <rFont val="Tahoma"/>
        <family val="2"/>
        <charset val="204"/>
      </rPr>
      <t>)</t>
    </r>
  </si>
  <si>
    <t>2.6</t>
  </si>
  <si>
    <r>
      <t>Величина капитальных затрат на строительство котельной с использованием угля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</si>
  <si>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t>2.6.1</t>
  </si>
  <si>
    <r>
      <t>Базовая величина капитальных затрат на строительство котельной с использованием угля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</si>
  <si>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2.6.2</t>
  </si>
  <si>
    <r>
      <t>Коэффициент температурной зоны для котельной (</t>
    </r>
    <r>
      <rPr>
        <b/>
        <i/>
        <sz val="11"/>
        <color theme="1"/>
        <rFont val="Tahoma"/>
        <family val="2"/>
        <charset val="204"/>
      </rPr>
      <t>К</t>
    </r>
    <r>
      <rPr>
        <b/>
        <i/>
        <vertAlign val="superscript"/>
        <sz val="11"/>
        <color theme="1"/>
        <rFont val="Tahoma"/>
        <family val="2"/>
        <charset val="204"/>
      </rPr>
      <t>кот,т</t>
    </r>
    <r>
      <rPr>
        <i/>
        <sz val="10"/>
        <color theme="1"/>
        <rFont val="Tahoma"/>
        <family val="2"/>
        <charset val="204"/>
      </rPr>
      <t>)</t>
    </r>
  </si>
  <si>
    <t>2.6.3</t>
  </si>
  <si>
    <r>
      <t>Коэффициент сейсмического влияния для котельной(</t>
    </r>
    <r>
      <rPr>
        <b/>
        <i/>
        <sz val="11"/>
        <color theme="1"/>
        <rFont val="Tahoma"/>
        <family val="2"/>
        <charset val="204"/>
      </rPr>
      <t>К</t>
    </r>
    <r>
      <rPr>
        <b/>
        <i/>
        <vertAlign val="superscript"/>
        <sz val="11"/>
        <color theme="1"/>
        <rFont val="Tahoma"/>
        <family val="2"/>
        <charset val="204"/>
      </rPr>
      <t>кот,с</t>
    </r>
    <r>
      <rPr>
        <i/>
        <sz val="10"/>
        <color theme="1"/>
        <rFont val="Tahoma"/>
        <family val="2"/>
        <charset val="204"/>
      </rPr>
      <t>)</t>
    </r>
  </si>
  <si>
    <t>2.6.4</t>
  </si>
  <si>
    <r>
      <t>Коэффициент влияния расстояния на транспортировку основных средств котельной (</t>
    </r>
    <r>
      <rPr>
        <b/>
        <i/>
        <sz val="11"/>
        <color theme="1"/>
        <rFont val="Tahoma"/>
        <family val="2"/>
        <charset val="204"/>
      </rPr>
      <t>К</t>
    </r>
    <r>
      <rPr>
        <b/>
        <i/>
        <vertAlign val="subscript"/>
        <sz val="11"/>
        <color theme="1"/>
        <rFont val="Tahoma"/>
        <family val="2"/>
        <charset val="204"/>
      </rPr>
      <t>тр</t>
    </r>
    <r>
      <rPr>
        <i/>
        <sz val="10"/>
        <color theme="1"/>
        <rFont val="Tahoma"/>
        <family val="2"/>
        <charset val="204"/>
      </rPr>
      <t>)</t>
    </r>
  </si>
  <si>
    <t>2.6.5</t>
  </si>
  <si>
    <r>
      <t>Срок возврата инвестированного капитала, лет (</t>
    </r>
    <r>
      <rPr>
        <b/>
        <i/>
        <sz val="11"/>
        <color theme="1"/>
        <rFont val="Tahoma"/>
        <family val="2"/>
        <charset val="204"/>
      </rPr>
      <t>СВК</t>
    </r>
    <r>
      <rPr>
        <i/>
        <sz val="10"/>
        <color theme="1"/>
        <rFont val="Tahoma"/>
        <family val="2"/>
        <charset val="204"/>
      </rPr>
      <t>)</t>
    </r>
  </si>
  <si>
    <t>2.7</t>
  </si>
  <si>
    <r>
      <t>Стоимость земельного участка для размещения котельной в i-м расчетном периоде регулирования, тыс.руб. (</t>
    </r>
    <r>
      <rPr>
        <b/>
        <sz val="11"/>
        <color theme="1"/>
        <rFont val="Tahoma"/>
        <family val="2"/>
        <charset val="204"/>
      </rPr>
      <t>З</t>
    </r>
    <r>
      <rPr>
        <b/>
        <vertAlign val="subscript"/>
        <sz val="11"/>
        <color theme="1"/>
        <rFont val="Tahoma"/>
        <family val="2"/>
        <charset val="204"/>
      </rPr>
      <t>i,k</t>
    </r>
    <r>
      <rPr>
        <sz val="10"/>
        <color theme="1"/>
        <rFont val="Tahoma"/>
        <family val="2"/>
        <charset val="204"/>
      </rPr>
      <t>)</t>
    </r>
  </si>
  <si>
    <t>2.7.1</t>
  </si>
  <si>
    <r>
      <t>Удельная базовая стоимость земельного участка,тыс.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</si>
  <si>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t>2.7.2</t>
  </si>
  <si>
    <r>
      <t>Площадь земельного участка для размещения котельной с использованием угля,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</si>
  <si>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t>2.8</t>
  </si>
  <si>
    <r>
      <t>Затраты на подключение (технологическое присоединение) котельной с использованием угля к электрическим сетям, к централизованной системе водоснабжения и водоотведения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</si>
  <si>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t>2.8.1</t>
  </si>
  <si>
    <r>
      <t>Базовая величина затрат на подключение (технологическое присоединение) котельной с использованием угля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</si>
  <si>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t>2.8.2</t>
  </si>
  <si>
    <r>
      <t>Затраты на подключение (технологическое присоединение) котельной к централизованной системе водоснабжения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вс</t>
    </r>
    <r>
      <rPr>
        <sz val="10"/>
        <color theme="1"/>
        <rFont val="Tahoma"/>
        <family val="2"/>
        <charset val="204"/>
      </rPr>
      <t>)</t>
    </r>
  </si>
  <si>
    <t>2.8.2.1</t>
  </si>
  <si>
    <t>Гарантирующая организация в сфере холодного водоснабжения, обеспечивающая максимальный объем отпуска воды в поселении, городском округе, на территории которого находится система теплоснабжения</t>
  </si>
  <si>
    <t>2.8.2.2</t>
  </si>
  <si>
    <t>Величина подключаемой (технологически присоединяемой) нагрузки к централизованной системе водоснабжения, куб. м/сут</t>
  </si>
  <si>
    <t>2.8.2.3</t>
  </si>
  <si>
    <t>Протяженность сетей от котельной до места подключения к централизованной системе водоснабжения и водоотведения, м</t>
  </si>
  <si>
    <t>2.8.2.4</t>
  </si>
  <si>
    <t>Ставка тарифа за подключаемую (технологически присоединяемую) нагрузку водопроводной сети, действующая на день окончания базового (2019) года, без НДС, руб./куб. м/сут</t>
  </si>
  <si>
    <t>2.8.2.5</t>
  </si>
  <si>
    <t>Ставка тарифа за расстояние от точки подключения (технологического присоединения) котельной до точки подключения водопроводных сетей к централизованной системе водоснабжения, действующих на день окончания базового (2019) года, без НДС, руб./м</t>
  </si>
  <si>
    <t>2.8.3</t>
  </si>
  <si>
    <r>
      <t>Затраты на подключение (технологическое присоединение) котельной к централизованной системе водоотведения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во</t>
    </r>
    <r>
      <rPr>
        <sz val="10"/>
        <color theme="1"/>
        <rFont val="Tahoma"/>
        <family val="2"/>
        <charset val="204"/>
      </rPr>
      <t>)</t>
    </r>
  </si>
  <si>
    <t>2.8.3.1</t>
  </si>
  <si>
    <t>Гарантирующая организация в сфере холодного водоотведения, обеспечивающая максимальный объем принятых сточных вод в поселении, городском округе, на территории которого находится система теплоснабжения</t>
  </si>
  <si>
    <t>2.8.3.2</t>
  </si>
  <si>
    <t>Величина подключаемой (технологически присоединяемой) нагрузки к централизованной системе водоотведения, куб. м/сут</t>
  </si>
  <si>
    <t>2.8.3.3</t>
  </si>
  <si>
    <t>2.8.3.4</t>
  </si>
  <si>
    <t>Ставка тарифа за подключаемую (технологически присоединяемую) нагрузку канализационной сети, действующая на день окончания базового (2019) года, без НДС, руб./куб. м/сут</t>
  </si>
  <si>
    <t>2.8.3.5</t>
  </si>
  <si>
    <t>Ставка тарифа за расстояние от точки подключения (технологического присоединения) котельной до точки подключения канализационных сетей к централизованной системе водоотведения, действующая на день окончания базового (2019) года, без НДС, руб./м</t>
  </si>
  <si>
    <t>2.9</t>
  </si>
  <si>
    <r>
      <t>Норма доходности инвестированного капитала в i-м расчетном периоде регулирования, % (</t>
    </r>
    <r>
      <rPr>
        <b/>
        <sz val="11"/>
        <color theme="1"/>
        <rFont val="Tahoma"/>
        <family val="2"/>
        <charset val="204"/>
      </rPr>
      <t>НД</t>
    </r>
    <r>
      <rPr>
        <b/>
        <vertAlign val="subscript"/>
        <sz val="11"/>
        <color theme="1"/>
        <rFont val="Tahoma"/>
        <family val="2"/>
        <charset val="204"/>
      </rPr>
      <t>i</t>
    </r>
    <r>
      <rPr>
        <sz val="10"/>
        <color theme="1"/>
        <rFont val="Tahoma"/>
        <family val="2"/>
        <charset val="204"/>
      </rPr>
      <t>)</t>
    </r>
  </si>
  <si>
    <t>2.9.1</t>
  </si>
  <si>
    <r>
      <t>Средневзвешенная по дням 9 месяцев (i-1)-го расчетного периода регулирования ключевая ставка Центрального банка Российской Федерации, % (</t>
    </r>
    <r>
      <rPr>
        <b/>
        <sz val="11"/>
        <color theme="1"/>
        <rFont val="Tahoma"/>
        <family val="2"/>
        <charset val="204"/>
      </rPr>
      <t>КС</t>
    </r>
    <r>
      <rPr>
        <b/>
        <vertAlign val="subscript"/>
        <sz val="11"/>
        <color theme="1"/>
        <rFont val="Tahoma"/>
        <family val="2"/>
        <charset val="204"/>
      </rPr>
      <t>i-1</t>
    </r>
    <r>
      <rPr>
        <sz val="10"/>
        <color theme="1"/>
        <rFont val="Tahoma"/>
        <family val="2"/>
        <charset val="204"/>
      </rPr>
      <t>)</t>
    </r>
  </si>
  <si>
    <t>2.9.2</t>
  </si>
  <si>
    <r>
      <t>Базовый уровень нормы доходности инвестированного капитала,% (</t>
    </r>
    <r>
      <rPr>
        <b/>
        <i/>
        <sz val="11"/>
        <color theme="1"/>
        <rFont val="Tahoma"/>
        <family val="2"/>
        <charset val="204"/>
      </rPr>
      <t>НД</t>
    </r>
    <r>
      <rPr>
        <b/>
        <i/>
        <vertAlign val="subscript"/>
        <sz val="11"/>
        <color theme="1"/>
        <rFont val="Tahoma"/>
        <family val="2"/>
        <charset val="204"/>
      </rPr>
      <t>б</t>
    </r>
    <r>
      <rPr>
        <i/>
        <sz val="10"/>
        <color theme="1"/>
        <rFont val="Tahoma"/>
        <family val="2"/>
        <charset val="204"/>
      </rPr>
      <t>)</t>
    </r>
  </si>
  <si>
    <t>2.9.3</t>
  </si>
  <si>
    <r>
      <t>Базовый уровень ключевой ставки Центрального банка Российской Федерации, % (</t>
    </r>
    <r>
      <rPr>
        <b/>
        <i/>
        <sz val="11"/>
        <color theme="1"/>
        <rFont val="Tahoma"/>
        <family val="2"/>
        <charset val="204"/>
      </rPr>
      <t>КС</t>
    </r>
    <r>
      <rPr>
        <b/>
        <i/>
        <vertAlign val="subscript"/>
        <sz val="11"/>
        <color theme="1"/>
        <rFont val="Tahoma"/>
        <family val="2"/>
        <charset val="204"/>
      </rPr>
      <t>б</t>
    </r>
    <r>
      <rPr>
        <i/>
        <sz val="10"/>
        <color theme="1"/>
        <rFont val="Tahoma"/>
        <family val="2"/>
        <charset val="204"/>
      </rPr>
      <t>)</t>
    </r>
  </si>
  <si>
    <t>3</t>
  </si>
  <si>
    <t>Параметры, использованные при расчете составляющей предельного уровня цены на тепловую энергию (мощность), обеспечивающей компенсацию расходов на уплату налогов в i-м расчетном периоде регулирования</t>
  </si>
  <si>
    <t>3.1</t>
  </si>
  <si>
    <r>
      <t>Расходы на уплату налога на прибыль от деятельности, связанной с производством и поставкой тепловой энергии (мощности),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</si>
  <si>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3.1.1</t>
  </si>
  <si>
    <r>
      <t>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</si>
  <si>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3.1.2</t>
  </si>
  <si>
    <r>
      <t>Период амортизации котельной и тепловых сетей, лет (</t>
    </r>
    <r>
      <rPr>
        <b/>
        <i/>
        <sz val="11"/>
        <color theme="1"/>
        <rFont val="Tahoma"/>
        <family val="2"/>
        <charset val="204"/>
      </rPr>
      <t>ПА</t>
    </r>
    <r>
      <rPr>
        <i/>
        <sz val="10"/>
        <color theme="1"/>
        <rFont val="Tahoma"/>
        <family val="2"/>
        <charset val="204"/>
      </rPr>
      <t>)</t>
    </r>
  </si>
  <si>
    <t>3.2</t>
  </si>
  <si>
    <r>
      <t>Расходы на уплату налога на имущество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</si>
  <si>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3.2.1</t>
  </si>
  <si>
    <r>
      <t>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</si>
  <si>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3.2.2</t>
  </si>
  <si>
    <t>3.3</t>
  </si>
  <si>
    <r>
      <t>Расходы на уплату земельного налога в i-м расчетном периоде регулирования, тыс. руб. (</t>
    </r>
    <r>
      <rPr>
        <b/>
        <sz val="11"/>
        <color indexed="8"/>
        <rFont val="Tahoma"/>
        <family val="2"/>
        <charset val="204"/>
      </rPr>
      <t>Н</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</si>
  <si>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3.3.1</t>
  </si>
  <si>
    <r>
      <t>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</si>
  <si>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3.3.2</t>
  </si>
  <si>
    <r>
      <t>Стоимость земельного участка для размещения котельной в i-м расчетном периоде регулирования, тыс.руб. (</t>
    </r>
    <r>
      <rPr>
        <b/>
        <sz val="10"/>
        <color theme="1"/>
        <rFont val="Tahoma"/>
        <family val="2"/>
        <charset val="204"/>
      </rPr>
      <t>З</t>
    </r>
    <r>
      <rPr>
        <b/>
        <vertAlign val="subscript"/>
        <sz val="10"/>
        <color theme="1"/>
        <rFont val="Tahoma"/>
        <family val="2"/>
        <charset val="204"/>
      </rPr>
      <t>i,k</t>
    </r>
    <r>
      <rPr>
        <sz val="10"/>
        <color theme="1"/>
        <rFont val="Tahoma"/>
        <family val="2"/>
        <charset val="204"/>
      </rPr>
      <t>)</t>
    </r>
  </si>
  <si>
    <t>4</t>
  </si>
  <si>
    <t>Параметры, использованные при расчете составляющей предельного уровня цены на тепловую энергию (мощность), обеспечивающей компенсацию прочих расходов при производстве тепловой энергии котельной в i-м расчетном периоде регулирования</t>
  </si>
  <si>
    <t>4.1</t>
  </si>
  <si>
    <r>
      <t>Расходы на техническое обслуживание и ремонт основных средств котельной с использованием угля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</si>
  <si>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t>4.1.1</t>
  </si>
  <si>
    <r>
      <t>Базовая величина капитальных затрат на основные средства котельной с использованием угля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</si>
  <si>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4.1.2</t>
  </si>
  <si>
    <r>
      <t>Коэффициент расходов на техническое обслуживание и ремонт основных средств котельной (</t>
    </r>
    <r>
      <rPr>
        <b/>
        <i/>
        <sz val="11"/>
        <color theme="1"/>
        <rFont val="Tahoma"/>
        <family val="2"/>
        <charset val="204"/>
      </rPr>
      <t>К</t>
    </r>
    <r>
      <rPr>
        <b/>
        <i/>
        <vertAlign val="subscript"/>
        <sz val="11"/>
        <color theme="1"/>
        <rFont val="Tahoma"/>
        <family val="2"/>
        <charset val="204"/>
      </rPr>
      <t>k</t>
    </r>
    <r>
      <rPr>
        <b/>
        <i/>
        <vertAlign val="superscript"/>
        <sz val="11"/>
        <color theme="1"/>
        <rFont val="Tahoma"/>
        <family val="2"/>
        <charset val="204"/>
      </rPr>
      <t>кот, ТО</t>
    </r>
    <r>
      <rPr>
        <i/>
        <sz val="10"/>
        <color theme="1"/>
        <rFont val="Tahoma"/>
        <family val="2"/>
        <charset val="204"/>
      </rPr>
      <t>)</t>
    </r>
  </si>
  <si>
    <t>4.1.3</t>
  </si>
  <si>
    <r>
      <t>Базовая величина капитальных затрат на основные средства тепловых сетей в базовом году, тыс. руб. (</t>
    </r>
    <r>
      <rPr>
        <b/>
        <i/>
        <sz val="11"/>
        <color theme="1"/>
        <rFont val="Tahoma"/>
        <family val="2"/>
        <charset val="204"/>
      </rPr>
      <t>КЗО</t>
    </r>
    <r>
      <rPr>
        <b/>
        <i/>
        <vertAlign val="subscript"/>
        <sz val="11"/>
        <color theme="1"/>
        <rFont val="Tahoma"/>
        <family val="2"/>
        <charset val="204"/>
      </rPr>
      <t>б</t>
    </r>
    <r>
      <rPr>
        <b/>
        <i/>
        <vertAlign val="superscript"/>
        <sz val="11"/>
        <color theme="1"/>
        <rFont val="Tahoma"/>
        <family val="2"/>
        <charset val="204"/>
      </rPr>
      <t>сети(б)</t>
    </r>
    <r>
      <rPr>
        <i/>
        <sz val="10"/>
        <color theme="1"/>
        <rFont val="Tahoma"/>
        <family val="2"/>
        <charset val="204"/>
      </rPr>
      <t>)</t>
    </r>
  </si>
  <si>
    <t>4.1.4</t>
  </si>
  <si>
    <r>
      <t>Коэффициент расходов на техническое обслуживание и ремонт основных средств тепловых сетей (</t>
    </r>
    <r>
      <rPr>
        <b/>
        <i/>
        <sz val="11"/>
        <color theme="1"/>
        <rFont val="Tahoma"/>
        <family val="2"/>
        <charset val="204"/>
      </rPr>
      <t>К</t>
    </r>
    <r>
      <rPr>
        <b/>
        <i/>
        <vertAlign val="superscript"/>
        <sz val="11"/>
        <color theme="1"/>
        <rFont val="Tahoma"/>
        <family val="2"/>
        <charset val="204"/>
      </rPr>
      <t>сети, ТО</t>
    </r>
    <r>
      <rPr>
        <i/>
        <sz val="10"/>
        <color theme="1"/>
        <rFont val="Tahoma"/>
        <family val="2"/>
        <charset val="204"/>
      </rPr>
      <t>)</t>
    </r>
  </si>
  <si>
    <t>4.2</t>
  </si>
  <si>
    <r>
      <t>Расходы на электрическую энергию на собственные нужды котельной с использованием угля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</si>
  <si>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t>4.2.1</t>
  </si>
  <si>
    <t>Наименование гарантирующего поставщика</t>
  </si>
  <si>
    <t>4.2.2</t>
  </si>
  <si>
    <r>
      <t>Среднеарифметическая величина из значений цен (тарифов) на электрическую энергию (мощность), поставляемую покупателям на розничном рынке, функционирующем в поселении или городском округе, на территории которого находится система теплоснабжения, в базовом (2019) году для категории потребителей, установленной технико-экономическими параметрами работы котельных и тепловых сетей, без НДС, руб./кВтч (</t>
    </r>
    <r>
      <rPr>
        <b/>
        <sz val="11"/>
        <color theme="1"/>
        <rFont val="Tahoma"/>
        <family val="2"/>
        <charset val="204"/>
      </rPr>
      <t>ЦЭ</t>
    </r>
    <r>
      <rPr>
        <b/>
        <vertAlign val="subscript"/>
        <sz val="11"/>
        <color theme="1"/>
        <rFont val="Tahoma"/>
        <family val="2"/>
        <charset val="204"/>
      </rPr>
      <t>б</t>
    </r>
    <r>
      <rPr>
        <sz val="10"/>
        <color theme="1"/>
        <rFont val="Tahoma"/>
        <family val="2"/>
        <charset val="204"/>
      </rPr>
      <t>)</t>
    </r>
  </si>
  <si>
    <t>4.2.3</t>
  </si>
  <si>
    <r>
      <t>Общая максимальная мощность энергопринимающих устройств котельной с использованием угля,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</si>
  <si>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t>4.2.4</t>
  </si>
  <si>
    <r>
      <t>Продолжительность годовой работы оборудования котельной с учетом коэффициента готовности, ч (</t>
    </r>
    <r>
      <rPr>
        <b/>
        <sz val="11"/>
        <color theme="1"/>
        <rFont val="Tahoma"/>
        <family val="2"/>
        <charset val="204"/>
      </rPr>
      <t>ГР</t>
    </r>
    <r>
      <rPr>
        <sz val="10"/>
        <color theme="1"/>
        <rFont val="Tahoma"/>
        <family val="2"/>
        <charset val="204"/>
      </rPr>
      <t>)</t>
    </r>
  </si>
  <si>
    <t>4.2.5</t>
  </si>
  <si>
    <r>
      <t>Коэффициент использования установленной тепловой мощности котельной (</t>
    </r>
    <r>
      <rPr>
        <b/>
        <i/>
        <sz val="11"/>
        <color theme="1"/>
        <rFont val="Tahoma"/>
        <family val="2"/>
        <charset val="204"/>
      </rPr>
      <t>КИУМ</t>
    </r>
    <r>
      <rPr>
        <i/>
        <sz val="10"/>
        <color theme="1"/>
        <rFont val="Tahoma"/>
        <family val="2"/>
        <charset val="204"/>
      </rPr>
      <t>)</t>
    </r>
  </si>
  <si>
    <t>4.3</t>
  </si>
  <si>
    <r>
      <t>Расходы на водоподготовку и водоотведение котельной в базовом (2019) году, тыс. руб. (</t>
    </r>
    <r>
      <rPr>
        <b/>
        <sz val="11"/>
        <color theme="1"/>
        <rFont val="Tahoma"/>
        <family val="2"/>
        <charset val="204"/>
      </rPr>
      <t>РВ</t>
    </r>
    <r>
      <rPr>
        <b/>
        <vertAlign val="subscript"/>
        <sz val="11"/>
        <color theme="1"/>
        <rFont val="Tahoma"/>
        <family val="2"/>
        <charset val="204"/>
      </rPr>
      <t>б</t>
    </r>
    <r>
      <rPr>
        <sz val="10"/>
        <color theme="1"/>
        <rFont val="Tahoma"/>
        <family val="2"/>
        <charset val="204"/>
      </rPr>
      <t>)</t>
    </r>
  </si>
  <si>
    <t>4.3.1</t>
  </si>
  <si>
    <t>4.3.2</t>
  </si>
  <si>
    <t>Тариф на питьевую воду (питьевое водоснабжение), действующий на день окончания базового (2019) года, без НДС, руб./куб. м</t>
  </si>
  <si>
    <t>4.3.3</t>
  </si>
  <si>
    <t>4.3.4</t>
  </si>
  <si>
    <t>Тариф на водоотведение, действующий на день окончания базового (2019) года, без НДС, руб./куб. м</t>
  </si>
  <si>
    <t>4.3.5</t>
  </si>
  <si>
    <t>Расход воды на водоподготовку, куб.м/год</t>
  </si>
  <si>
    <t>4.3.6</t>
  </si>
  <si>
    <t>Расход воды на собственные нужды котельной, куб.м/год</t>
  </si>
  <si>
    <t>4.3.7</t>
  </si>
  <si>
    <t>Объем водоотведения, куб.м/год</t>
  </si>
  <si>
    <t>4.4</t>
  </si>
  <si>
    <r>
      <t>Расходы на оплату труда персонала котельной с использованием угля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</si>
  <si>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4.4.1</t>
  </si>
  <si>
    <t>Заработная плата сотрудников котельной, производящей тепловую энергию с использованием угля, в базовом (2019) году, тыс. руб.</t>
  </si>
  <si>
    <t>4.4.2</t>
  </si>
  <si>
    <r>
      <t>Расходы на уплату в базовом (2019) году страховых взносов по персоналу котельной, определяемые в соответствии с требованиями законодательства Российской Федерации о страховых взносах исходя из расходов на оплату труда персонала котельной, тыс. руб. (</t>
    </r>
    <r>
      <rPr>
        <b/>
        <sz val="11"/>
        <color theme="1"/>
        <rFont val="Tahoma"/>
        <family val="2"/>
        <charset val="204"/>
      </rPr>
      <t>Р</t>
    </r>
    <r>
      <rPr>
        <b/>
        <vertAlign val="subscript"/>
        <sz val="11"/>
        <color theme="1"/>
        <rFont val="Tahoma"/>
        <family val="2"/>
        <charset val="204"/>
      </rPr>
      <t>б,k</t>
    </r>
    <r>
      <rPr>
        <b/>
        <vertAlign val="superscript"/>
        <sz val="11"/>
        <color theme="1"/>
        <rFont val="Tahoma"/>
        <family val="2"/>
        <charset val="204"/>
      </rPr>
      <t>СВ</t>
    </r>
    <r>
      <rPr>
        <sz val="10"/>
        <color theme="1"/>
        <rFont val="Tahoma"/>
        <family val="2"/>
        <charset val="204"/>
      </rPr>
      <t>)</t>
    </r>
  </si>
  <si>
    <t>4.5</t>
  </si>
  <si>
    <r>
      <t>Иные прочие расходы при производстве тепловой энергии котельной в i-м расчетном периоде регулирования, тыс. руб. (</t>
    </r>
    <r>
      <rPr>
        <b/>
        <sz val="11"/>
        <color theme="1"/>
        <rFont val="Tahoma"/>
        <family val="2"/>
        <charset val="204"/>
      </rPr>
      <t>ПР</t>
    </r>
    <r>
      <rPr>
        <b/>
        <vertAlign val="subscript"/>
        <sz val="11"/>
        <color theme="1"/>
        <rFont val="Tahoma"/>
        <family val="2"/>
        <charset val="204"/>
      </rPr>
      <t>i</t>
    </r>
    <r>
      <rPr>
        <b/>
        <vertAlign val="superscript"/>
        <sz val="11"/>
        <color theme="1"/>
        <rFont val="Tahoma"/>
        <family val="2"/>
        <charset val="204"/>
      </rPr>
      <t>иные</t>
    </r>
    <r>
      <rPr>
        <sz val="11"/>
        <color theme="1"/>
        <rFont val="Tahoma"/>
        <family val="2"/>
        <charset val="204"/>
      </rPr>
      <t>)</t>
    </r>
  </si>
  <si>
    <t>4.5.1</t>
  </si>
  <si>
    <r>
      <t>Расходы на плату за выбросы загрязняющих веществ в атмосферный воздух в пределах установленных нормативов и (или) лимитов, на утилизацию и размещение золы и шлака для котельной с использованием угля в i-м расчетном периоде регулирования, тыс. руб. (</t>
    </r>
    <r>
      <rPr>
        <b/>
        <sz val="11"/>
        <color theme="1"/>
        <rFont val="Tahoma"/>
        <family val="2"/>
        <charset val="204"/>
      </rPr>
      <t>ЗВ</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</si>
  <si>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t>
  </si>
  <si>
    <r>
      <t>Дополнительные расходы на плату за выбросы загрязняющих веществ в атмосферный воздух в пределах установленных нормативов и (или) лимитов для котельной с использованием угля (</t>
    </r>
    <r>
      <rPr>
        <b/>
        <sz val="11"/>
        <color theme="1"/>
        <rFont val="Tahoma"/>
        <family val="2"/>
        <charset val="204"/>
      </rPr>
      <t>Y</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</si>
  <si>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4.5.1.1.1</t>
  </si>
  <si>
    <r>
      <t>Базовая величина платы за выбросы загрязняющих веществ в атмосферный воздух, руб. (</t>
    </r>
    <r>
      <rPr>
        <b/>
        <i/>
        <sz val="10"/>
        <color theme="1"/>
        <rFont val="Tahoma"/>
        <family val="2"/>
        <charset val="204"/>
      </rPr>
      <t>ПВ</t>
    </r>
    <r>
      <rPr>
        <b/>
        <i/>
        <vertAlign val="subscript"/>
        <sz val="10"/>
        <color theme="1"/>
        <rFont val="Tahoma"/>
        <family val="2"/>
        <charset val="204"/>
      </rPr>
      <t>б</t>
    </r>
    <r>
      <rPr>
        <i/>
        <sz val="10"/>
        <color theme="1"/>
        <rFont val="Tahoma"/>
        <family val="2"/>
        <charset val="204"/>
      </rPr>
      <t>)</t>
    </r>
  </si>
  <si>
    <t>4.5.1.1.2</t>
  </si>
  <si>
    <r>
      <t>Коэффициент, применяемый к базовой величине платы за выбросы загрязняющих веществ в атмосферный воздух (</t>
    </r>
    <r>
      <rPr>
        <b/>
        <sz val="10"/>
        <color theme="1"/>
        <rFont val="Tahoma"/>
        <family val="2"/>
        <charset val="204"/>
      </rPr>
      <t>К</t>
    </r>
    <r>
      <rPr>
        <b/>
        <vertAlign val="subscript"/>
        <sz val="10"/>
        <color theme="1"/>
        <rFont val="Tahoma"/>
        <family val="2"/>
        <charset val="204"/>
      </rPr>
      <t>i</t>
    </r>
    <r>
      <rPr>
        <b/>
        <vertAlign val="superscript"/>
        <sz val="10"/>
        <color theme="1"/>
        <rFont val="Tahoma"/>
        <family val="2"/>
        <charset val="204"/>
      </rPr>
      <t>ОС</t>
    </r>
    <r>
      <rPr>
        <sz val="10"/>
        <color theme="1"/>
        <rFont val="Tahoma"/>
        <family val="2"/>
        <charset val="204"/>
      </rPr>
      <t>)</t>
    </r>
  </si>
  <si>
    <t>5</t>
  </si>
  <si>
    <t>Параметры, использованные при расчете составляющей предельного уровня цены на тепловую энергию (мощность), обеспечивающей создание резерва по сомнительным долгам в i-м расчетном периоде регулирования</t>
  </si>
  <si>
    <t>5.1</t>
  </si>
  <si>
    <r>
      <t>Коэффициент, отражающий размер резерва по сомнительным долгам (</t>
    </r>
    <r>
      <rPr>
        <b/>
        <sz val="11"/>
        <color theme="1"/>
        <rFont val="Tahoma"/>
        <family val="2"/>
        <charset val="204"/>
      </rPr>
      <t>k</t>
    </r>
    <r>
      <rPr>
        <b/>
        <vertAlign val="superscript"/>
        <sz val="11"/>
        <color theme="1"/>
        <rFont val="Tahoma"/>
        <family val="2"/>
        <charset val="204"/>
      </rPr>
      <t>РД</t>
    </r>
    <r>
      <rPr>
        <sz val="10"/>
        <color theme="1"/>
        <rFont val="Tahoma"/>
        <family val="2"/>
        <charset val="204"/>
      </rPr>
      <t>)</t>
    </r>
  </si>
  <si>
    <t>6</t>
  </si>
  <si>
    <t>Параметры, использованные при расчете составляющей предельного уровня цены на тепловую энергию (мощность), обеспечивающей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t>
  </si>
  <si>
    <t>6.1</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</si>
  <si>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(i-2)-м расчетном периоде регулирования, определяемой в  i-м расчетном периоде регулирования, руб./Гкал </t>
    </r>
    <r>
      <rPr>
        <sz val="11"/>
        <color theme="1"/>
        <rFont val="Tahoma"/>
        <family val="2"/>
        <charset val="204"/>
      </rPr>
      <t>(</t>
    </r>
    <r>
      <rPr>
        <b/>
        <sz val="11"/>
        <color theme="1"/>
        <rFont val="Tahoma"/>
        <family val="2"/>
        <charset val="204"/>
      </rPr>
      <t>ΔPT</t>
    </r>
    <r>
      <rPr>
        <b/>
        <vertAlign val="subscript"/>
        <sz val="11"/>
        <color theme="1"/>
        <rFont val="Tahoma"/>
        <family val="2"/>
        <charset val="204"/>
      </rPr>
      <t>i-2</t>
    </r>
    <r>
      <rPr>
        <sz val="11"/>
        <color theme="1"/>
        <rFont val="Tahoma"/>
        <family val="2"/>
        <charset val="204"/>
      </rPr>
      <t>)</t>
    </r>
  </si>
  <si>
    <t>-</t>
  </si>
  <si>
    <t>6.1.1</t>
  </si>
  <si>
    <r>
      <t>Фактическая цена на k-й вид топлива, используемый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 н. т.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</si>
  <si>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6.2</t>
  </si>
  <si>
    <r>
      <t>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уплату налогов  в (i-2)-м расчетном периоде регулирования, определяемой в  i-м расчетном периоде регулирования, руб./Гкал (</t>
    </r>
    <r>
      <rPr>
        <b/>
        <sz val="11"/>
        <color theme="1"/>
        <rFont val="Tahoma"/>
        <family val="2"/>
        <charset val="204"/>
      </rPr>
      <t>ΔH</t>
    </r>
    <r>
      <rPr>
        <b/>
        <vertAlign val="subscript"/>
        <sz val="11"/>
        <color theme="1"/>
        <rFont val="Tahoma"/>
        <family val="2"/>
        <charset val="204"/>
      </rPr>
      <t>i-2</t>
    </r>
    <r>
      <rPr>
        <sz val="10"/>
        <color theme="1"/>
        <rFont val="Tahoma"/>
        <family val="2"/>
        <charset val="204"/>
      </rPr>
      <t>)</t>
    </r>
  </si>
  <si>
    <t>6.2.1</t>
  </si>
  <si>
    <r>
      <t>Фактическая 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п</t>
    </r>
    <r>
      <rPr>
        <sz val="10"/>
        <color theme="1"/>
        <rFont val="Tahoma"/>
        <family val="2"/>
        <charset val="204"/>
      </rPr>
      <t>)</t>
    </r>
  </si>
  <si>
    <t>6.2.2</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</si>
  <si>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</si>
  <si>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t>6.2.3</t>
  </si>
  <si>
    <r>
      <t>Фактическая 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з</t>
    </r>
    <r>
      <rPr>
        <sz val="10"/>
        <color theme="1"/>
        <rFont val="Tahoma"/>
        <family val="2"/>
        <charset val="204"/>
      </rPr>
      <t>)</t>
    </r>
  </si>
  <si>
    <t>7</t>
  </si>
  <si>
    <r>
      <t>Объем полезного отпуска тепловой энергии котельной,  тыс. Гкал (</t>
    </r>
    <r>
      <rPr>
        <b/>
        <sz val="11"/>
        <color theme="1"/>
        <rFont val="Tahoma"/>
        <family val="2"/>
        <charset val="204"/>
      </rPr>
      <t>Q</t>
    </r>
    <r>
      <rPr>
        <b/>
        <vertAlign val="superscript"/>
        <sz val="11"/>
        <color theme="1"/>
        <rFont val="Tahoma"/>
        <family val="2"/>
        <charset val="204"/>
      </rPr>
      <t>ПО</t>
    </r>
    <r>
      <rPr>
        <b/>
        <sz val="10"/>
        <color theme="1"/>
        <rFont val="Tahoma"/>
        <family val="2"/>
        <charset val="204"/>
      </rPr>
      <t>)</t>
    </r>
  </si>
  <si>
    <t>7.1</t>
  </si>
  <si>
    <r>
      <t>Установленная тепловая мощность котельной, Гкал/ч (</t>
    </r>
    <r>
      <rPr>
        <b/>
        <i/>
        <sz val="11"/>
        <color theme="1"/>
        <rFont val="Tahoma"/>
        <family val="2"/>
        <charset val="204"/>
      </rPr>
      <t>p</t>
    </r>
    <r>
      <rPr>
        <i/>
        <sz val="10"/>
        <color theme="1"/>
        <rFont val="Tahoma"/>
        <family val="2"/>
        <charset val="204"/>
      </rPr>
      <t>)</t>
    </r>
  </si>
  <si>
    <t>7.2</t>
  </si>
  <si>
    <r>
      <t>Коэффициент готовности, учитывающий продолжительность годовой работы оборудования (</t>
    </r>
    <r>
      <rPr>
        <b/>
        <i/>
        <sz val="11"/>
        <color theme="1"/>
        <rFont val="Tahoma"/>
        <family val="2"/>
        <charset val="204"/>
      </rPr>
      <t>К</t>
    </r>
    <r>
      <rPr>
        <b/>
        <i/>
        <vertAlign val="subscript"/>
        <sz val="11"/>
        <color theme="1"/>
        <rFont val="Tahoma"/>
        <family val="2"/>
        <charset val="204"/>
      </rPr>
      <t>r</t>
    </r>
    <r>
      <rPr>
        <i/>
        <sz val="10"/>
        <color theme="1"/>
        <rFont val="Tahoma"/>
        <family val="2"/>
        <charset val="204"/>
      </rPr>
      <t>)</t>
    </r>
  </si>
  <si>
    <t>7.3</t>
  </si>
  <si>
    <r>
      <t>Коэффициент использования установленной тепловой мощности котельной (</t>
    </r>
    <r>
      <rPr>
        <b/>
        <i/>
        <sz val="11"/>
        <rFont val="Tahoma"/>
        <family val="2"/>
        <charset val="204"/>
      </rPr>
      <t>КИУМ</t>
    </r>
    <r>
      <rPr>
        <i/>
        <sz val="10"/>
        <rFont val="Tahoma"/>
        <family val="2"/>
        <charset val="204"/>
      </rPr>
      <t>)</t>
    </r>
  </si>
  <si>
    <t>8</t>
  </si>
  <si>
    <r>
      <t>Прогнозный 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</si>
  <si>
    <t>8.1</t>
  </si>
  <si>
    <r>
      <t>Индекс цен производителей промышленной продукции (в среднем за год к предыдущему году), % г/г (</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б+1</t>
    </r>
    <r>
      <rPr>
        <b/>
        <sz val="11"/>
        <color indexed="8"/>
        <rFont val="Tahoma"/>
        <family val="2"/>
        <charset val="204"/>
      </rPr>
      <t>, ИЦП</t>
    </r>
    <r>
      <rPr>
        <b/>
        <vertAlign val="superscript"/>
        <sz val="11"/>
        <color indexed="8"/>
        <rFont val="Tahoma"/>
        <family val="2"/>
        <charset val="204"/>
      </rPr>
      <t>п</t>
    </r>
    <r>
      <rPr>
        <b/>
        <vertAlign val="subscript"/>
        <sz val="11"/>
        <color indexed="8"/>
        <rFont val="Tahoma"/>
        <family val="2"/>
        <charset val="204"/>
      </rPr>
      <t>б+2</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i</t>
    </r>
    <r>
      <rPr>
        <sz val="10"/>
        <color indexed="8"/>
        <rFont val="Tahoma"/>
        <family val="2"/>
        <charset val="204"/>
      </rPr>
      <t>)</t>
    </r>
  </si>
  <si>
    <t>Год</t>
  </si>
  <si>
    <t>Предельный уровень цены на тепловую энергию (мощность), рассчитанный в соответствии с частью 1 статьи 23.6 Федерального закона от 27.07.2010 N 190-ФЗ "О теплоснабжении" и Постановлением № 1562, а также сведения о параметрах, использованных при расчете</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</si>
  <si>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1"/>
        <color theme="1"/>
        <rFont val="Tahoma"/>
        <family val="2"/>
        <charset val="204"/>
      </rPr>
      <t>)</t>
    </r>
  </si>
  <si>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1"/>
        <color theme="1"/>
        <rFont val="Tahoma"/>
        <family val="2"/>
        <charset val="204"/>
      </rPr>
      <t>)</t>
    </r>
  </si>
  <si>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1"/>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1"/>
        <color theme="1"/>
        <rFont val="Tahoma"/>
        <family val="2"/>
        <charset val="204"/>
      </rPr>
      <t>)</t>
    </r>
  </si>
  <si>
    <t>Низшая теплота сгорания натурального топлива (газа), ккал/кг</t>
  </si>
  <si>
    <r>
      <t>Фактическая цена на топливо (газ),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</si>
  <si>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1.2.1</t>
  </si>
  <si>
    <t>Организация с наибольшим объемом поставляемого, транспортируемого газа, осуществляющая свою деятельность на территории системы теплоснабжения</t>
  </si>
  <si>
    <t>1.2.2</t>
  </si>
  <si>
    <t>1.2.3</t>
  </si>
  <si>
    <t>1.2.4</t>
  </si>
  <si>
    <t>1.2.5</t>
  </si>
  <si>
    <r>
      <t>Удельный расход условного топлива при производстве тепловой энергии котельной с использованием газа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</si>
  <si>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r>
      <t>Коэффициент перевода натурального топлива в условное топливо, кг у.т./куб. м (</t>
    </r>
    <r>
      <rPr>
        <b/>
        <sz val="11"/>
        <color theme="1"/>
        <rFont val="Tahoma"/>
        <family val="2"/>
        <charset val="204"/>
      </rPr>
      <t>К</t>
    </r>
    <r>
      <rPr>
        <sz val="10"/>
        <color theme="1"/>
        <rFont val="Tahoma"/>
        <family val="2"/>
        <charset val="204"/>
      </rPr>
      <t>)</t>
    </r>
  </si>
  <si>
    <t>Расстояние от границы системы теплоснабжения до границы ближайшего административного центра субъекта РФ с железнодорожным сообщением, км</t>
  </si>
  <si>
    <t xml:space="preserve">Поселение, городской округ, на территории которого находится система теплоснабжения, отнесено к территории распространения вечномерзлых грунтов? </t>
  </si>
  <si>
    <r>
      <t>Величина капитальных затрат на строительство котельной с использованием газа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</si>
  <si>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r>
      <t>Базовая величина капитальных затрат на строительство котельной с использованием газа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</si>
  <si>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r>
      <t>Удельная базовая стоимость земельного участка, 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</si>
  <si>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r>
      <t>Площадь земельного участка для размещения котельной с использованием газа,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</si>
  <si>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r>
      <t>Затраты на подключение (технологическое присоединение) котельной с использованием газа к электрическим сетям, к централизованной системе водоснабжения и водоотведения, к газораспределительным сетям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</si>
  <si>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r>
      <t>Базовая величина затрат на подключение (технологическое присоединение) котельной с использованием газа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</si>
  <si>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t>2.8.4</t>
  </si>
  <si>
    <r>
      <t>Базовая величина затрат на подключение (технологическое присоединение) к газораспределительным сетям, тыс. руб. (</t>
    </r>
    <r>
      <rPr>
        <b/>
        <i/>
        <sz val="11"/>
        <color theme="1"/>
        <rFont val="Tahoma"/>
        <family val="2"/>
        <charset val="204"/>
      </rPr>
      <t>ТП</t>
    </r>
    <r>
      <rPr>
        <b/>
        <i/>
        <vertAlign val="subscript"/>
        <sz val="11"/>
        <color theme="1"/>
        <rFont val="Tahoma"/>
        <family val="2"/>
        <charset val="204"/>
      </rPr>
      <t>б</t>
    </r>
    <r>
      <rPr>
        <b/>
        <i/>
        <vertAlign val="superscript"/>
        <sz val="11"/>
        <color theme="1"/>
        <rFont val="Tahoma"/>
        <family val="2"/>
        <charset val="204"/>
      </rPr>
      <t>гс</t>
    </r>
    <r>
      <rPr>
        <i/>
        <sz val="10"/>
        <color theme="1"/>
        <rFont val="Tahoma"/>
        <family val="2"/>
        <charset val="204"/>
      </rPr>
      <t>)</t>
    </r>
  </si>
  <si>
    <r>
      <t>Расходы на техническое обслуживание и ремонт основных средств котельной с использованием газа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</si>
  <si>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r>
      <t>Базовая величина капитальных затрат на основные средства котельной с использованием газа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</si>
  <si>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r>
      <t>Расходы на электрическую энергию на собственные нужды котельной с использованием газа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</si>
  <si>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r>
      <t>Общая максимальная мощность энергопринимающих устройств котельной с использованием газа,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</si>
  <si>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r>
      <t>Расходы на оплату труда персонала котельной с использованием газа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</si>
  <si>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Заработная плата сотрудников котельной, производящей тепловую энергию с использованием газа, в базовом (2019) году, тыс. руб.</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</si>
  <si>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</si>
  <si>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r>
      <t>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</si>
  <si>
    <t>Источник информации</t>
  </si>
  <si>
    <t>Таблица ТЭП (I)</t>
  </si>
  <si>
    <t>Постановление №1562</t>
  </si>
  <si>
    <t>Таблица ТЭП (II.1.)</t>
  </si>
  <si>
    <t>Таблица ТЭП (II.2.)</t>
  </si>
  <si>
    <t>Таблица ТЭП (IX)</t>
  </si>
  <si>
    <t>Таблица ТЭП (II) Таблица 2</t>
  </si>
  <si>
    <t>Таблица ТЭП (II) Таблица 3</t>
  </si>
  <si>
    <t>таблица 4 Сборника сметных норм дополнительных затрат при производстве строительно-монтажных работ в зимнее время (ГСН 81-05-02-2007)</t>
  </si>
  <si>
    <t>Приложение № 1 Сборника сметных норм дополнительных затрат при производстве строительно-монтажных работ в зимнее время 
(ГСН 81-05-02-2007).</t>
  </si>
  <si>
    <t>Таблица ТЭП (VIII)</t>
  </si>
  <si>
    <t>Таблица ТЭП (VII)</t>
  </si>
  <si>
    <t>Таблица ТЭП (X)</t>
  </si>
  <si>
    <t>Таблица ТЭП (XI)</t>
  </si>
  <si>
    <t>Таблица ТЭП (III)</t>
  </si>
  <si>
    <t>Таблица ТЭП (IV)</t>
  </si>
  <si>
    <t>Таблица ТЭП (II)</t>
  </si>
  <si>
    <t>Таблица ТЭП (VI)</t>
  </si>
  <si>
    <t>Таблица ТЭП (XIV)</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</si>
</sst>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
    <numFmt numFmtId="167" formatCode="0.000"/>
  </numFmts>
  <fonts count="34" x14ac:knownFonts="1">
    <font>
      <sz val="11"/>
      <color theme="1"/>
      <name val="Calibri"/>
      <family val="2"/>
      <charset val="204"/>
      <scheme val="minor"/>
    </font>
    <font>
      <sz val="11"/>
      <color theme="1"/>
      <name val="Calibri"/>
      <family val="2"/>
      <charset val="204"/>
      <scheme val="minor"/>
    </font>
    <font>
      <sz val="11"/>
      <color rgb="FF000000"/>
      <name val="Calibri"/>
      <family val="2"/>
      <charset val="204"/>
    </font>
    <font>
      <sz val="10"/>
      <color indexed="8"/>
      <name val="Tahoma"/>
      <family val="2"/>
      <charset val="204"/>
    </font>
    <font>
      <b/>
      <sz val="11"/>
      <name val="Tahoma"/>
      <family val="2"/>
      <charset val="204"/>
    </font>
    <font>
      <b/>
      <sz val="10"/>
      <color indexed="8"/>
      <name val="Tahoma"/>
      <family val="2"/>
      <charset val="204"/>
    </font>
    <font>
      <b/>
      <sz val="11"/>
      <color theme="1"/>
      <name val="Tahoma"/>
      <family val="2"/>
      <charset val="204"/>
    </font>
    <font>
      <b/>
      <vertAlign val="subscript"/>
      <sz val="11"/>
      <color theme="1"/>
      <name val="Tahoma"/>
      <family val="2"/>
      <charset val="204"/>
    </font>
    <font>
      <sz val="10"/>
      <color theme="1"/>
      <name val="Tahoma"/>
      <family val="2"/>
      <charset val="204"/>
    </font>
    <font>
      <b/>
      <sz val="11"/>
      <color theme="1"/>
      <name val="Calibri"/>
      <family val="2"/>
      <charset val="204"/>
    </font>
    <font>
      <b/>
      <vertAlign val="superscript"/>
      <sz val="11"/>
      <color theme="1"/>
      <name val="Tahoma"/>
      <family val="2"/>
      <charset val="204"/>
    </font>
    <font>
      <i/>
      <sz val="10"/>
      <color indexed="8"/>
      <name val="Tahoma"/>
      <family val="2"/>
      <charset val="204"/>
    </font>
    <font>
      <b/>
      <i/>
      <sz val="11"/>
      <color theme="1"/>
      <name val="Tahoma"/>
      <family val="2"/>
      <charset val="204"/>
    </font>
    <font>
      <b/>
      <i/>
      <vertAlign val="subscript"/>
      <sz val="11"/>
      <color theme="1"/>
      <name val="Tahoma"/>
      <family val="2"/>
      <charset val="204"/>
    </font>
    <font>
      <i/>
      <sz val="10"/>
      <color theme="1"/>
      <name val="Tahoma"/>
      <family val="2"/>
      <charset val="204"/>
    </font>
    <font>
      <sz val="10"/>
      <name val="Tahoma"/>
      <family val="2"/>
      <charset val="204"/>
    </font>
    <font>
      <b/>
      <vertAlign val="superscript"/>
      <sz val="11"/>
      <name val="Tahoma"/>
      <family val="2"/>
      <charset val="204"/>
    </font>
    <font>
      <b/>
      <i/>
      <sz val="10"/>
      <color theme="1"/>
      <name val="Tahoma"/>
      <family val="2"/>
      <charset val="204"/>
    </font>
    <font>
      <b/>
      <i/>
      <vertAlign val="superscript"/>
      <sz val="10"/>
      <color theme="1"/>
      <name val="Tahoma"/>
      <family val="2"/>
      <charset val="204"/>
    </font>
    <font>
      <sz val="11"/>
      <color theme="1"/>
      <name val="Tahoma"/>
      <family val="2"/>
      <charset val="204"/>
    </font>
    <font>
      <b/>
      <i/>
      <sz val="10"/>
      <color indexed="8"/>
      <name val="Tahoma"/>
      <family val="2"/>
      <charset val="204"/>
    </font>
    <font>
      <b/>
      <sz val="10"/>
      <color theme="1"/>
      <name val="Tahoma"/>
      <family val="2"/>
      <charset val="204"/>
    </font>
    <font>
      <b/>
      <vertAlign val="superscript"/>
      <sz val="10"/>
      <color theme="1"/>
      <name val="Tahoma"/>
      <family val="2"/>
      <charset val="204"/>
    </font>
    <font>
      <b/>
      <i/>
      <vertAlign val="subscript"/>
      <sz val="10"/>
      <color theme="1"/>
      <name val="Tahoma"/>
      <family val="2"/>
      <charset val="204"/>
    </font>
    <font>
      <b/>
      <i/>
      <vertAlign val="superscript"/>
      <sz val="11"/>
      <color theme="1"/>
      <name val="Tahoma"/>
      <family val="2"/>
      <charset val="204"/>
    </font>
    <font>
      <b/>
      <sz val="11"/>
      <color indexed="8"/>
      <name val="Tahoma"/>
      <family val="2"/>
      <charset val="204"/>
    </font>
    <font>
      <b/>
      <vertAlign val="subscript"/>
      <sz val="10"/>
      <color theme="1"/>
      <name val="Tahoma"/>
      <family val="2"/>
      <charset val="204"/>
    </font>
    <font>
      <b/>
      <i/>
      <sz val="11"/>
      <name val="Tahoma"/>
      <family val="2"/>
      <charset val="204"/>
    </font>
    <font>
      <i/>
      <sz val="10"/>
      <name val="Tahoma"/>
      <family val="2"/>
      <charset val="204"/>
    </font>
    <font>
      <sz val="10"/>
      <name val="Arial Cyr"/>
      <charset val="204"/>
    </font>
    <font>
      <b/>
      <sz val="10"/>
      <name val="Tahoma"/>
      <family val="2"/>
      <charset val="204"/>
    </font>
    <font>
      <b/>
      <vertAlign val="subscript"/>
      <sz val="11"/>
      <name val="Tahoma"/>
      <family val="2"/>
      <charset val="204"/>
    </font>
    <font>
      <b/>
      <vertAlign val="superscript"/>
      <sz val="11"/>
      <color indexed="8"/>
      <name val="Tahoma"/>
      <family val="2"/>
      <charset val="204"/>
    </font>
    <font>
      <b/>
      <vertAlign val="subscript"/>
      <sz val="11"/>
      <color indexed="8"/>
      <name val="Tahoma"/>
      <family val="2"/>
      <charset val="204"/>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indexed="64"/>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diagonal/>
    </border>
    <border>
      <left style="thin">
        <color indexed="64"/>
      </left>
      <right style="medium">
        <color indexed="64"/>
      </right>
      <top/>
      <bottom/>
      <diagonal/>
    </border>
    <border>
      <left/>
      <right/>
      <top style="medium">
        <color auto="1"/>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s>
  <cellStyleXfs count="4">
    <xf numFmtId="0" fontId="0" fillId="0" borderId="0"/>
    <xf numFmtId="9" fontId="1" fillId="0" borderId="0" applyFont="0" applyFill="0" applyBorder="0" applyAlignment="0" applyProtection="0"/>
    <xf numFmtId="0" fontId="1" fillId="0" borderId="0"/>
    <xf numFmtId="0" fontId="29" fillId="0" borderId="0"/>
  </cellStyleXfs>
  <cellXfs count="172">
    <xf numFmtId="0" fontId="0" fillId="0" borderId="0" xfId="0"/>
    <xf numFmtId="10" fontId="3" fillId="2" borderId="0" xfId="2" applyNumberFormat="1" applyFont="1" applyFill="1" applyAlignment="1">
      <alignment wrapText="1"/>
    </xf>
    <xf numFmtId="0" fontId="3" fillId="2" borderId="0" xfId="2" applyFont="1" applyFill="1"/>
    <xf numFmtId="0" fontId="3" fillId="2" borderId="0" xfId="2" applyFont="1" applyFill="1" applyAlignment="1">
      <alignment wrapText="1"/>
    </xf>
    <xf numFmtId="0" fontId="3" fillId="2" borderId="0" xfId="2" applyFont="1" applyFill="1" applyAlignment="1">
      <alignment horizontal="right"/>
    </xf>
    <xf numFmtId="14" fontId="3" fillId="2" borderId="0" xfId="2" applyNumberFormat="1" applyFont="1" applyFill="1" applyAlignment="1">
      <alignment horizontal="center" vertical="center" wrapText="1"/>
    </xf>
    <xf numFmtId="0" fontId="5" fillId="2" borderId="0" xfId="2" applyFont="1" applyFill="1" applyAlignment="1">
      <alignment horizontal="left"/>
    </xf>
    <xf numFmtId="0" fontId="3" fillId="2" borderId="0" xfId="2" applyFont="1" applyFill="1" applyAlignment="1">
      <alignment horizontal="center" vertical="center"/>
    </xf>
    <xf numFmtId="0" fontId="3" fillId="2" borderId="0" xfId="2" applyFont="1" applyFill="1" applyBorder="1" applyAlignment="1">
      <alignment wrapText="1"/>
    </xf>
    <xf numFmtId="0" fontId="3" fillId="2" borderId="0" xfId="2" applyFont="1" applyFill="1" applyBorder="1" applyAlignment="1">
      <alignment horizontal="left" vertical="center" wrapText="1"/>
    </xf>
    <xf numFmtId="0" fontId="3" fillId="2" borderId="0" xfId="2" applyNumberFormat="1" applyFont="1" applyFill="1" applyBorder="1" applyAlignment="1">
      <alignment horizontal="center" vertical="center" wrapText="1"/>
    </xf>
    <xf numFmtId="49" fontId="3" fillId="2" borderId="0" xfId="2" applyNumberFormat="1" applyFont="1" applyFill="1" applyBorder="1" applyAlignment="1">
      <alignment horizontal="center" vertical="center" wrapText="1"/>
    </xf>
    <xf numFmtId="0" fontId="3" fillId="2" borderId="0" xfId="2" applyFont="1" applyFill="1" applyBorder="1" applyAlignment="1">
      <alignment vertical="center" wrapText="1"/>
    </xf>
    <xf numFmtId="0" fontId="3" fillId="2" borderId="0" xfId="2" applyFont="1" applyFill="1" applyBorder="1" applyAlignment="1">
      <alignment horizontal="center" vertical="center" wrapText="1"/>
    </xf>
    <xf numFmtId="1" fontId="3" fillId="2" borderId="0" xfId="2" applyNumberFormat="1" applyFont="1" applyFill="1" applyBorder="1" applyAlignment="1">
      <alignment horizontal="center" vertical="center" wrapText="1"/>
    </xf>
    <xf numFmtId="4" fontId="3" fillId="2" borderId="0" xfId="2" applyNumberFormat="1" applyFont="1" applyFill="1" applyBorder="1" applyAlignment="1">
      <alignment horizontal="center" vertical="center" wrapText="1"/>
    </xf>
    <xf numFmtId="4" fontId="5" fillId="2" borderId="2" xfId="2" applyNumberFormat="1" applyFont="1" applyFill="1" applyBorder="1" applyAlignment="1">
      <alignment horizontal="center" vertical="center" wrapText="1"/>
    </xf>
    <xf numFmtId="4" fontId="5" fillId="0" borderId="3" xfId="2" applyNumberFormat="1" applyFont="1" applyFill="1" applyBorder="1" applyAlignment="1">
      <alignment horizontal="center" vertical="center" wrapText="1"/>
    </xf>
    <xf numFmtId="4" fontId="5" fillId="0" borderId="4" xfId="2" applyNumberFormat="1"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xf numFmtId="49" fontId="3" fillId="2" borderId="5" xfId="2" applyNumberFormat="1" applyFont="1" applyFill="1" applyBorder="1" applyAlignment="1">
      <alignment horizontal="right" vertical="center" wrapText="1"/>
    </xf>
    <xf numFmtId="0" fontId="5" fillId="2" borderId="6" xfId="2" applyFont="1" applyFill="1" applyBorder="1" applyAlignment="1">
      <alignment vertical="center" wrapText="1"/>
    </xf>
    <xf numFmtId="4" fontId="5" fillId="2" borderId="7" xfId="2" applyNumberFormat="1" applyFont="1" applyFill="1" applyBorder="1" applyAlignment="1">
      <alignment horizontal="center" vertical="center" wrapText="1"/>
    </xf>
    <xf numFmtId="0" fontId="3" fillId="2" borderId="6" xfId="2" applyFont="1" applyFill="1" applyBorder="1" applyAlignment="1">
      <alignment horizontal="left" vertical="center" wrapText="1"/>
    </xf>
    <xf numFmtId="4" fontId="3" fillId="2" borderId="7" xfId="2" applyNumberFormat="1" applyFont="1" applyFill="1" applyBorder="1" applyAlignment="1">
      <alignment horizontal="center" vertical="center" wrapText="1"/>
    </xf>
    <xf numFmtId="49" fontId="3" fillId="2" borderId="8" xfId="2" applyNumberFormat="1" applyFont="1" applyFill="1" applyBorder="1" applyAlignment="1">
      <alignment horizontal="right" vertical="center" wrapText="1"/>
    </xf>
    <xf numFmtId="4" fontId="3" fillId="2" borderId="10" xfId="2" applyNumberFormat="1" applyFont="1" applyFill="1" applyBorder="1" applyAlignment="1">
      <alignment horizontal="center" vertical="center" wrapText="1"/>
    </xf>
    <xf numFmtId="4" fontId="5" fillId="2" borderId="11" xfId="2" applyNumberFormat="1" applyFont="1" applyFill="1" applyBorder="1" applyAlignment="1">
      <alignment horizontal="center" vertical="center" wrapText="1"/>
    </xf>
    <xf numFmtId="4" fontId="5" fillId="2" borderId="3" xfId="2" applyNumberFormat="1" applyFont="1" applyFill="1" applyBorder="1" applyAlignment="1">
      <alignment horizontal="center" vertical="center" wrapText="1"/>
    </xf>
    <xf numFmtId="3" fontId="5" fillId="2" borderId="12" xfId="2" applyNumberFormat="1" applyFont="1" applyFill="1" applyBorder="1" applyAlignment="1">
      <alignment horizontal="center" vertical="center" wrapText="1"/>
    </xf>
    <xf numFmtId="3" fontId="5" fillId="2" borderId="6" xfId="2" applyNumberFormat="1" applyFont="1" applyFill="1" applyBorder="1" applyAlignment="1">
      <alignment horizontal="center" vertical="center" wrapText="1"/>
    </xf>
    <xf numFmtId="0" fontId="3" fillId="2" borderId="12" xfId="2" applyFont="1" applyFill="1" applyBorder="1" applyAlignment="1">
      <alignment horizontal="left" vertical="center" wrapText="1" indent="2"/>
    </xf>
    <xf numFmtId="4" fontId="3" fillId="2" borderId="6" xfId="2" applyNumberFormat="1" applyFont="1" applyFill="1" applyBorder="1" applyAlignment="1">
      <alignment horizontal="center" vertical="center" wrapText="1"/>
    </xf>
    <xf numFmtId="10" fontId="3" fillId="2" borderId="6" xfId="1" applyNumberFormat="1" applyFont="1" applyFill="1" applyBorder="1" applyAlignment="1">
      <alignment horizontal="center" vertical="center" wrapText="1"/>
    </xf>
    <xf numFmtId="0" fontId="11" fillId="2" borderId="12" xfId="2" applyFont="1" applyFill="1" applyBorder="1" applyAlignment="1">
      <alignment horizontal="left" vertical="center" wrapText="1" indent="2"/>
    </xf>
    <xf numFmtId="4" fontId="3" fillId="2" borderId="6" xfId="2" applyNumberFormat="1" applyFont="1" applyFill="1" applyBorder="1" applyAlignment="1">
      <alignment horizontal="center" vertical="center"/>
    </xf>
    <xf numFmtId="3" fontId="3" fillId="2" borderId="6" xfId="2" applyNumberFormat="1" applyFont="1" applyFill="1" applyBorder="1" applyAlignment="1">
      <alignment horizontal="center" vertical="center"/>
    </xf>
    <xf numFmtId="0" fontId="3" fillId="2" borderId="6" xfId="2" applyFont="1" applyFill="1" applyBorder="1" applyAlignment="1">
      <alignment horizontal="left" vertical="center" wrapText="1" indent="2"/>
    </xf>
    <xf numFmtId="164" fontId="3" fillId="2" borderId="6" xfId="2" applyNumberFormat="1" applyFont="1" applyFill="1" applyBorder="1" applyAlignment="1">
      <alignment horizontal="center" vertical="center" wrapText="1"/>
    </xf>
    <xf numFmtId="49" fontId="8" fillId="2" borderId="5" xfId="0" applyNumberFormat="1" applyFont="1" applyFill="1" applyBorder="1" applyAlignment="1">
      <alignment horizontal="right" vertical="center"/>
    </xf>
    <xf numFmtId="0" fontId="15" fillId="0" borderId="6" xfId="0" applyFont="1" applyFill="1" applyBorder="1" applyAlignment="1">
      <alignment horizontal="left" vertical="center" wrapText="1" indent="3"/>
    </xf>
    <xf numFmtId="0" fontId="8" fillId="2" borderId="6" xfId="0" applyFont="1" applyFill="1" applyBorder="1" applyAlignment="1">
      <alignment horizontal="left" vertical="center" wrapText="1" indent="5"/>
    </xf>
    <xf numFmtId="0" fontId="14" fillId="2" borderId="6" xfId="0" applyFont="1" applyFill="1" applyBorder="1" applyAlignment="1">
      <alignment horizontal="left" vertical="center" wrapText="1" indent="5"/>
    </xf>
    <xf numFmtId="0" fontId="11" fillId="2" borderId="14" xfId="2" applyFont="1" applyFill="1" applyBorder="1" applyAlignment="1">
      <alignment horizontal="left" vertical="center" wrapText="1" indent="2"/>
    </xf>
    <xf numFmtId="164" fontId="3" fillId="2" borderId="9" xfId="2" applyNumberFormat="1" applyFont="1" applyFill="1" applyBorder="1" applyAlignment="1">
      <alignment horizontal="center" vertical="center" wrapText="1"/>
    </xf>
    <xf numFmtId="49" fontId="3" fillId="2" borderId="15" xfId="2" applyNumberFormat="1" applyFont="1" applyFill="1" applyBorder="1" applyAlignment="1">
      <alignment horizontal="right" vertical="center" wrapText="1"/>
    </xf>
    <xf numFmtId="0" fontId="3" fillId="0" borderId="0" xfId="2" applyFont="1" applyFill="1" applyBorder="1" applyAlignment="1">
      <alignment horizontal="left" vertical="center" wrapText="1" indent="2"/>
    </xf>
    <xf numFmtId="4" fontId="3" fillId="0" borderId="0" xfId="2" applyNumberFormat="1" applyFont="1" applyFill="1" applyBorder="1" applyAlignment="1">
      <alignment horizontal="center" vertical="center" wrapText="1"/>
    </xf>
    <xf numFmtId="49" fontId="3" fillId="2" borderId="2" xfId="2" applyNumberFormat="1" applyFont="1" applyFill="1" applyBorder="1" applyAlignment="1">
      <alignment horizontal="right" vertical="center" wrapText="1"/>
    </xf>
    <xf numFmtId="49" fontId="3" fillId="2" borderId="6" xfId="2" applyNumberFormat="1"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12" xfId="2" applyFont="1" applyFill="1" applyBorder="1" applyAlignment="1">
      <alignment horizontal="left" vertical="center" wrapText="1" indent="4"/>
    </xf>
    <xf numFmtId="0" fontId="3" fillId="2" borderId="12" xfId="2" applyFont="1" applyFill="1" applyBorder="1" applyAlignment="1">
      <alignment horizontal="left" vertical="center" wrapText="1" indent="7"/>
    </xf>
    <xf numFmtId="0" fontId="11" fillId="2" borderId="12" xfId="2" applyFont="1" applyFill="1" applyBorder="1" applyAlignment="1">
      <alignment horizontal="left" vertical="center" wrapText="1" indent="7"/>
    </xf>
    <xf numFmtId="0" fontId="14" fillId="2" borderId="6" xfId="0" applyFont="1" applyFill="1" applyBorder="1" applyAlignment="1">
      <alignment horizontal="left" vertical="center" wrapText="1" indent="7"/>
    </xf>
    <xf numFmtId="0" fontId="8" fillId="2" borderId="6" xfId="0" applyFont="1" applyFill="1" applyBorder="1" applyAlignment="1">
      <alignment horizontal="left" vertical="center" wrapText="1" indent="7"/>
    </xf>
    <xf numFmtId="0" fontId="11" fillId="2" borderId="12" xfId="2" applyFont="1" applyFill="1" applyBorder="1" applyAlignment="1">
      <alignment horizontal="left" vertical="center" wrapText="1" indent="4"/>
    </xf>
    <xf numFmtId="49" fontId="3" fillId="2" borderId="5" xfId="2" applyNumberFormat="1" applyFont="1" applyFill="1" applyBorder="1" applyAlignment="1">
      <alignment horizontal="right" vertical="center"/>
    </xf>
    <xf numFmtId="0" fontId="14" fillId="2" borderId="6" xfId="0" applyFont="1" applyFill="1" applyBorder="1" applyAlignment="1">
      <alignment horizontal="left" vertical="center" wrapText="1" indent="4"/>
    </xf>
    <xf numFmtId="0" fontId="14" fillId="2" borderId="6" xfId="0" applyFont="1" applyFill="1" applyBorder="1" applyAlignment="1">
      <alignment horizontal="left" vertical="center" wrapText="1" indent="3"/>
    </xf>
    <xf numFmtId="3" fontId="3" fillId="2" borderId="6" xfId="2" applyNumberFormat="1" applyFont="1" applyFill="1" applyBorder="1" applyAlignment="1">
      <alignment horizontal="center" vertical="center" wrapText="1"/>
    </xf>
    <xf numFmtId="0" fontId="15" fillId="2" borderId="0" xfId="2" applyFont="1" applyFill="1"/>
    <xf numFmtId="0" fontId="8" fillId="2" borderId="6" xfId="0" applyFont="1" applyFill="1" applyBorder="1" applyAlignment="1">
      <alignment horizontal="left" vertical="center" wrapText="1" indent="2"/>
    </xf>
    <xf numFmtId="0" fontId="3" fillId="2" borderId="12" xfId="2" applyFont="1" applyFill="1" applyBorder="1" applyAlignment="1">
      <alignment horizontal="left" vertical="center" wrapText="1" indent="5"/>
    </xf>
    <xf numFmtId="0" fontId="11" fillId="2" borderId="12" xfId="2" applyFont="1" applyFill="1" applyBorder="1" applyAlignment="1">
      <alignment horizontal="left" vertical="center" wrapText="1" indent="5"/>
    </xf>
    <xf numFmtId="165" fontId="3" fillId="2" borderId="6" xfId="2" applyNumberFormat="1" applyFont="1" applyFill="1" applyBorder="1" applyAlignment="1">
      <alignment horizontal="center" vertical="center" wrapText="1"/>
    </xf>
    <xf numFmtId="4" fontId="15" fillId="2" borderId="6" xfId="2" applyNumberFormat="1" applyFont="1" applyFill="1" applyBorder="1" applyAlignment="1">
      <alignment horizontal="center" vertical="center"/>
    </xf>
    <xf numFmtId="0" fontId="3" fillId="2" borderId="12" xfId="2" applyFont="1" applyFill="1" applyBorder="1" applyAlignment="1">
      <alignment horizontal="left" wrapText="1" indent="5"/>
    </xf>
    <xf numFmtId="10" fontId="15" fillId="2" borderId="6" xfId="1" applyNumberFormat="1" applyFont="1" applyFill="1" applyBorder="1" applyAlignment="1">
      <alignment horizontal="center" vertical="center"/>
    </xf>
    <xf numFmtId="0" fontId="14" fillId="2" borderId="12" xfId="2" applyFont="1" applyFill="1" applyBorder="1" applyAlignment="1">
      <alignment horizontal="left" vertical="center" wrapText="1" indent="4"/>
    </xf>
    <xf numFmtId="49" fontId="3" fillId="2" borderId="8" xfId="2" applyNumberFormat="1" applyFont="1" applyFill="1" applyBorder="1" applyAlignment="1">
      <alignment horizontal="right" vertical="center"/>
    </xf>
    <xf numFmtId="0" fontId="11" fillId="2" borderId="14" xfId="2" applyFont="1" applyFill="1" applyBorder="1" applyAlignment="1">
      <alignment horizontal="left" vertical="center" wrapText="1" indent="4"/>
    </xf>
    <xf numFmtId="10" fontId="3" fillId="2" borderId="9" xfId="1" applyNumberFormat="1" applyFont="1" applyFill="1" applyBorder="1" applyAlignment="1">
      <alignment horizontal="center" vertical="center" wrapText="1"/>
    </xf>
    <xf numFmtId="0" fontId="3" fillId="2" borderId="0" xfId="2" applyFont="1" applyFill="1" applyBorder="1" applyAlignment="1">
      <alignment horizontal="left" vertical="center" wrapText="1" indent="2"/>
    </xf>
    <xf numFmtId="49" fontId="15" fillId="2" borderId="2" xfId="2" applyNumberFormat="1" applyFont="1" applyFill="1" applyBorder="1" applyAlignment="1">
      <alignment horizontal="right" vertical="center"/>
    </xf>
    <xf numFmtId="49" fontId="15" fillId="2" borderId="5" xfId="2" applyNumberFormat="1" applyFont="1" applyFill="1" applyBorder="1" applyAlignment="1">
      <alignment horizontal="right" vertical="center"/>
    </xf>
    <xf numFmtId="9" fontId="3" fillId="2" borderId="6" xfId="1" applyFont="1" applyFill="1" applyBorder="1" applyAlignment="1">
      <alignment horizontal="center" vertical="center" wrapText="1"/>
    </xf>
    <xf numFmtId="0" fontId="11" fillId="0" borderId="12" xfId="2" applyFont="1" applyFill="1" applyBorder="1" applyAlignment="1">
      <alignment horizontal="left" vertical="center" wrapText="1" indent="4"/>
    </xf>
    <xf numFmtId="166" fontId="3" fillId="2" borderId="6" xfId="1" applyNumberFormat="1" applyFont="1" applyFill="1" applyBorder="1" applyAlignment="1">
      <alignment horizontal="center" vertical="center" wrapText="1"/>
    </xf>
    <xf numFmtId="49" fontId="15" fillId="2" borderId="8" xfId="2" applyNumberFormat="1" applyFont="1" applyFill="1" applyBorder="1" applyAlignment="1">
      <alignment horizontal="right" vertical="center"/>
    </xf>
    <xf numFmtId="0" fontId="8" fillId="2" borderId="9" xfId="0" applyFont="1" applyFill="1" applyBorder="1" applyAlignment="1">
      <alignment horizontal="left" vertical="center" wrapText="1" indent="4"/>
    </xf>
    <xf numFmtId="4" fontId="3" fillId="2" borderId="9" xfId="2" applyNumberFormat="1" applyFont="1" applyFill="1" applyBorder="1" applyAlignment="1">
      <alignment horizontal="center" vertical="center" wrapText="1"/>
    </xf>
    <xf numFmtId="49" fontId="3" fillId="2" borderId="2" xfId="2" applyNumberFormat="1" applyFont="1" applyFill="1" applyBorder="1" applyAlignment="1">
      <alignment horizontal="right" vertical="center"/>
    </xf>
    <xf numFmtId="0" fontId="3" fillId="2" borderId="6" xfId="2" applyNumberFormat="1" applyFont="1" applyFill="1" applyBorder="1" applyAlignment="1">
      <alignment horizontal="center" vertical="center" wrapText="1"/>
    </xf>
    <xf numFmtId="0" fontId="3" fillId="2" borderId="6" xfId="2" applyFont="1" applyFill="1" applyBorder="1" applyAlignment="1">
      <alignment horizontal="left" vertical="center" wrapText="1" indent="4"/>
    </xf>
    <xf numFmtId="0" fontId="8" fillId="2" borderId="6" xfId="0" applyFont="1" applyFill="1" applyBorder="1" applyAlignment="1">
      <alignment horizontal="left" vertical="center" wrapText="1" indent="6"/>
    </xf>
    <xf numFmtId="0" fontId="8" fillId="2" borderId="9" xfId="0" applyFont="1" applyFill="1" applyBorder="1" applyAlignment="1">
      <alignment horizontal="left" vertical="center" wrapText="1" indent="7"/>
    </xf>
    <xf numFmtId="0" fontId="3" fillId="2" borderId="0" xfId="2" applyFont="1" applyFill="1" applyBorder="1"/>
    <xf numFmtId="0" fontId="3" fillId="2" borderId="14" xfId="2" applyFont="1" applyFill="1" applyBorder="1" applyAlignment="1">
      <alignment horizontal="left" vertical="center" wrapText="1" indent="2"/>
    </xf>
    <xf numFmtId="0" fontId="15" fillId="2" borderId="6" xfId="2" applyFont="1" applyFill="1" applyBorder="1" applyAlignment="1">
      <alignment horizontal="left" vertical="center" wrapText="1" indent="2"/>
    </xf>
    <xf numFmtId="4" fontId="3" fillId="2" borderId="6" xfId="1" applyNumberFormat="1" applyFont="1" applyFill="1" applyBorder="1" applyAlignment="1">
      <alignment horizontal="center" vertical="center" wrapText="1"/>
    </xf>
    <xf numFmtId="0" fontId="15" fillId="2" borderId="9" xfId="2" applyFont="1" applyFill="1" applyBorder="1" applyAlignment="1">
      <alignment horizontal="left" vertical="center" wrapText="1" indent="2"/>
    </xf>
    <xf numFmtId="4" fontId="15" fillId="2" borderId="9" xfId="2" applyNumberFormat="1" applyFont="1" applyFill="1" applyBorder="1" applyAlignment="1">
      <alignment horizontal="center" vertical="center" wrapText="1"/>
    </xf>
    <xf numFmtId="49" fontId="3" fillId="2" borderId="17" xfId="2" applyNumberFormat="1" applyFont="1" applyFill="1" applyBorder="1" applyAlignment="1">
      <alignment horizontal="right" vertical="center"/>
    </xf>
    <xf numFmtId="0" fontId="3" fillId="2" borderId="18" xfId="2" applyFont="1" applyFill="1" applyBorder="1" applyAlignment="1">
      <alignment horizontal="left" vertical="center" wrapText="1" indent="4"/>
    </xf>
    <xf numFmtId="10" fontId="3" fillId="2" borderId="18" xfId="1" applyNumberFormat="1" applyFont="1" applyFill="1" applyBorder="1" applyAlignment="1">
      <alignment horizontal="center" vertical="center" wrapText="1"/>
    </xf>
    <xf numFmtId="0" fontId="3" fillId="2" borderId="9" xfId="2" applyFont="1" applyFill="1" applyBorder="1" applyAlignment="1">
      <alignment horizontal="left" vertical="center" wrapText="1" indent="4"/>
    </xf>
    <xf numFmtId="0" fontId="21" fillId="2" borderId="3" xfId="0" applyFont="1" applyFill="1" applyBorder="1" applyAlignment="1">
      <alignment horizontal="left" vertical="center" wrapText="1"/>
    </xf>
    <xf numFmtId="4" fontId="3" fillId="2" borderId="3" xfId="2" applyNumberFormat="1" applyFont="1" applyFill="1" applyBorder="1" applyAlignment="1">
      <alignment horizontal="center" vertical="center" wrapText="1"/>
    </xf>
    <xf numFmtId="0" fontId="11" fillId="2" borderId="6" xfId="2" applyFont="1" applyFill="1" applyBorder="1" applyAlignment="1">
      <alignment horizontal="left" vertical="center" wrapText="1" indent="4"/>
    </xf>
    <xf numFmtId="0" fontId="11" fillId="2" borderId="9" xfId="2" applyFont="1" applyFill="1" applyBorder="1" applyAlignment="1">
      <alignment horizontal="left" vertical="center" wrapText="1" indent="4"/>
    </xf>
    <xf numFmtId="0" fontId="30" fillId="2" borderId="3" xfId="3" applyFont="1" applyFill="1" applyBorder="1" applyAlignment="1">
      <alignment horizontal="left" vertical="center" wrapText="1"/>
    </xf>
    <xf numFmtId="10" fontId="3" fillId="2" borderId="3" xfId="1" applyNumberFormat="1" applyFont="1" applyFill="1" applyBorder="1" applyAlignment="1">
      <alignment horizontal="center" vertical="center" wrapText="1"/>
    </xf>
    <xf numFmtId="0" fontId="3" fillId="2" borderId="0" xfId="2" applyFont="1" applyFill="1" applyBorder="1" applyAlignment="1">
      <alignment horizontal="right" vertical="center"/>
    </xf>
    <xf numFmtId="0" fontId="3" fillId="2" borderId="20" xfId="2" applyFont="1" applyFill="1" applyBorder="1" applyAlignment="1">
      <alignment horizontal="right" wrapText="1" indent="1"/>
    </xf>
    <xf numFmtId="0" fontId="3" fillId="2" borderId="21" xfId="2" applyFont="1" applyFill="1" applyBorder="1" applyAlignment="1">
      <alignment horizontal="center" vertical="center" wrapText="1"/>
    </xf>
    <xf numFmtId="0" fontId="3" fillId="2" borderId="2" xfId="2" applyFont="1" applyFill="1" applyBorder="1"/>
    <xf numFmtId="10" fontId="15" fillId="2" borderId="4" xfId="2" applyNumberFormat="1" applyFont="1" applyFill="1" applyBorder="1" applyAlignment="1" applyProtection="1">
      <alignment vertical="center"/>
    </xf>
    <xf numFmtId="0" fontId="3" fillId="2" borderId="5" xfId="2" applyFont="1" applyFill="1" applyBorder="1"/>
    <xf numFmtId="10" fontId="15" fillId="2" borderId="7" xfId="2" applyNumberFormat="1" applyFont="1" applyFill="1" applyBorder="1" applyAlignment="1" applyProtection="1">
      <alignment vertical="center"/>
    </xf>
    <xf numFmtId="0" fontId="3" fillId="2" borderId="8" xfId="2" applyFont="1" applyFill="1" applyBorder="1"/>
    <xf numFmtId="10" fontId="15" fillId="2" borderId="10" xfId="2" applyNumberFormat="1" applyFont="1" applyFill="1" applyBorder="1" applyAlignment="1" applyProtection="1">
      <alignment vertical="center"/>
    </xf>
    <xf numFmtId="0" fontId="3" fillId="2" borderId="17" xfId="2" applyFont="1" applyFill="1" applyBorder="1"/>
    <xf numFmtId="10" fontId="15" fillId="2" borderId="19" xfId="2" applyNumberFormat="1" applyFont="1" applyFill="1" applyBorder="1" applyAlignment="1" applyProtection="1">
      <alignment vertical="center"/>
    </xf>
    <xf numFmtId="0" fontId="3" fillId="2" borderId="0" xfId="2" applyFont="1" applyFill="1" applyAlignment="1" applyProtection="1">
      <alignment horizontal="center" vertical="center"/>
    </xf>
    <xf numFmtId="0" fontId="5" fillId="2" borderId="0" xfId="2" applyFont="1" applyFill="1" applyAlignment="1">
      <alignment horizontal="left" vertical="center"/>
    </xf>
    <xf numFmtId="4" fontId="5" fillId="2" borderId="4" xfId="2" applyNumberFormat="1"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7" xfId="2" applyFont="1" applyFill="1" applyBorder="1" applyAlignment="1">
      <alignment horizontal="center" vertical="center" wrapText="1"/>
    </xf>
    <xf numFmtId="165" fontId="3" fillId="2" borderId="6" xfId="2" applyNumberFormat="1" applyFont="1" applyFill="1" applyBorder="1" applyAlignment="1">
      <alignment horizontal="center" vertical="center"/>
    </xf>
    <xf numFmtId="49" fontId="3" fillId="2" borderId="6" xfId="2" applyNumberFormat="1" applyFont="1" applyFill="1" applyBorder="1" applyAlignment="1">
      <alignment horizontal="right" vertical="center" wrapText="1"/>
    </xf>
    <xf numFmtId="49" fontId="8" fillId="2" borderId="6" xfId="0" applyNumberFormat="1" applyFont="1" applyFill="1" applyBorder="1" applyAlignment="1">
      <alignment horizontal="right" vertical="center"/>
    </xf>
    <xf numFmtId="167" fontId="3" fillId="2" borderId="6" xfId="1" applyNumberFormat="1" applyFont="1" applyFill="1" applyBorder="1" applyAlignment="1">
      <alignment horizontal="center" vertical="center" wrapText="1"/>
    </xf>
    <xf numFmtId="167" fontId="3" fillId="2" borderId="6" xfId="2" applyNumberFormat="1" applyFont="1" applyFill="1" applyBorder="1" applyAlignment="1">
      <alignment horizontal="center" vertical="center" wrapText="1"/>
    </xf>
    <xf numFmtId="2" fontId="3" fillId="2" borderId="6" xfId="2" applyNumberFormat="1" applyFont="1" applyFill="1" applyBorder="1" applyAlignment="1">
      <alignment horizontal="center" vertical="center" wrapText="1"/>
    </xf>
    <xf numFmtId="4" fontId="15" fillId="2" borderId="6" xfId="2" applyNumberFormat="1" applyFont="1" applyFill="1" applyBorder="1" applyAlignment="1">
      <alignment horizontal="center" vertical="center" wrapText="1"/>
    </xf>
    <xf numFmtId="10" fontId="3" fillId="2" borderId="3" xfId="2" applyNumberFormat="1" applyFont="1" applyFill="1" applyBorder="1" applyAlignment="1">
      <alignment horizontal="center" vertical="center" wrapText="1"/>
    </xf>
    <xf numFmtId="0" fontId="3" fillId="2" borderId="2" xfId="2" applyFont="1" applyFill="1" applyBorder="1" applyAlignment="1">
      <alignment horizontal="right" wrapText="1" indent="1"/>
    </xf>
    <xf numFmtId="0" fontId="3" fillId="2" borderId="4" xfId="2" applyFont="1" applyFill="1" applyBorder="1" applyAlignment="1">
      <alignment horizontal="center" vertical="center" wrapText="1"/>
    </xf>
    <xf numFmtId="0" fontId="3" fillId="2" borderId="5" xfId="2" applyFont="1" applyFill="1" applyBorder="1" applyProtection="1"/>
    <xf numFmtId="10" fontId="15" fillId="2" borderId="7" xfId="2" applyNumberFormat="1" applyFont="1" applyFill="1" applyBorder="1" applyAlignment="1" applyProtection="1">
      <alignment horizontal="right" vertical="center"/>
    </xf>
    <xf numFmtId="10" fontId="3" fillId="2" borderId="7" xfId="2" applyNumberFormat="1" applyFont="1" applyFill="1" applyBorder="1" applyAlignment="1" applyProtection="1">
      <alignment horizontal="right" vertical="center"/>
    </xf>
    <xf numFmtId="10" fontId="3" fillId="2" borderId="7" xfId="2" applyNumberFormat="1" applyFont="1" applyFill="1" applyBorder="1" applyAlignment="1" applyProtection="1">
      <alignment vertical="center"/>
    </xf>
    <xf numFmtId="10" fontId="3" fillId="2" borderId="7" xfId="2" applyNumberFormat="1" applyFont="1" applyFill="1" applyBorder="1" applyAlignment="1" applyProtection="1">
      <alignment vertical="center"/>
      <protection locked="0"/>
    </xf>
    <xf numFmtId="10" fontId="3" fillId="2" borderId="10" xfId="2" applyNumberFormat="1" applyFont="1" applyFill="1" applyBorder="1" applyAlignment="1" applyProtection="1">
      <alignment vertical="center"/>
      <protection locked="0"/>
    </xf>
    <xf numFmtId="0" fontId="3" fillId="2" borderId="22" xfId="2" applyFont="1" applyFill="1" applyBorder="1"/>
    <xf numFmtId="0" fontId="3" fillId="2" borderId="22" xfId="2" applyFont="1" applyFill="1" applyBorder="1" applyAlignment="1">
      <alignment vertical="center"/>
    </xf>
    <xf numFmtId="0" fontId="3" fillId="2" borderId="0" xfId="2" applyFont="1" applyFill="1" applyAlignment="1">
      <alignment vertical="center"/>
    </xf>
    <xf numFmtId="0" fontId="3" fillId="2" borderId="9" xfId="2" applyFont="1" applyFill="1" applyBorder="1" applyAlignment="1">
      <alignment horizontal="left" vertical="center" wrapText="1"/>
    </xf>
    <xf numFmtId="0" fontId="3" fillId="2" borderId="0" xfId="2" applyFont="1" applyFill="1" applyAlignment="1">
      <alignment horizontal="left"/>
    </xf>
    <xf numFmtId="0" fontId="3" fillId="2" borderId="0" xfId="2" applyFont="1" applyFill="1" applyBorder="1" applyAlignment="1">
      <alignment horizontal="left"/>
    </xf>
    <xf numFmtId="4" fontId="5" fillId="2" borderId="4" xfId="2" applyNumberFormat="1" applyFont="1" applyFill="1" applyBorder="1" applyAlignment="1">
      <alignment horizontal="left" vertical="center" wrapText="1"/>
    </xf>
    <xf numFmtId="3" fontId="5" fillId="2" borderId="7" xfId="2" applyNumberFormat="1" applyFont="1" applyFill="1" applyBorder="1" applyAlignment="1">
      <alignment horizontal="center" vertical="center" wrapText="1"/>
    </xf>
    <xf numFmtId="0" fontId="3" fillId="2" borderId="7" xfId="2" applyFont="1" applyFill="1" applyBorder="1" applyAlignment="1">
      <alignment horizontal="left" vertical="center" wrapText="1"/>
    </xf>
    <xf numFmtId="0" fontId="3" fillId="2" borderId="7" xfId="2" applyFont="1" applyFill="1" applyBorder="1" applyAlignment="1">
      <alignment horizontal="left" vertical="center"/>
    </xf>
    <xf numFmtId="0" fontId="15" fillId="2" borderId="7" xfId="2" applyFont="1" applyFill="1" applyBorder="1" applyAlignment="1">
      <alignment horizontal="left" vertical="center" wrapText="1"/>
    </xf>
    <xf numFmtId="0" fontId="3" fillId="2" borderId="10" xfId="2" applyFont="1" applyFill="1" applyBorder="1" applyAlignment="1">
      <alignment horizontal="left" vertical="center" wrapText="1"/>
    </xf>
    <xf numFmtId="0" fontId="3" fillId="0" borderId="24" xfId="2" applyFont="1" applyFill="1" applyBorder="1" applyAlignment="1">
      <alignment horizontal="left" vertical="center"/>
    </xf>
    <xf numFmtId="0" fontId="3" fillId="2" borderId="7" xfId="2" applyNumberFormat="1" applyFont="1" applyFill="1" applyBorder="1" applyAlignment="1">
      <alignment horizontal="left" vertical="center" wrapText="1"/>
    </xf>
    <xf numFmtId="4" fontId="3" fillId="2" borderId="7" xfId="2" applyNumberFormat="1" applyFont="1" applyFill="1" applyBorder="1" applyAlignment="1">
      <alignment horizontal="left" vertical="center" wrapText="1"/>
    </xf>
    <xf numFmtId="10" fontId="3" fillId="2" borderId="7" xfId="2" applyNumberFormat="1" applyFont="1" applyFill="1" applyBorder="1" applyAlignment="1">
      <alignment horizontal="left" vertical="center" wrapText="1"/>
    </xf>
    <xf numFmtId="0" fontId="3" fillId="2" borderId="10" xfId="2" applyFont="1" applyFill="1" applyBorder="1" applyAlignment="1">
      <alignment horizontal="left" vertical="center"/>
    </xf>
    <xf numFmtId="0" fontId="3" fillId="2" borderId="24" xfId="2" applyFont="1" applyFill="1" applyBorder="1" applyAlignment="1">
      <alignment horizontal="left" vertical="center"/>
    </xf>
    <xf numFmtId="0" fontId="15" fillId="2" borderId="10" xfId="2" applyFont="1" applyFill="1" applyBorder="1" applyAlignment="1">
      <alignment horizontal="left" vertical="center" wrapText="1"/>
    </xf>
    <xf numFmtId="0" fontId="3" fillId="2" borderId="19" xfId="2" applyFont="1" applyFill="1" applyBorder="1" applyAlignment="1">
      <alignment horizontal="left" vertical="center" wrapText="1"/>
    </xf>
    <xf numFmtId="0" fontId="3" fillId="2" borderId="4" xfId="2" applyFont="1" applyFill="1" applyBorder="1" applyAlignment="1">
      <alignment horizontal="left" vertical="center" wrapText="1"/>
    </xf>
    <xf numFmtId="0" fontId="3" fillId="2" borderId="4" xfId="2" applyFont="1" applyFill="1" applyBorder="1" applyAlignment="1">
      <alignment horizontal="left" vertical="top" wrapText="1"/>
    </xf>
    <xf numFmtId="0" fontId="3" fillId="2" borderId="0" xfId="2" applyFont="1" applyFill="1" applyAlignment="1">
      <alignment horizontal="left" vertical="center" wrapText="1"/>
    </xf>
    <xf numFmtId="0" fontId="3" fillId="2" borderId="24" xfId="2" applyFont="1" applyFill="1" applyBorder="1" applyAlignment="1">
      <alignment horizontal="left" vertical="center" wrapText="1"/>
    </xf>
    <xf numFmtId="0" fontId="3" fillId="2" borderId="9" xfId="2" applyFont="1" applyFill="1" applyBorder="1" applyAlignment="1">
      <alignment horizontal="left" vertical="center" wrapText="1"/>
    </xf>
    <xf numFmtId="0" fontId="5" fillId="2" borderId="1" xfId="2" applyFont="1" applyFill="1" applyBorder="1" applyAlignment="1">
      <alignment horizontal="left" wrapText="1"/>
    </xf>
    <xf numFmtId="0" fontId="4" fillId="2" borderId="0" xfId="2" applyFont="1" applyFill="1" applyBorder="1" applyAlignment="1">
      <alignment horizontal="center" vertical="center" wrapText="1"/>
    </xf>
    <xf numFmtId="0" fontId="5" fillId="2" borderId="13" xfId="2" applyFont="1" applyFill="1" applyBorder="1" applyAlignment="1">
      <alignment horizontal="left" vertical="center" wrapText="1"/>
    </xf>
    <xf numFmtId="0" fontId="5" fillId="2" borderId="16" xfId="2" applyFont="1" applyFill="1" applyBorder="1" applyAlignment="1">
      <alignment horizontal="left" vertical="center" wrapText="1"/>
    </xf>
    <xf numFmtId="0" fontId="5" fillId="2" borderId="3" xfId="2" applyFont="1" applyFill="1" applyBorder="1" applyAlignment="1">
      <alignment horizontal="left" vertical="center" wrapText="1"/>
    </xf>
    <xf numFmtId="0" fontId="5" fillId="2" borderId="1" xfId="2" applyFont="1" applyFill="1" applyBorder="1" applyAlignment="1">
      <alignment horizontal="center" wrapText="1"/>
    </xf>
    <xf numFmtId="0" fontId="3" fillId="2" borderId="10" xfId="2" applyFont="1" applyFill="1" applyBorder="1" applyAlignment="1">
      <alignment horizontal="left" vertical="center" wrapText="1"/>
    </xf>
    <xf numFmtId="0" fontId="5" fillId="2" borderId="23" xfId="2" applyFont="1" applyFill="1" applyBorder="1" applyAlignment="1">
      <alignment horizontal="left" vertical="center" wrapText="1"/>
    </xf>
    <xf numFmtId="0" fontId="5" fillId="2" borderId="25" xfId="2" applyFont="1" applyFill="1" applyBorder="1" applyAlignment="1">
      <alignment horizontal="left" vertical="center" wrapText="1"/>
    </xf>
    <xf numFmtId="0" fontId="5" fillId="2" borderId="4" xfId="2" applyFont="1" applyFill="1" applyBorder="1" applyAlignment="1">
      <alignment horizontal="left" vertical="center" wrapText="1"/>
    </xf>
  </cellXfs>
  <cellStyles count="4">
    <cellStyle name="Обычный" xfId="0" builtinId="0"/>
    <cellStyle name="Обычный 80" xfId="2"/>
    <cellStyle name="Обычный_Копия Condition-все вар13.12.08-утнах17-50" xfId="3"/>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externalLink" Target="externalLinks/externalLink2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externalLink" Target="externalLinks/externalLink21.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1025" name="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026" name="Button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47625</xdr:colOff>
          <xdr:row>0</xdr:row>
          <xdr:rowOff>104775</xdr:rowOff>
        </xdr:from>
        <xdr:to>
          <xdr:col>5</xdr:col>
          <xdr:colOff>0</xdr:colOff>
          <xdr:row>0</xdr:row>
          <xdr:rowOff>352425</xdr:rowOff>
        </xdr:to>
        <xdr:sp macro="" textlink="">
          <xdr:nvSpPr>
            <xdr:cNvPr id="10241" name="Button 1" hidden="1">
              <a:extLst>
                <a:ext uri="{63B3BB69-23CF-44E3-9099-C40C66FF867C}">
                  <a14:compatExt spid="_x0000_s1024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0</xdr:row>
          <xdr:rowOff>104775</xdr:rowOff>
        </xdr:from>
        <xdr:to>
          <xdr:col>5</xdr:col>
          <xdr:colOff>1095375</xdr:colOff>
          <xdr:row>0</xdr:row>
          <xdr:rowOff>352425</xdr:rowOff>
        </xdr:to>
        <xdr:sp macro="" textlink="">
          <xdr:nvSpPr>
            <xdr:cNvPr id="10242" name="Button 2" hidden="1">
              <a:extLst>
                <a:ext uri="{63B3BB69-23CF-44E3-9099-C40C66FF867C}">
                  <a14:compatExt spid="_x0000_s1024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11265" name="Button 1" hidden="1">
              <a:extLst>
                <a:ext uri="{63B3BB69-23CF-44E3-9099-C40C66FF867C}">
                  <a14:compatExt spid="_x0000_s1126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1266" name="Button 2" hidden="1">
              <a:extLst>
                <a:ext uri="{63B3BB69-23CF-44E3-9099-C40C66FF867C}">
                  <a14:compatExt spid="_x0000_s1126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47625</xdr:colOff>
          <xdr:row>0</xdr:row>
          <xdr:rowOff>104775</xdr:rowOff>
        </xdr:from>
        <xdr:to>
          <xdr:col>5</xdr:col>
          <xdr:colOff>0</xdr:colOff>
          <xdr:row>0</xdr:row>
          <xdr:rowOff>352425</xdr:rowOff>
        </xdr:to>
        <xdr:sp macro="" textlink="">
          <xdr:nvSpPr>
            <xdr:cNvPr id="12289" name="Button 1" hidden="1">
              <a:extLst>
                <a:ext uri="{63B3BB69-23CF-44E3-9099-C40C66FF867C}">
                  <a14:compatExt spid="_x0000_s1228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0</xdr:row>
          <xdr:rowOff>104775</xdr:rowOff>
        </xdr:from>
        <xdr:to>
          <xdr:col>5</xdr:col>
          <xdr:colOff>1095375</xdr:colOff>
          <xdr:row>0</xdr:row>
          <xdr:rowOff>352425</xdr:rowOff>
        </xdr:to>
        <xdr:sp macro="" textlink="">
          <xdr:nvSpPr>
            <xdr:cNvPr id="12290" name="Button 2" hidden="1">
              <a:extLst>
                <a:ext uri="{63B3BB69-23CF-44E3-9099-C40C66FF867C}">
                  <a14:compatExt spid="_x0000_s1229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104775</xdr:rowOff>
        </xdr:from>
        <xdr:to>
          <xdr:col>4</xdr:col>
          <xdr:colOff>0</xdr:colOff>
          <xdr:row>0</xdr:row>
          <xdr:rowOff>352425</xdr:rowOff>
        </xdr:to>
        <xdr:sp macro="" textlink="">
          <xdr:nvSpPr>
            <xdr:cNvPr id="13313" name="Button 1" hidden="1">
              <a:extLst>
                <a:ext uri="{63B3BB69-23CF-44E3-9099-C40C66FF867C}">
                  <a14:compatExt spid="_x0000_s1331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47625</xdr:colOff>
          <xdr:row>0</xdr:row>
          <xdr:rowOff>104775</xdr:rowOff>
        </xdr:from>
        <xdr:to>
          <xdr:col>4</xdr:col>
          <xdr:colOff>1095375</xdr:colOff>
          <xdr:row>0</xdr:row>
          <xdr:rowOff>352425</xdr:rowOff>
        </xdr:to>
        <xdr:sp macro="" textlink="">
          <xdr:nvSpPr>
            <xdr:cNvPr id="13314" name="Button 2" hidden="1">
              <a:extLst>
                <a:ext uri="{63B3BB69-23CF-44E3-9099-C40C66FF867C}">
                  <a14:compatExt spid="_x0000_s1331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14337" name="Button 1" hidden="1">
              <a:extLst>
                <a:ext uri="{63B3BB69-23CF-44E3-9099-C40C66FF867C}">
                  <a14:compatExt spid="_x0000_s1433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4338" name="Button 2" hidden="1">
              <a:extLst>
                <a:ext uri="{63B3BB69-23CF-44E3-9099-C40C66FF867C}">
                  <a14:compatExt spid="_x0000_s1433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104775</xdr:rowOff>
        </xdr:from>
        <xdr:to>
          <xdr:col>4</xdr:col>
          <xdr:colOff>0</xdr:colOff>
          <xdr:row>0</xdr:row>
          <xdr:rowOff>352425</xdr:rowOff>
        </xdr:to>
        <xdr:sp macro="" textlink="">
          <xdr:nvSpPr>
            <xdr:cNvPr id="15361" name="Button 1" hidden="1">
              <a:extLst>
                <a:ext uri="{63B3BB69-23CF-44E3-9099-C40C66FF867C}">
                  <a14:compatExt spid="_x0000_s1536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47625</xdr:colOff>
          <xdr:row>0</xdr:row>
          <xdr:rowOff>104775</xdr:rowOff>
        </xdr:from>
        <xdr:to>
          <xdr:col>4</xdr:col>
          <xdr:colOff>1095375</xdr:colOff>
          <xdr:row>0</xdr:row>
          <xdr:rowOff>352425</xdr:rowOff>
        </xdr:to>
        <xdr:sp macro="" textlink="">
          <xdr:nvSpPr>
            <xdr:cNvPr id="15362" name="Button 2" hidden="1">
              <a:extLst>
                <a:ext uri="{63B3BB69-23CF-44E3-9099-C40C66FF867C}">
                  <a14:compatExt spid="_x0000_s1536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16385" name="Button 1" hidden="1">
              <a:extLst>
                <a:ext uri="{63B3BB69-23CF-44E3-9099-C40C66FF867C}">
                  <a14:compatExt spid="_x0000_s1638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6386" name="Button 2" hidden="1">
              <a:extLst>
                <a:ext uri="{63B3BB69-23CF-44E3-9099-C40C66FF867C}">
                  <a14:compatExt spid="_x0000_s1638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18433" name="Button 1" hidden="1">
              <a:extLst>
                <a:ext uri="{63B3BB69-23CF-44E3-9099-C40C66FF867C}">
                  <a14:compatExt spid="_x0000_s1843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18434" name="Button 2" hidden="1">
              <a:extLst>
                <a:ext uri="{63B3BB69-23CF-44E3-9099-C40C66FF867C}">
                  <a14:compatExt spid="_x0000_s1843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104775</xdr:rowOff>
        </xdr:from>
        <xdr:to>
          <xdr:col>4</xdr:col>
          <xdr:colOff>0</xdr:colOff>
          <xdr:row>0</xdr:row>
          <xdr:rowOff>352425</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47625</xdr:colOff>
          <xdr:row>0</xdr:row>
          <xdr:rowOff>104775</xdr:rowOff>
        </xdr:from>
        <xdr:to>
          <xdr:col>4</xdr:col>
          <xdr:colOff>1095375</xdr:colOff>
          <xdr:row>0</xdr:row>
          <xdr:rowOff>352425</xdr:rowOff>
        </xdr:to>
        <xdr:sp macro="" textlink="">
          <xdr:nvSpPr>
            <xdr:cNvPr id="19458" name="Button 2" hidden="1">
              <a:extLst>
                <a:ext uri="{63B3BB69-23CF-44E3-9099-C40C66FF867C}">
                  <a14:compatExt spid="_x0000_s1945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0</xdr:row>
          <xdr:rowOff>85725</xdr:rowOff>
        </xdr:from>
        <xdr:to>
          <xdr:col>5</xdr:col>
          <xdr:colOff>0</xdr:colOff>
          <xdr:row>0</xdr:row>
          <xdr:rowOff>238125</xdr:rowOff>
        </xdr:to>
        <xdr:sp macro="" textlink="">
          <xdr:nvSpPr>
            <xdr:cNvPr id="20481" name="Button 1" hidden="1">
              <a:extLst>
                <a:ext uri="{63B3BB69-23CF-44E3-9099-C40C66FF867C}">
                  <a14:compatExt spid="_x0000_s2048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5</xdr:col>
          <xdr:colOff>0</xdr:colOff>
          <xdr:row>0</xdr:row>
          <xdr:rowOff>238125</xdr:rowOff>
        </xdr:to>
        <xdr:sp macro="" textlink="">
          <xdr:nvSpPr>
            <xdr:cNvPr id="20482" name="Button 2" hidden="1">
              <a:extLst>
                <a:ext uri="{63B3BB69-23CF-44E3-9099-C40C66FF867C}">
                  <a14:compatExt spid="_x0000_s2048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38100</xdr:colOff>
          <xdr:row>0</xdr:row>
          <xdr:rowOff>85725</xdr:rowOff>
        </xdr:from>
        <xdr:to>
          <xdr:col>5</xdr:col>
          <xdr:colOff>1000125</xdr:colOff>
          <xdr:row>0</xdr:row>
          <xdr:rowOff>238125</xdr:rowOff>
        </xdr:to>
        <xdr:sp macro="" textlink="">
          <xdr:nvSpPr>
            <xdr:cNvPr id="20483" name="Button 3" hidden="1">
              <a:extLst>
                <a:ext uri="{63B3BB69-23CF-44E3-9099-C40C66FF867C}">
                  <a14:compatExt spid="_x0000_s2048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2049" name="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2050" name="Button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104775</xdr:rowOff>
        </xdr:from>
        <xdr:to>
          <xdr:col>4</xdr:col>
          <xdr:colOff>0</xdr:colOff>
          <xdr:row>0</xdr:row>
          <xdr:rowOff>352425</xdr:rowOff>
        </xdr:to>
        <xdr:sp macro="" textlink="">
          <xdr:nvSpPr>
            <xdr:cNvPr id="3073" name="Button 1" hidden="1">
              <a:extLst>
                <a:ext uri="{63B3BB69-23CF-44E3-9099-C40C66FF867C}">
                  <a14:compatExt spid="_x0000_s307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47625</xdr:colOff>
          <xdr:row>0</xdr:row>
          <xdr:rowOff>104775</xdr:rowOff>
        </xdr:from>
        <xdr:to>
          <xdr:col>4</xdr:col>
          <xdr:colOff>1095375</xdr:colOff>
          <xdr:row>0</xdr:row>
          <xdr:rowOff>352425</xdr:rowOff>
        </xdr:to>
        <xdr:sp macro="" textlink="">
          <xdr:nvSpPr>
            <xdr:cNvPr id="3074" name="Button 2" hidden="1">
              <a:extLst>
                <a:ext uri="{63B3BB69-23CF-44E3-9099-C40C66FF867C}">
                  <a14:compatExt spid="_x0000_s307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4097" name="Button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4098" name="Button 2" hidden="1">
              <a:extLst>
                <a:ext uri="{63B3BB69-23CF-44E3-9099-C40C66FF867C}">
                  <a14:compatExt spid="_x0000_s409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5</xdr:col>
          <xdr:colOff>0</xdr:colOff>
          <xdr:row>0</xdr:row>
          <xdr:rowOff>238125</xdr:rowOff>
        </xdr:to>
        <xdr:sp macro="" textlink="">
          <xdr:nvSpPr>
            <xdr:cNvPr id="5121" name="Button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38100</xdr:colOff>
          <xdr:row>0</xdr:row>
          <xdr:rowOff>85725</xdr:rowOff>
        </xdr:from>
        <xdr:to>
          <xdr:col>5</xdr:col>
          <xdr:colOff>1000125</xdr:colOff>
          <xdr:row>0</xdr:row>
          <xdr:rowOff>238125</xdr:rowOff>
        </xdr:to>
        <xdr:sp macro="" textlink="">
          <xdr:nvSpPr>
            <xdr:cNvPr id="5122" name="Button 2" hidden="1">
              <a:extLst>
                <a:ext uri="{63B3BB69-23CF-44E3-9099-C40C66FF867C}">
                  <a14:compatExt spid="_x0000_s512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47625</xdr:colOff>
          <xdr:row>0</xdr:row>
          <xdr:rowOff>104775</xdr:rowOff>
        </xdr:from>
        <xdr:to>
          <xdr:col>5</xdr:col>
          <xdr:colOff>0</xdr:colOff>
          <xdr:row>1</xdr:row>
          <xdr:rowOff>0</xdr:rowOff>
        </xdr:to>
        <xdr:sp macro="" textlink="">
          <xdr:nvSpPr>
            <xdr:cNvPr id="6145" name="Button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0</xdr:row>
          <xdr:rowOff>104775</xdr:rowOff>
        </xdr:from>
        <xdr:to>
          <xdr:col>5</xdr:col>
          <xdr:colOff>1095375</xdr:colOff>
          <xdr:row>0</xdr:row>
          <xdr:rowOff>352425</xdr:rowOff>
        </xdr:to>
        <xdr:sp macro="" textlink="">
          <xdr:nvSpPr>
            <xdr:cNvPr id="6146" name="Button 2" hidden="1">
              <a:extLst>
                <a:ext uri="{63B3BB69-23CF-44E3-9099-C40C66FF867C}">
                  <a14:compatExt spid="_x0000_s6146"/>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7169" name="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7170" name="Button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0</xdr:row>
          <xdr:rowOff>85725</xdr:rowOff>
        </xdr:from>
        <xdr:to>
          <xdr:col>4</xdr:col>
          <xdr:colOff>0</xdr:colOff>
          <xdr:row>0</xdr:row>
          <xdr:rowOff>238125</xdr:rowOff>
        </xdr:to>
        <xdr:sp macro="" textlink="">
          <xdr:nvSpPr>
            <xdr:cNvPr id="8193" name="Button 1" hidden="1">
              <a:extLst>
                <a:ext uri="{63B3BB69-23CF-44E3-9099-C40C66FF867C}">
                  <a14:compatExt spid="_x0000_s819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0</xdr:row>
          <xdr:rowOff>85725</xdr:rowOff>
        </xdr:from>
        <xdr:to>
          <xdr:col>4</xdr:col>
          <xdr:colOff>1000125</xdr:colOff>
          <xdr:row>0</xdr:row>
          <xdr:rowOff>238125</xdr:rowOff>
        </xdr:to>
        <xdr:sp macro="" textlink="">
          <xdr:nvSpPr>
            <xdr:cNvPr id="8194" name="Button 2" hidden="1">
              <a:extLst>
                <a:ext uri="{63B3BB69-23CF-44E3-9099-C40C66FF867C}">
                  <a14:compatExt spid="_x0000_s8194"/>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47625</xdr:colOff>
          <xdr:row>0</xdr:row>
          <xdr:rowOff>104775</xdr:rowOff>
        </xdr:from>
        <xdr:to>
          <xdr:col>5</xdr:col>
          <xdr:colOff>0</xdr:colOff>
          <xdr:row>0</xdr:row>
          <xdr:rowOff>352425</xdr:rowOff>
        </xdr:to>
        <xdr:sp macro="" textlink="">
          <xdr:nvSpPr>
            <xdr:cNvPr id="9217" name="Button 1" hidden="1">
              <a:extLst>
                <a:ext uri="{63B3BB69-23CF-44E3-9099-C40C66FF867C}">
                  <a14:compatExt spid="_x0000_s9217"/>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0</xdr:row>
          <xdr:rowOff>104775</xdr:rowOff>
        </xdr:from>
        <xdr:to>
          <xdr:col>5</xdr:col>
          <xdr:colOff>1095375</xdr:colOff>
          <xdr:row>0</xdr:row>
          <xdr:rowOff>352425</xdr:rowOff>
        </xdr:to>
        <xdr:sp macro="" textlink="">
          <xdr:nvSpPr>
            <xdr:cNvPr id="9218" name="Button 2" hidden="1">
              <a:extLst>
                <a:ext uri="{63B3BB69-23CF-44E3-9099-C40C66FF867C}">
                  <a14:compatExt spid="_x0000_s9218"/>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ru-RU" sz="1100" b="0" i="0" u="none" strike="noStrike" baseline="0">
                  <a:solidFill>
                    <a:srgbClr val="000000"/>
                  </a:solidFill>
                  <a:latin typeface="Calibri"/>
                  <a:cs typeface="Calibri"/>
                </a:rPr>
                <a:t>Распечатать</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91;&#1075;&#1086;&#1083;&#1100;_&#1062;&#1055;%20(&#1073;&#1077;&#1079;%20&#1053;&#1044;&#1057;)_2&#1087;&#1075;2024&#1075;_&#1084;&#1077;&#1085;&#1077;&#1077;%2050%20&#1090;&#1099;&#1089;%20&#1041;&#1091;&#1088;&#1084;&#1080;&#1089;&#1090;&#1088;&#1086;&#1074;&#1089;&#1082;&#1080;&#1081;.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75;&#1072;&#1079;_&#1062;&#1055;%20(&#1073;&#1077;&#1079;%20&#1053;&#1044;&#1057;)_2&#1087;&#1075;2024&#1075;_&#1084;&#1077;&#1085;&#1077;&#1077;%2050%20&#1090;&#1099;&#1089;%20&#1045;&#1074;&#1089;&#1080;&#1085;&#1089;&#1082;&#1080;&#108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91;&#1075;&#1086;&#1083;&#1100;_&#1062;&#1055;%20(&#1073;&#1077;&#1079;%20&#1053;&#1044;&#1057;)_2&#1087;&#1075;2024&#1075;_&#1084;&#1077;&#1085;&#1077;&#1077;%2050%20&#1090;&#1099;&#1089;%20&#1051;&#1077;&#1075;&#1086;&#1089;&#1090;&#1072;&#1077;&#1074;&#1089;&#1082;&#1080;&#108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91;&#1075;&#1086;&#1083;&#1100;_&#1062;&#1055;%20(&#1073;&#1077;&#1079;%20&#1053;&#1044;&#1057;)_2&#1087;&#1075;2024&#1075;_&#1084;&#1077;&#1085;&#1077;&#1077;%2050%20&#1090;&#1099;&#1089;%20&#1051;&#1080;&#1089;&#1090;&#1074;&#1103;&#1085;&#1089;&#1082;&#1080;&#1081;.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75;&#1072;&#1079;_&#1062;&#1055;%20(&#1073;&#1077;&#1079;%20&#1053;&#1044;&#1057;)_2&#1087;&#1075;2024&#1075;_&#1084;&#1077;&#1085;&#1077;&#1077;%2050%20&#1090;&#1099;&#1089;%20&#1052;&#1080;&#1095;&#1091;&#1088;&#1080;&#1085;&#1089;&#1082;&#1080;&#1081;.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75;&#1072;&#1079;_&#1062;&#1055;%20(&#1073;&#1077;&#1079;%20&#1053;&#1044;&#1057;)_2&#1087;&#1075;2024&#1075;_&#1084;&#1077;&#1085;&#1077;&#1077;%2050%20&#1090;&#1099;&#1089;%20&#1052;&#1086;&#1088;&#1086;&#1079;&#1086;&#1074;&#1089;&#1082;&#1080;&#1081;.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91;&#1075;&#1086;&#1083;&#1100;_&#1062;&#1055;%20(&#1073;&#1077;&#1079;%20&#1053;&#1044;&#1057;)_2&#1087;&#1075;2024&#1075;_&#1084;&#1077;&#1085;&#1077;&#1077;%2050%20&#1090;&#1099;&#1089;%20&#1055;&#1088;&#1077;&#1086;&#1073;&#1088;&#1072;&#1078;&#1077;&#1085;&#1089;&#1082;&#1080;&#1081;.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75;&#1072;&#1079;_&#1062;&#1055;%20(&#1073;&#1077;&#1079;%20&#1053;&#1044;&#1057;)_2&#1087;&#1075;2024&#1075;_&#1084;&#1077;&#1085;&#1077;&#1077;%2050%20&#1090;&#1099;&#1089;%20&#1055;&#1088;&#1086;&#1084;&#1099;&#1096;&#1083;&#1077;&#1085;&#1085;&#1099;&#1081;.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75;&#1072;&#1079;_&#1062;&#1055;%20(&#1073;&#1077;&#1079;%20&#1053;&#1044;&#1057;)_2&#1087;&#1075;2024&#1075;_&#1084;&#1077;&#1085;&#1077;&#1077;%2050%20&#1090;&#1099;&#1089;%20&#1057;&#1086;&#1074;&#1093;&#1086;&#1079;&#1085;&#1099;&#1081;.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91;&#1075;&#1086;&#1083;&#1100;_&#1062;&#1055;%20(&#1073;&#1077;&#1079;%20&#1053;&#1044;&#1057;)_2&#1087;&#1075;2024&#1075;_&#1084;&#1077;&#1085;&#1077;&#1077;%2050%20&#1090;&#1099;&#1089;%20&#1057;&#1090;&#1077;&#1087;&#1085;&#1086;&#1081;.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75;&#1072;&#1079;_&#1062;&#1055;%20(&#1073;&#1077;&#1079;%20&#1053;&#1044;&#1057;)_2&#1087;&#1075;2024&#1075;_&#1084;&#1077;&#1085;&#1077;&#1077;%2050%20&#1090;&#1099;&#1089;%20&#1058;&#1072;&#1090;&#1100;&#1084;&#1077;&#1085;&#1089;&#1082;&#1080;&#108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48;&#1089;&#1082;&#1080;&#1090;&#1080;&#1084;&#1089;&#1082;&#1080;&#1081;%20&#1052;&#1056;/&#1048;&#1089;&#1082;&#1080;&#1090;&#1080;&#1084;&#1089;&#1082;&#1080;&#1081;%20&#1041;&#1091;&#1088;&#1084;&#1080;&#1089;&#1090;&#1088;&#1086;&#1074;&#1086;.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91;&#1075;&#1086;&#1083;&#1100;_&#1062;&#1055;%20(&#1073;&#1077;&#1079;%20&#1053;&#1044;&#1057;)_2&#1087;&#1075;2024&#1075;_&#1084;&#1077;&#1085;&#1077;&#1077;%2050%20&#1090;&#1099;&#1089;%20&#1059;&#1083;&#1099;&#1073;&#1080;&#1085;&#1089;&#1082;&#1080;&#1081;.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91;&#1075;&#1086;&#1083;&#1100;_&#1062;&#1055;%20(&#1073;&#1077;&#1079;%20&#1053;&#1044;&#1057;)_2&#1087;&#1075;2024&#1075;_&#1084;&#1077;&#1085;&#1077;&#1077;%2050%20&#1090;&#1099;&#1089;%20&#1059;&#1089;&#1090;&#1100;-&#1063;&#1077;&#1084;&#1089;&#1082;&#1086;&#1081;.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75;&#1072;&#1079;_&#1062;&#1055;%20(&#1073;&#1077;&#1079;%20&#1053;&#1044;&#1057;)_2&#1087;&#1075;2024&#1075;_&#1084;&#1077;&#1085;&#1077;&#1077;%2050%20&#1090;&#1099;&#1089;%20&#1063;&#1077;&#1088;&#1085;&#1086;&#1088;&#1077;&#1095;&#1077;&#1085;&#1089;&#1082;&#1080;&#1081;.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91;&#1075;&#1086;&#1083;&#1100;_&#1062;&#1055;%20(&#1073;&#1077;&#1079;%20&#1053;&#1044;&#1057;)_2&#1087;&#1075;2024&#1075;_&#1084;&#1077;&#1085;&#1077;&#1077;%2050%20&#1090;&#1099;&#1089;%20&#1064;&#1080;&#1073;&#1082;&#1086;&#1074;&#1089;&#1082;&#1080;&#108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91;&#1075;&#1086;&#1083;&#1100;_&#1062;&#1055;%20(&#1073;&#1077;&#1079;%20&#1053;&#1044;&#1057;)_2&#1087;&#1075;2024&#1075;_&#1084;&#1077;&#1085;&#1077;&#1077;%2050%20&#1090;&#1099;&#1089;%20&#1041;&#1099;&#1089;&#1090;&#1088;&#1086;&#1074;&#1089;&#1082;&#1080;&#108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48;&#1089;&#1082;&#1080;&#1090;&#1080;&#1084;&#1089;&#1082;&#1080;&#1081;%20&#1052;&#1056;/&#1048;&#1089;&#1082;&#1080;&#1090;&#1080;&#1084;&#1089;&#1082;&#1080;&#1081;%20&#1041;&#1099;&#1089;&#1090;&#1088;&#1086;&#1074;&#1089;&#1082;&#1080;&#108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75;&#1072;&#1079;_&#1062;&#1055;%20(&#1073;&#1077;&#1079;%20&#1053;&#1044;&#1057;)_2&#1087;&#1075;2024&#1075;_&#1084;&#1077;&#1085;&#1077;&#1077;%2050%20&#1090;&#1099;&#1089;%20&#1042;&#1077;&#1088;&#1093;-&#1050;&#1086;&#1077;&#1085;&#1089;&#1082;&#1080;&#108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48;&#1089;&#1082;&#1080;&#1090;&#1080;&#1084;&#1089;&#1082;&#1080;&#1081;%20&#1052;&#1056;/&#1048;&#1089;&#1082;&#1080;&#1090;&#1080;&#1084;&#1089;&#1082;&#1080;&#1081;%20&#1042;&#1077;&#1088;&#1093;-&#1050;&#1086;&#1077;&#1085;&#1089;&#1082;&#1086;&#1077;%20&#1075;&#1072;&#107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91;&#1075;&#1086;&#1083;&#1100;_&#1062;&#1055;%20(&#1073;&#1077;&#1079;%20&#1053;&#1044;&#1057;)_2&#1087;&#1075;2024&#1075;_&#1084;&#1077;&#1085;&#1077;&#1077;%2050%20&#1090;&#1099;&#1089;%20&#1043;&#1080;&#1083;&#1077;&#1074;&#1089;&#1082;&#1080;&#108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48;&#1089;&#1082;&#1080;&#1090;&#1080;&#1084;&#1089;&#1082;&#1080;&#108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EDEL.PRICE.NCZ.WARM/2024/&#1088;&#1072;&#1089;&#1095;&#1077;&#1090;&#1099;/&#1048;&#1089;&#1082;&#1080;&#1090;&#1080;&#1084;&#1089;&#1082;&#1080;&#1081;/&#1064;&#1072;&#1073;&#1083;&#1086;&#1085;%20&#1062;&#1040;&#1050;_&#1091;&#1075;&#1086;&#1083;&#1100;_&#1062;&#1055;%20(&#1073;&#1077;&#1079;%20&#1053;&#1044;&#1057;)_2&#1087;&#1075;2024&#1075;_&#1084;&#1077;&#1085;&#1077;&#1077;%2050%20&#1090;&#1099;&#1089;%20&#1043;&#1091;&#1089;&#1077;&#1083;&#1100;&#1085;&#1080;&#1082;&#1086;&#1074;&#1089;&#1082;&#1080;&#108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деревня Бурмистрово, Искитимский муниципальный район </v>
          </cell>
        </row>
        <row r="15">
          <cell r="D15" t="str">
            <v/>
          </cell>
        </row>
        <row r="16">
          <cell r="D16" t="str">
            <v>Код ОКТМО</v>
          </cell>
          <cell r="E16" t="str">
            <v>(50615401101)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759.67438872744583</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3413.25</v>
          </cell>
        </row>
      </sheetData>
      <sheetData sheetId="9" refreshError="1"/>
      <sheetData sheetId="10" refreshError="1"/>
      <sheetData sheetId="11"/>
      <sheetData sheetId="12" refreshError="1"/>
      <sheetData sheetId="13">
        <row r="12">
          <cell r="F12">
            <v>2000.3680279558928</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2780.7867618428891</v>
          </cell>
        </row>
        <row r="27">
          <cell r="F27">
            <v>0.44209422600000003</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475.74490066496389</v>
          </cell>
        </row>
        <row r="14">
          <cell r="F14">
            <v>6117.6201782637581</v>
          </cell>
        </row>
        <row r="15">
          <cell r="F15">
            <v>0.2</v>
          </cell>
        </row>
        <row r="18">
          <cell r="F18">
            <v>15</v>
          </cell>
        </row>
        <row r="19">
          <cell r="F19">
            <v>3778.1614077800232</v>
          </cell>
        </row>
        <row r="20">
          <cell r="F20">
            <v>2.1999999999999999E-2</v>
          </cell>
        </row>
        <row r="21">
          <cell r="F21">
            <v>10</v>
          </cell>
        </row>
        <row r="22">
          <cell r="F22">
            <v>8.3423602855286667</v>
          </cell>
        </row>
        <row r="23">
          <cell r="F23">
            <v>3.0000000000000001E-3</v>
          </cell>
        </row>
        <row r="24">
          <cell r="F24">
            <v>2780.7867618428891</v>
          </cell>
        </row>
      </sheetData>
      <sheetData sheetId="24"/>
      <sheetData sheetId="25">
        <row r="12">
          <cell r="F12">
            <v>445.70966523768817</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1846.1709738656207</v>
          </cell>
        </row>
        <row r="33">
          <cell r="F33">
            <v>1124.091225525967</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refreshError="1"/>
      <sheetData sheetId="30">
        <row r="12">
          <cell r="F12">
            <v>73.629939651719823</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 val="Шаблон ЦАК_газ_ЦП (без НДС)_2пг"/>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станция Евсино, Искитимский муниципальный район</v>
          </cell>
        </row>
        <row r="15">
          <cell r="D15" t="str">
            <v/>
          </cell>
        </row>
        <row r="16">
          <cell r="D16" t="str">
            <v>Код ОКТМО</v>
          </cell>
          <cell r="E16" t="str">
            <v xml:space="preserve"> (50615413101)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994.35037159416254</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0">
          <cell r="I10" t="str">
            <v>информация с официального сайта единой информационной системы в сфере закупок</v>
          </cell>
        </row>
        <row r="11">
          <cell r="I11" t="str">
            <v>рыночные цены на топливо, сложившиеся на организованных торговых площадках, в т.ч. на биржах, функционирующих на территории РФ</v>
          </cell>
        </row>
        <row r="12">
          <cell r="I12" t="str">
            <v>рыночные цены на топливо, информация о которых предоставляется независимыми специализированными информационно-аналитическими организациями</v>
          </cell>
        </row>
        <row r="13">
          <cell r="I13" t="str">
            <v>данные Федеральной службы государственной статистики</v>
          </cell>
        </row>
        <row r="16">
          <cell r="E16">
            <v>7900</v>
          </cell>
          <cell r="F16" t="str">
            <v>Приказ ФАС России от 02.06.2021 №545/21</v>
          </cell>
        </row>
        <row r="20">
          <cell r="E20">
            <v>8.5000000000000006E-2</v>
          </cell>
          <cell r="F20" t="str">
            <v xml:space="preserve"> Прогноз социально-экономического развития Российской Федерации на 2023 год и на плановый период 2024 и 2025 годов (размещен на официальном сайте Министерства экономического развития Российской Федерации (далее − Минэкономразвития России) 28.09.2022): файл в формате PDF, таблица «Прогнозируемые изменения цен (тарифов) на продукцию (услуги) компаний инфраструктурного сектора на 2023-2025 гг.,%, показатель «Газ – индексация оптовых цен для всех категорий потребителей, исключая население»
с 1 июля 2022 - 5%, 
с 1 декабря 2022 - 8,5%</v>
          </cell>
        </row>
        <row r="21">
          <cell r="E21">
            <v>0.112</v>
          </cell>
          <cell r="F21" t="str">
            <v xml:space="preserve">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PDF, таблица «Прогнозируемые изменения цен (тарифов) на продукцию (услуги) компаний инфраструктурного сектора на 2023-2025 гг.,%, показатель «Газ – индексация оптовых цен для всех категорий потребителей, исключая население»
</v>
          </cell>
        </row>
        <row r="24">
          <cell r="E24" t="str">
            <v>цены (тарифы), подлежащие государственному регулированию, действовавшие на день окончания (i-2)-го расчетного периода в системе теплоснабжения</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4699.5</v>
          </cell>
          <cell r="F26" t="str">
            <v>Приказ ФАС России от 02.06.2021 №545/21</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795.43</v>
          </cell>
          <cell r="F27" t="str">
            <v>Приказ ФАС России от 13.01.2020 №15/20</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136.54</v>
          </cell>
          <cell r="F28" t="str">
            <v>Приказ ФАС России от 27.05.2016 №682/16</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119.9</v>
          </cell>
          <cell r="F29" t="str">
            <v>Приказ департамента по тарифам Новосибирской области от 22.12.2020 №650-Г</v>
          </cell>
        </row>
        <row r="30">
          <cell r="F30" t="str">
            <v>Федеральной службы по тарифам</v>
          </cell>
        </row>
        <row r="32">
          <cell r="E32">
            <v>5751.37</v>
          </cell>
        </row>
      </sheetData>
      <sheetData sheetId="9" refreshError="1"/>
      <sheetData sheetId="10" refreshError="1"/>
      <sheetData sheetId="11"/>
      <sheetData sheetId="12" refreshError="1"/>
      <sheetData sheetId="13">
        <row r="12">
          <cell r="F12">
            <v>1338.5714783459885</v>
          </cell>
        </row>
        <row r="13">
          <cell r="F13">
            <v>105136.23090983224</v>
          </cell>
        </row>
        <row r="14">
          <cell r="F14">
            <v>64899</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39638.324046481182</v>
          </cell>
        </row>
        <row r="23">
          <cell r="F23">
            <v>21</v>
          </cell>
        </row>
        <row r="26">
          <cell r="F26">
            <v>2892</v>
          </cell>
        </row>
        <row r="28">
          <cell r="F28">
            <v>331.04604307653443</v>
          </cell>
        </row>
        <row r="29">
          <cell r="F29">
            <v>0.44209422600000003</v>
          </cell>
        </row>
        <row r="30">
          <cell r="F30">
            <v>500</v>
          </cell>
        </row>
        <row r="31">
          <cell r="F31">
            <v>9.5962865259740182E-2</v>
          </cell>
        </row>
        <row r="32">
          <cell r="F32">
            <v>8.4029304029304031E-2</v>
          </cell>
        </row>
        <row r="33">
          <cell r="F33">
            <v>0.13880000000000001</v>
          </cell>
        </row>
        <row r="34">
          <cell r="F34">
            <v>0.12640000000000001</v>
          </cell>
        </row>
        <row r="35">
          <cell r="F35">
            <v>10</v>
          </cell>
        </row>
        <row r="37">
          <cell r="F37">
            <v>1.4976266307379205</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cell r="F13" t="str">
            <v xml:space="preserve"> Приложение А (обязательное) "Общее сейсмическое районирование территории Российской Федерации ОСР-2015. Список населенных пунктов Российской Федерации, расположенных в сейсмических районах, с указанием расчетной сейсмической интенсивности в баллах шкалы MSK-64 для средних грунтовых условий и трех степеней сейсмической опасности - A (10%), B (5%), C (1%) в течение 50 лет" к своду правил "СП 14.13330.2018 Строительство в сейсмических районах. Актуализир. редакция СНиП II-7-81".</v>
          </cell>
        </row>
        <row r="14">
          <cell r="E14" t="str">
            <v>от 200 до 500</v>
          </cell>
          <cell r="F14" t="str">
            <v>Карта Российской Федерации в масштабе, позволяющем определить расстояние на транспортировку основных средств котельной, определяется как расстояние от границы системы теплоснабжения до границы ближайшего административного центра субъекта РФ с железнодорожным сообщением</v>
          </cell>
        </row>
        <row r="15">
          <cell r="E15" t="str">
            <v>нет</v>
          </cell>
        </row>
        <row r="20">
          <cell r="E20">
            <v>-38</v>
          </cell>
          <cell r="F20" t="str">
            <v>Свод правил СП 131.13330.2020 "СНиП 23-01-99* Строительная климатология" "Температура воздуха наиболее холодной пятидневки с обеспеченностью 0,92"</v>
          </cell>
        </row>
        <row r="21">
          <cell r="F21" t="str">
            <v>Значение принято по ближайшему населенному пункту</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-2.9000000000000026E-2</v>
          </cell>
          <cell r="F11">
            <v>0.245</v>
          </cell>
          <cell r="G11">
            <v>0.114</v>
          </cell>
          <cell r="H11">
            <v>2.4E-2</v>
          </cell>
          <cell r="I11">
            <v>8.5999999999999993E-2</v>
          </cell>
        </row>
        <row r="15">
          <cell r="D15" t="str">
            <v>на 2020: Прогноз социально-экономического развития Российской Федерации на 2022 год и на плановый период 2023 и 2024 годов (размещен на официальном сайте Минэкономразвития России 30.09.2021): файл в формате Microsoft Excel «12. Дефляторы базовый», таблица «Прогноз индексов цен производителей и индексов-дефляторов по видам экономической деятельности, в % г/г (Базовый вариант)», отрасль «Промышленность (BСDE)», (показатель «ИЦП»)
на 2021-2023 годы: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отрасль «Промышленность (BСDE)», (показатель «ИЦП»)</v>
          </cell>
        </row>
      </sheetData>
      <sheetData sheetId="20">
        <row r="11">
          <cell r="G11" t="str">
            <v>Информация с официального сайта Банка России</v>
          </cell>
        </row>
      </sheetData>
      <sheetData sheetId="21" refreshError="1"/>
      <sheetData sheetId="22">
        <row r="12">
          <cell r="F12">
            <v>317.98065232680995</v>
          </cell>
        </row>
        <row r="14">
          <cell r="F14">
            <v>4207.4782939208517</v>
          </cell>
        </row>
        <row r="15">
          <cell r="F15">
            <v>0.2</v>
          </cell>
        </row>
        <row r="18">
          <cell r="F18">
            <v>15</v>
          </cell>
        </row>
        <row r="19">
          <cell r="F19">
            <v>2638.2577020926874</v>
          </cell>
        </row>
        <row r="20">
          <cell r="F20">
            <v>2.1999999999999999E-2</v>
          </cell>
        </row>
        <row r="21">
          <cell r="F21">
            <v>10</v>
          </cell>
        </row>
        <row r="22">
          <cell r="F22">
            <v>0.99313812922960332</v>
          </cell>
        </row>
        <row r="23">
          <cell r="F23">
            <v>3.0000000000000001E-3</v>
          </cell>
        </row>
        <row r="24">
          <cell r="F24">
            <v>331.04604307653443</v>
          </cell>
        </row>
      </sheetData>
      <sheetData sheetId="23">
        <row r="12">
          <cell r="F12" t="str">
            <v xml:space="preserve">Налоговый кодекс Российской Федерации </v>
          </cell>
        </row>
        <row r="13">
          <cell r="F13" t="str">
            <v xml:space="preserve">Налоговый кодекс Российской Федерации </v>
          </cell>
        </row>
      </sheetData>
      <sheetData sheetId="24">
        <row r="12">
          <cell r="F12">
            <v>230.67011420241766</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40.123830000000005</v>
          </cell>
        </row>
        <row r="27">
          <cell r="F27">
            <v>904.62444244124072</v>
          </cell>
        </row>
        <row r="28">
          <cell r="F28">
            <v>694.79603874135228</v>
          </cell>
        </row>
        <row r="29">
          <cell r="F29">
            <v>209.82840369988838</v>
          </cell>
        </row>
        <row r="30">
          <cell r="F30">
            <v>475.40681839948314</v>
          </cell>
        </row>
      </sheetData>
      <sheetData sheetId="25" refreshError="1"/>
      <sheetData sheetId="26">
        <row r="8">
          <cell r="F8" t="str">
            <v>нет</v>
          </cell>
        </row>
        <row r="15">
          <cell r="D15" t="str">
            <v>АО "Новосибирскэнергосбыт"</v>
          </cell>
          <cell r="E15" t="str">
            <v>https://www.nskes.ru/dlya-biznesa/tarify-i-oplata/nereguliruemye-tseny/</v>
          </cell>
        </row>
      </sheetData>
      <sheetData sheetId="27">
        <row r="11">
          <cell r="E11">
            <v>1871</v>
          </cell>
        </row>
        <row r="12">
          <cell r="E12">
            <v>61</v>
          </cell>
        </row>
        <row r="13">
          <cell r="E13">
            <v>73</v>
          </cell>
        </row>
        <row r="17">
          <cell r="E17">
            <v>18.059999999999999</v>
          </cell>
        </row>
        <row r="19">
          <cell r="E19">
            <v>71.67</v>
          </cell>
        </row>
      </sheetData>
      <sheetData sheetId="28" refreshError="1"/>
      <sheetData sheetId="29">
        <row r="12">
          <cell r="F12">
            <v>57.631452329387571</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Легостаево, Искитимский муниципальный район </v>
          </cell>
        </row>
        <row r="15">
          <cell r="D15" t="str">
            <v/>
          </cell>
        </row>
        <row r="16">
          <cell r="D16" t="str">
            <v>Код ОКТМО</v>
          </cell>
          <cell r="E16" t="str">
            <v>(50615416101)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759.67438872744583</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3413.25</v>
          </cell>
        </row>
      </sheetData>
      <sheetData sheetId="9" refreshError="1"/>
      <sheetData sheetId="10" refreshError="1"/>
      <sheetData sheetId="11"/>
      <sheetData sheetId="12" refreshError="1"/>
      <sheetData sheetId="13">
        <row r="12">
          <cell r="F12">
            <v>2000.3680279558928</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2780.7867618428891</v>
          </cell>
        </row>
        <row r="27">
          <cell r="F27">
            <v>0.44209422600000003</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475.74490066496389</v>
          </cell>
        </row>
        <row r="14">
          <cell r="F14">
            <v>6117.6201782637581</v>
          </cell>
        </row>
        <row r="15">
          <cell r="F15">
            <v>0.2</v>
          </cell>
        </row>
        <row r="18">
          <cell r="F18">
            <v>15</v>
          </cell>
        </row>
        <row r="19">
          <cell r="F19">
            <v>3778.1614077800232</v>
          </cell>
        </row>
        <row r="20">
          <cell r="F20">
            <v>2.1999999999999999E-2</v>
          </cell>
        </row>
        <row r="21">
          <cell r="F21">
            <v>10</v>
          </cell>
        </row>
        <row r="22">
          <cell r="F22">
            <v>8.3423602855286667</v>
          </cell>
        </row>
        <row r="23">
          <cell r="F23">
            <v>3.0000000000000001E-3</v>
          </cell>
        </row>
        <row r="24">
          <cell r="F24">
            <v>2780.7867618428891</v>
          </cell>
        </row>
      </sheetData>
      <sheetData sheetId="24"/>
      <sheetData sheetId="25">
        <row r="12">
          <cell r="F12">
            <v>445.70966523768817</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1846.1709738656207</v>
          </cell>
        </row>
        <row r="33">
          <cell r="F33">
            <v>1124.091225525967</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refreshError="1"/>
      <sheetData sheetId="30">
        <row r="12">
          <cell r="F12">
            <v>73.629939651719823</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поселок Листвянский, Искитимский муниципальный район </v>
          </cell>
        </row>
        <row r="15">
          <cell r="D15" t="str">
            <v/>
          </cell>
        </row>
        <row r="16">
          <cell r="D16" t="str">
            <v>Код ОКТМО</v>
          </cell>
          <cell r="E16" t="str">
            <v>(50615415101)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626.19211112710013</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2813.5083333333337</v>
          </cell>
        </row>
      </sheetData>
      <sheetData sheetId="9" refreshError="1"/>
      <sheetData sheetId="10" refreshError="1"/>
      <sheetData sheetId="11"/>
      <sheetData sheetId="12" refreshError="1"/>
      <sheetData sheetId="13">
        <row r="12">
          <cell r="F12">
            <v>2000.3680279558928</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2780.7867618428891</v>
          </cell>
        </row>
        <row r="27">
          <cell r="F27">
            <v>0.44209422600000003</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475.74490066496389</v>
          </cell>
        </row>
        <row r="14">
          <cell r="F14">
            <v>6117.6201782637581</v>
          </cell>
        </row>
        <row r="15">
          <cell r="F15">
            <v>0.2</v>
          </cell>
        </row>
        <row r="18">
          <cell r="F18">
            <v>15</v>
          </cell>
        </row>
        <row r="19">
          <cell r="F19">
            <v>3778.1614077800232</v>
          </cell>
        </row>
        <row r="20">
          <cell r="F20">
            <v>2.1999999999999999E-2</v>
          </cell>
        </row>
        <row r="21">
          <cell r="F21">
            <v>10</v>
          </cell>
        </row>
        <row r="22">
          <cell r="F22">
            <v>8.3423602855286667</v>
          </cell>
        </row>
        <row r="23">
          <cell r="F23">
            <v>3.0000000000000001E-3</v>
          </cell>
        </row>
        <row r="24">
          <cell r="F24">
            <v>2780.7867618428891</v>
          </cell>
        </row>
      </sheetData>
      <sheetData sheetId="24"/>
      <sheetData sheetId="25">
        <row r="12">
          <cell r="F12">
            <v>436.36590580566394</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1651.6512818834203</v>
          </cell>
        </row>
        <row r="33">
          <cell r="F33">
            <v>929.5715335437668</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refreshError="1"/>
      <sheetData sheetId="30">
        <row r="12">
          <cell r="F12">
            <v>70.773418911072426</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 val="Шаблон ЦАК_газ_ЦП (без НДС)_2пг"/>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поселок Агролес, Искитимский муниципальный район</v>
          </cell>
        </row>
        <row r="15">
          <cell r="D15" t="str">
            <v/>
          </cell>
        </row>
        <row r="16">
          <cell r="D16" t="str">
            <v>Код ОКТМО</v>
          </cell>
          <cell r="E16" t="str">
            <v xml:space="preserve"> (50615417101)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994.35037159416254</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0">
          <cell r="I10" t="str">
            <v>информация с официального сайта единой информационной системы в сфере закупок</v>
          </cell>
        </row>
        <row r="11">
          <cell r="I11" t="str">
            <v>рыночные цены на топливо, сложившиеся на организованных торговых площадках, в т.ч. на биржах, функционирующих на территории РФ</v>
          </cell>
        </row>
        <row r="12">
          <cell r="I12" t="str">
            <v>рыночные цены на топливо, информация о которых предоставляется независимыми специализированными информационно-аналитическими организациями</v>
          </cell>
        </row>
        <row r="13">
          <cell r="I13" t="str">
            <v>данные Федеральной службы государственной статистики</v>
          </cell>
        </row>
        <row r="16">
          <cell r="E16">
            <v>7900</v>
          </cell>
          <cell r="F16" t="str">
            <v>Приказ ФАС России от 02.06.2021 №545/21</v>
          </cell>
        </row>
        <row r="20">
          <cell r="E20">
            <v>8.5000000000000006E-2</v>
          </cell>
          <cell r="F20" t="str">
            <v xml:space="preserve"> Прогноз социально-экономического развития Российской Федерации на 2023 год и на плановый период 2024 и 2025 годов (размещен на официальном сайте Министерства экономического развития Российской Федерации (далее − Минэкономразвития России) 28.09.2022): файл в формате PDF, таблица «Прогнозируемые изменения цен (тарифов) на продукцию (услуги) компаний инфраструктурного сектора на 2023-2025 гг.,%, показатель «Газ – индексация оптовых цен для всех категорий потребителей, исключая население»
с 1 июля 2022 - 5%, 
с 1 декабря 2022 - 8,5%</v>
          </cell>
        </row>
        <row r="21">
          <cell r="E21">
            <v>0.112</v>
          </cell>
          <cell r="F21" t="str">
            <v xml:space="preserve">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PDF, таблица «Прогнозируемые изменения цен (тарифов) на продукцию (услуги) компаний инфраструктурного сектора на 2023-2025 гг.,%, показатель «Газ – индексация оптовых цен для всех категорий потребителей, исключая население»
</v>
          </cell>
        </row>
        <row r="24">
          <cell r="E24" t="str">
            <v>цены (тарифы), подлежащие государственному регулированию, действовавшие на день окончания (i-2)-го расчетного периода в системе теплоснабжения</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4699.5</v>
          </cell>
          <cell r="F26" t="str">
            <v>Приказ ФАС России от 02.06.2021 №545/21</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795.43</v>
          </cell>
          <cell r="F27" t="str">
            <v>Приказ ФАС России от 13.01.2020 №15/20</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136.54</v>
          </cell>
          <cell r="F28" t="str">
            <v>Приказ ФАС России от 27.05.2016 №682/16</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119.9</v>
          </cell>
          <cell r="F29" t="str">
            <v>Приказ департамента по тарифам Новосибирской области от 22.12.2020 №650-Г</v>
          </cell>
        </row>
        <row r="30">
          <cell r="F30" t="str">
            <v>Федеральной службы по тарифам</v>
          </cell>
        </row>
        <row r="32">
          <cell r="E32">
            <v>5751.37</v>
          </cell>
        </row>
      </sheetData>
      <sheetData sheetId="9" refreshError="1"/>
      <sheetData sheetId="10" refreshError="1"/>
      <sheetData sheetId="11"/>
      <sheetData sheetId="12" refreshError="1"/>
      <sheetData sheetId="13">
        <row r="12">
          <cell r="F12">
            <v>1338.5714783459885</v>
          </cell>
        </row>
        <row r="13">
          <cell r="F13">
            <v>105136.23090983224</v>
          </cell>
        </row>
        <row r="14">
          <cell r="F14">
            <v>64899</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39638.324046481182</v>
          </cell>
        </row>
        <row r="23">
          <cell r="F23">
            <v>21</v>
          </cell>
        </row>
        <row r="26">
          <cell r="F26">
            <v>2892</v>
          </cell>
        </row>
        <row r="28">
          <cell r="F28">
            <v>331.04604307653443</v>
          </cell>
        </row>
        <row r="29">
          <cell r="F29">
            <v>0.44209422600000003</v>
          </cell>
        </row>
        <row r="30">
          <cell r="F30">
            <v>500</v>
          </cell>
        </row>
        <row r="31">
          <cell r="F31">
            <v>9.5962865259740182E-2</v>
          </cell>
        </row>
        <row r="32">
          <cell r="F32">
            <v>8.4029304029304031E-2</v>
          </cell>
        </row>
        <row r="33">
          <cell r="F33">
            <v>0.13880000000000001</v>
          </cell>
        </row>
        <row r="34">
          <cell r="F34">
            <v>0.12640000000000001</v>
          </cell>
        </row>
        <row r="35">
          <cell r="F35">
            <v>10</v>
          </cell>
        </row>
        <row r="37">
          <cell r="F37">
            <v>1.4976266307379205</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cell r="F13" t="str">
            <v xml:space="preserve"> Приложение А (обязательное) "Общее сейсмическое районирование территории Российской Федерации ОСР-2015. Список населенных пунктов Российской Федерации, расположенных в сейсмических районах, с указанием расчетной сейсмической интенсивности в баллах шкалы MSK-64 для средних грунтовых условий и трех степеней сейсмической опасности - A (10%), B (5%), C (1%) в течение 50 лет" к своду правил "СП 14.13330.2018 Строительство в сейсмических районах. Актуализир. редакция СНиП II-7-81".</v>
          </cell>
        </row>
        <row r="14">
          <cell r="E14" t="str">
            <v>от 200 до 500</v>
          </cell>
          <cell r="F14" t="str">
            <v>Карта Российской Федерации в масштабе, позволяющем определить расстояние на транспортировку основных средств котельной, определяется как расстояние от границы системы теплоснабжения до границы ближайшего административного центра субъекта РФ с железнодорожным сообщением</v>
          </cell>
        </row>
        <row r="15">
          <cell r="E15" t="str">
            <v>нет</v>
          </cell>
        </row>
        <row r="20">
          <cell r="E20">
            <v>-38</v>
          </cell>
          <cell r="F20" t="str">
            <v>Свод правил СП 131.13330.2020 "СНиП 23-01-99* Строительная климатология" "Температура воздуха наиболее холодной пятидневки с обеспеченностью 0,92"</v>
          </cell>
        </row>
        <row r="21">
          <cell r="F21" t="str">
            <v>Значение принято по ближайшему населенному пункту</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-2.9000000000000026E-2</v>
          </cell>
          <cell r="F11">
            <v>0.245</v>
          </cell>
          <cell r="G11">
            <v>0.114</v>
          </cell>
          <cell r="H11">
            <v>2.4E-2</v>
          </cell>
          <cell r="I11">
            <v>8.5999999999999993E-2</v>
          </cell>
        </row>
        <row r="15">
          <cell r="D15" t="str">
            <v>на 2020: Прогноз социально-экономического развития Российской Федерации на 2022 год и на плановый период 2023 и 2024 годов (размещен на официальном сайте Минэкономразвития России 30.09.2021): файл в формате Microsoft Excel «12. Дефляторы базовый», таблица «Прогноз индексов цен производителей и индексов-дефляторов по видам экономической деятельности, в % г/г (Базовый вариант)», отрасль «Промышленность (BСDE)», (показатель «ИЦП»)
на 2021-2023 годы: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отрасль «Промышленность (BСDE)», (показатель «ИЦП»)</v>
          </cell>
        </row>
      </sheetData>
      <sheetData sheetId="20">
        <row r="11">
          <cell r="G11" t="str">
            <v>Информация с официального сайта Банка России</v>
          </cell>
        </row>
      </sheetData>
      <sheetData sheetId="21" refreshError="1"/>
      <sheetData sheetId="22">
        <row r="12">
          <cell r="F12">
            <v>317.98065232680995</v>
          </cell>
        </row>
        <row r="14">
          <cell r="F14">
            <v>4207.4782939208517</v>
          </cell>
        </row>
        <row r="15">
          <cell r="F15">
            <v>0.2</v>
          </cell>
        </row>
        <row r="18">
          <cell r="F18">
            <v>15</v>
          </cell>
        </row>
        <row r="19">
          <cell r="F19">
            <v>2638.2577020926874</v>
          </cell>
        </row>
        <row r="20">
          <cell r="F20">
            <v>2.1999999999999999E-2</v>
          </cell>
        </row>
        <row r="21">
          <cell r="F21">
            <v>10</v>
          </cell>
        </row>
        <row r="22">
          <cell r="F22">
            <v>0.99313812922960332</v>
          </cell>
        </row>
        <row r="23">
          <cell r="F23">
            <v>3.0000000000000001E-3</v>
          </cell>
        </row>
        <row r="24">
          <cell r="F24">
            <v>331.04604307653443</v>
          </cell>
        </row>
      </sheetData>
      <sheetData sheetId="23">
        <row r="12">
          <cell r="F12" t="str">
            <v xml:space="preserve">Налоговый кодекс Российской Федерации </v>
          </cell>
        </row>
        <row r="13">
          <cell r="F13" t="str">
            <v xml:space="preserve">Налоговый кодекс Российской Федерации </v>
          </cell>
        </row>
      </sheetData>
      <sheetData sheetId="24">
        <row r="12">
          <cell r="F12">
            <v>230.67011420241766</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40.123830000000005</v>
          </cell>
        </row>
        <row r="27">
          <cell r="F27">
            <v>904.62444244124072</v>
          </cell>
        </row>
        <row r="28">
          <cell r="F28">
            <v>694.79603874135228</v>
          </cell>
        </row>
        <row r="29">
          <cell r="F29">
            <v>209.82840369988838</v>
          </cell>
        </row>
        <row r="30">
          <cell r="F30">
            <v>475.40681839948314</v>
          </cell>
        </row>
      </sheetData>
      <sheetData sheetId="25" refreshError="1"/>
      <sheetData sheetId="26">
        <row r="8">
          <cell r="F8" t="str">
            <v>нет</v>
          </cell>
        </row>
        <row r="15">
          <cell r="D15" t="str">
            <v>АО "Новосибирскэнергосбыт"</v>
          </cell>
          <cell r="E15" t="str">
            <v>https://www.nskes.ru/dlya-biznesa/tarify-i-oplata/nereguliruemye-tseny/</v>
          </cell>
        </row>
      </sheetData>
      <sheetData sheetId="27">
        <row r="11">
          <cell r="E11">
            <v>1871</v>
          </cell>
        </row>
        <row r="12">
          <cell r="E12">
            <v>61</v>
          </cell>
        </row>
        <row r="13">
          <cell r="E13">
            <v>73</v>
          </cell>
        </row>
        <row r="17">
          <cell r="E17">
            <v>18.059999999999999</v>
          </cell>
        </row>
        <row r="19">
          <cell r="E19">
            <v>71.67</v>
          </cell>
        </row>
      </sheetData>
      <sheetData sheetId="28" refreshError="1"/>
      <sheetData sheetId="29">
        <row r="12">
          <cell r="F12">
            <v>57.631452329387571</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 val="Шаблон ЦАК_газ_ЦП (без НДС)_2пг"/>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Морозово, Искитимский муниципальный район</v>
          </cell>
        </row>
        <row r="15">
          <cell r="D15" t="str">
            <v/>
          </cell>
        </row>
        <row r="16">
          <cell r="D16" t="str">
            <v>Код ОКТМО</v>
          </cell>
          <cell r="E16" t="str">
            <v xml:space="preserve"> (50615418101)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994.35037159416254</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0">
          <cell r="I10" t="str">
            <v>информация с официального сайта единой информационной системы в сфере закупок</v>
          </cell>
        </row>
        <row r="11">
          <cell r="I11" t="str">
            <v>рыночные цены на топливо, сложившиеся на организованных торговых площадках, в т.ч. на биржах, функционирующих на территории РФ</v>
          </cell>
        </row>
        <row r="12">
          <cell r="I12" t="str">
            <v>рыночные цены на топливо, информация о которых предоставляется независимыми специализированными информационно-аналитическими организациями</v>
          </cell>
        </row>
        <row r="13">
          <cell r="I13" t="str">
            <v>данные Федеральной службы государственной статистики</v>
          </cell>
        </row>
        <row r="16">
          <cell r="E16">
            <v>7900</v>
          </cell>
          <cell r="F16" t="str">
            <v>Приказ ФАС России от 02.06.2021 №545/21</v>
          </cell>
        </row>
        <row r="20">
          <cell r="E20">
            <v>8.5000000000000006E-2</v>
          </cell>
          <cell r="F20" t="str">
            <v xml:space="preserve"> Прогноз социально-экономического развития Российской Федерации на 2023 год и на плановый период 2024 и 2025 годов (размещен на официальном сайте Министерства экономического развития Российской Федерации (далее − Минэкономразвития России) 28.09.2022): файл в формате PDF, таблица «Прогнозируемые изменения цен (тарифов) на продукцию (услуги) компаний инфраструктурного сектора на 2023-2025 гг.,%, показатель «Газ – индексация оптовых цен для всех категорий потребителей, исключая население»
с 1 июля 2022 - 5%, 
с 1 декабря 2022 - 8,5%</v>
          </cell>
        </row>
        <row r="21">
          <cell r="E21">
            <v>0.112</v>
          </cell>
          <cell r="F21" t="str">
            <v xml:space="preserve">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PDF, таблица «Прогнозируемые изменения цен (тарифов) на продукцию (услуги) компаний инфраструктурного сектора на 2023-2025 гг.,%, показатель «Газ – индексация оптовых цен для всех категорий потребителей, исключая население»
</v>
          </cell>
        </row>
        <row r="24">
          <cell r="E24" t="str">
            <v>цены (тарифы), подлежащие государственному регулированию, действовавшие на день окончания (i-2)-го расчетного периода в системе теплоснабжения</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4699.5</v>
          </cell>
          <cell r="F26" t="str">
            <v>Приказ ФАС России от 02.06.2021 №545/21</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795.43</v>
          </cell>
          <cell r="F27" t="str">
            <v>Приказ ФАС России от 13.01.2020 №15/20</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136.54</v>
          </cell>
          <cell r="F28" t="str">
            <v>Приказ ФАС России от 27.05.2016 №682/16</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119.9</v>
          </cell>
          <cell r="F29" t="str">
            <v>Приказ департамента по тарифам Новосибирской области от 22.12.2020 №650-Г</v>
          </cell>
        </row>
        <row r="30">
          <cell r="F30" t="str">
            <v>Федеральной службы по тарифам</v>
          </cell>
        </row>
        <row r="32">
          <cell r="E32">
            <v>5751.37</v>
          </cell>
        </row>
      </sheetData>
      <sheetData sheetId="9" refreshError="1"/>
      <sheetData sheetId="10" refreshError="1"/>
      <sheetData sheetId="11"/>
      <sheetData sheetId="12" refreshError="1"/>
      <sheetData sheetId="13">
        <row r="12">
          <cell r="F12">
            <v>1338.5714783459885</v>
          </cell>
        </row>
        <row r="13">
          <cell r="F13">
            <v>105136.23090983224</v>
          </cell>
        </row>
        <row r="14">
          <cell r="F14">
            <v>64899</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39638.324046481182</v>
          </cell>
        </row>
        <row r="23">
          <cell r="F23">
            <v>21</v>
          </cell>
        </row>
        <row r="26">
          <cell r="F26">
            <v>2892</v>
          </cell>
        </row>
        <row r="28">
          <cell r="F28">
            <v>331.04604307653443</v>
          </cell>
        </row>
        <row r="29">
          <cell r="F29">
            <v>0.44209422600000003</v>
          </cell>
        </row>
        <row r="30">
          <cell r="F30">
            <v>500</v>
          </cell>
        </row>
        <row r="31">
          <cell r="F31">
            <v>9.5962865259740182E-2</v>
          </cell>
        </row>
        <row r="32">
          <cell r="F32">
            <v>8.4029304029304031E-2</v>
          </cell>
        </row>
        <row r="33">
          <cell r="F33">
            <v>0.13880000000000001</v>
          </cell>
        </row>
        <row r="34">
          <cell r="F34">
            <v>0.12640000000000001</v>
          </cell>
        </row>
        <row r="35">
          <cell r="F35">
            <v>10</v>
          </cell>
        </row>
        <row r="37">
          <cell r="F37">
            <v>1.4976266307379205</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cell r="F13" t="str">
            <v xml:space="preserve"> Приложение А (обязательное) "Общее сейсмическое районирование территории Российской Федерации ОСР-2015. Список населенных пунктов Российской Федерации, расположенных в сейсмических районах, с указанием расчетной сейсмической интенсивности в баллах шкалы MSK-64 для средних грунтовых условий и трех степеней сейсмической опасности - A (10%), B (5%), C (1%) в течение 50 лет" к своду правил "СП 14.13330.2018 Строительство в сейсмических районах. Актуализир. редакция СНиП II-7-81".</v>
          </cell>
        </row>
        <row r="14">
          <cell r="E14" t="str">
            <v>от 200 до 500</v>
          </cell>
          <cell r="F14" t="str">
            <v>Карта Российской Федерации в масштабе, позволяющем определить расстояние на транспортировку основных средств котельной, определяется как расстояние от границы системы теплоснабжения до границы ближайшего административного центра субъекта РФ с железнодорожным сообщением</v>
          </cell>
        </row>
        <row r="15">
          <cell r="E15" t="str">
            <v>нет</v>
          </cell>
        </row>
        <row r="20">
          <cell r="E20">
            <v>-38</v>
          </cell>
          <cell r="F20" t="str">
            <v>Свод правил СП 131.13330.2020 "СНиП 23-01-99* Строительная климатология" "Температура воздуха наиболее холодной пятидневки с обеспеченностью 0,92"</v>
          </cell>
        </row>
        <row r="21">
          <cell r="F21" t="str">
            <v>Значение принято по ближайшему населенному пункту</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-2.9000000000000026E-2</v>
          </cell>
          <cell r="F11">
            <v>0.245</v>
          </cell>
          <cell r="G11">
            <v>0.114</v>
          </cell>
          <cell r="H11">
            <v>2.4E-2</v>
          </cell>
          <cell r="I11">
            <v>8.5999999999999993E-2</v>
          </cell>
        </row>
        <row r="15">
          <cell r="D15" t="str">
            <v>на 2020: Прогноз социально-экономического развития Российской Федерации на 2022 год и на плановый период 2023 и 2024 годов (размещен на официальном сайте Минэкономразвития России 30.09.2021): файл в формате Microsoft Excel «12. Дефляторы базовый», таблица «Прогноз индексов цен производителей и индексов-дефляторов по видам экономической деятельности, в % г/г (Базовый вариант)», отрасль «Промышленность (BСDE)», (показатель «ИЦП»)
на 2021-2023 годы: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отрасль «Промышленность (BСDE)», (показатель «ИЦП»)</v>
          </cell>
        </row>
      </sheetData>
      <sheetData sheetId="20">
        <row r="11">
          <cell r="G11" t="str">
            <v>Информация с официального сайта Банка России</v>
          </cell>
        </row>
      </sheetData>
      <sheetData sheetId="21" refreshError="1"/>
      <sheetData sheetId="22">
        <row r="12">
          <cell r="F12">
            <v>317.98065232680995</v>
          </cell>
        </row>
        <row r="14">
          <cell r="F14">
            <v>4207.4782939208517</v>
          </cell>
        </row>
        <row r="15">
          <cell r="F15">
            <v>0.2</v>
          </cell>
        </row>
        <row r="18">
          <cell r="F18">
            <v>15</v>
          </cell>
        </row>
        <row r="19">
          <cell r="F19">
            <v>2638.2577020926874</v>
          </cell>
        </row>
        <row r="20">
          <cell r="F20">
            <v>2.1999999999999999E-2</v>
          </cell>
        </row>
        <row r="21">
          <cell r="F21">
            <v>10</v>
          </cell>
        </row>
        <row r="22">
          <cell r="F22">
            <v>0.99313812922960332</v>
          </cell>
        </row>
        <row r="23">
          <cell r="F23">
            <v>3.0000000000000001E-3</v>
          </cell>
        </row>
        <row r="24">
          <cell r="F24">
            <v>331.04604307653443</v>
          </cell>
        </row>
      </sheetData>
      <sheetData sheetId="23">
        <row r="12">
          <cell r="F12" t="str">
            <v xml:space="preserve">Налоговый кодекс Российской Федерации </v>
          </cell>
        </row>
        <row r="13">
          <cell r="F13" t="str">
            <v xml:space="preserve">Налоговый кодекс Российской Федерации </v>
          </cell>
        </row>
      </sheetData>
      <sheetData sheetId="24">
        <row r="12">
          <cell r="F12">
            <v>230.67011420241766</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40.123830000000005</v>
          </cell>
        </row>
        <row r="27">
          <cell r="F27">
            <v>904.62444244124072</v>
          </cell>
        </row>
        <row r="28">
          <cell r="F28">
            <v>694.79603874135228</v>
          </cell>
        </row>
        <row r="29">
          <cell r="F29">
            <v>209.82840369988838</v>
          </cell>
        </row>
        <row r="30">
          <cell r="F30">
            <v>475.40681839948314</v>
          </cell>
        </row>
      </sheetData>
      <sheetData sheetId="25" refreshError="1"/>
      <sheetData sheetId="26">
        <row r="8">
          <cell r="F8" t="str">
            <v>нет</v>
          </cell>
        </row>
        <row r="15">
          <cell r="D15" t="str">
            <v>АО "Новосибирскэнергосбыт"</v>
          </cell>
          <cell r="E15" t="str">
            <v>https://www.nskes.ru/dlya-biznesa/tarify-i-oplata/nereguliruemye-tseny/</v>
          </cell>
        </row>
      </sheetData>
      <sheetData sheetId="27">
        <row r="11">
          <cell r="E11">
            <v>1871</v>
          </cell>
        </row>
        <row r="12">
          <cell r="E12">
            <v>61</v>
          </cell>
        </row>
        <row r="13">
          <cell r="E13">
            <v>73</v>
          </cell>
        </row>
        <row r="17">
          <cell r="E17">
            <v>18.059999999999999</v>
          </cell>
        </row>
        <row r="19">
          <cell r="E19">
            <v>71.67</v>
          </cell>
        </row>
      </sheetData>
      <sheetData sheetId="28" refreshError="1"/>
      <sheetData sheetId="29">
        <row r="12">
          <cell r="F12">
            <v>57.631452329387571</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Преображенка, Искитимский муниципальный район</v>
          </cell>
        </row>
        <row r="15">
          <cell r="D15" t="str">
            <v/>
          </cell>
        </row>
        <row r="16">
          <cell r="D16" t="str">
            <v>Код ОКТМО</v>
          </cell>
          <cell r="E16" t="str">
            <v xml:space="preserve"> (50615419101)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734.04217101653171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3298.0833333333335</v>
          </cell>
        </row>
      </sheetData>
      <sheetData sheetId="9" refreshError="1"/>
      <sheetData sheetId="10" refreshError="1"/>
      <sheetData sheetId="11"/>
      <sheetData sheetId="12" refreshError="1"/>
      <sheetData sheetId="13">
        <row r="12">
          <cell r="F12">
            <v>2000.3680279558928</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2780.7867618428891</v>
          </cell>
        </row>
        <row r="27">
          <cell r="F27">
            <v>0.44209422600000003</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475.74490066496389</v>
          </cell>
        </row>
        <row r="14">
          <cell r="F14">
            <v>6117.6201782637581</v>
          </cell>
        </row>
        <row r="15">
          <cell r="F15">
            <v>0.2</v>
          </cell>
        </row>
        <row r="18">
          <cell r="F18">
            <v>15</v>
          </cell>
        </row>
        <row r="19">
          <cell r="F19">
            <v>3778.1614077800232</v>
          </cell>
        </row>
        <row r="20">
          <cell r="F20">
            <v>2.1999999999999999E-2</v>
          </cell>
        </row>
        <row r="21">
          <cell r="F21">
            <v>10</v>
          </cell>
        </row>
        <row r="22">
          <cell r="F22">
            <v>8.3423602855286667</v>
          </cell>
        </row>
        <row r="23">
          <cell r="F23">
            <v>3.0000000000000001E-3</v>
          </cell>
        </row>
        <row r="24">
          <cell r="F24">
            <v>2780.7867618428891</v>
          </cell>
        </row>
      </sheetData>
      <sheetData sheetId="24"/>
      <sheetData sheetId="25">
        <row r="12">
          <cell r="F12">
            <v>443.91540999792414</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1808.8179170884805</v>
          </cell>
        </row>
        <row r="33">
          <cell r="F33">
            <v>1086.7381687488269</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refreshError="1"/>
      <sheetData sheetId="30">
        <row r="12">
          <cell r="F12">
            <v>73.081410192706258</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 val="Шаблон ЦАК_газ_ЦП (без НДС)_2пг"/>
    </sheetNames>
    <definedNames>
      <definedName name="Лист29.PrintBlock"/>
    </definedNames>
    <sheetDataSet>
      <sheetData sheetId="0"/>
      <sheetData sheetId="1"/>
      <sheetData sheetId="2"/>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поселок Керамкомбинат, Искитимский муниципальный район</v>
          </cell>
        </row>
        <row r="15">
          <cell r="D15" t="str">
            <v/>
          </cell>
        </row>
        <row r="16">
          <cell r="D16" t="str">
            <v>Код ОКТМО</v>
          </cell>
          <cell r="E16" t="str">
            <v xml:space="preserve"> (50615420101)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sheetData sheetId="5"/>
      <sheetData sheetId="6"/>
      <sheetData sheetId="7">
        <row r="12">
          <cell r="F12">
            <v>994.35037159416254</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0">
          <cell r="I10" t="str">
            <v>информация с официального сайта единой информационной системы в сфере закупок</v>
          </cell>
        </row>
        <row r="11">
          <cell r="I11" t="str">
            <v>рыночные цены на топливо, сложившиеся на организованных торговых площадках, в т.ч. на биржах, функционирующих на территории РФ</v>
          </cell>
        </row>
        <row r="12">
          <cell r="I12" t="str">
            <v>рыночные цены на топливо, информация о которых предоставляется независимыми специализированными информационно-аналитическими организациями</v>
          </cell>
        </row>
        <row r="13">
          <cell r="I13" t="str">
            <v>данные Федеральной службы государственной статистики</v>
          </cell>
        </row>
        <row r="16">
          <cell r="E16">
            <v>7900</v>
          </cell>
          <cell r="F16" t="str">
            <v>Приказ ФАС России от 02.06.2021 №545/21</v>
          </cell>
        </row>
        <row r="20">
          <cell r="E20">
            <v>8.5000000000000006E-2</v>
          </cell>
          <cell r="F20" t="str">
            <v xml:space="preserve"> Прогноз социально-экономического развития Российской Федерации на 2023 год и на плановый период 2024 и 2025 годов (размещен на официальном сайте Министерства экономического развития Российской Федерации (далее − Минэкономразвития России) 28.09.2022): файл в формате PDF, таблица «Прогнозируемые изменения цен (тарифов) на продукцию (услуги) компаний инфраструктурного сектора на 2023-2025 гг.,%, показатель «Газ – индексация оптовых цен для всех категорий потребителей, исключая население»
с 1 июля 2022 - 5%, 
с 1 декабря 2022 - 8,5%</v>
          </cell>
        </row>
        <row r="21">
          <cell r="E21">
            <v>0.112</v>
          </cell>
          <cell r="F21" t="str">
            <v xml:space="preserve">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PDF, таблица «Прогнозируемые изменения цен (тарифов) на продукцию (услуги) компаний инфраструктурного сектора на 2023-2025 гг.,%, показатель «Газ – индексация оптовых цен для всех категорий потребителей, исключая население»
</v>
          </cell>
        </row>
        <row r="24">
          <cell r="E24" t="str">
            <v>цены (тарифы), подлежащие государственному регулированию, действовавшие на день окончания (i-2)-го расчетного периода в системе теплоснабжения</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4699.5</v>
          </cell>
          <cell r="F26" t="str">
            <v>Приказ ФАС России от 02.06.2021 №545/21</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795.43</v>
          </cell>
          <cell r="F27" t="str">
            <v>Приказ ФАС России от 13.01.2020 №15/20</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136.54</v>
          </cell>
          <cell r="F28" t="str">
            <v>Приказ ФАС России от 27.05.2016 №682/16</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119.9</v>
          </cell>
          <cell r="F29" t="str">
            <v>Приказ департамента по тарифам Новосибирской области от 22.12.2020 №650-Г</v>
          </cell>
        </row>
        <row r="30">
          <cell r="F30" t="str">
            <v>Федеральной службы по тарифам</v>
          </cell>
        </row>
        <row r="32">
          <cell r="E32">
            <v>5751.37</v>
          </cell>
        </row>
      </sheetData>
      <sheetData sheetId="9"/>
      <sheetData sheetId="10"/>
      <sheetData sheetId="11"/>
      <sheetData sheetId="12"/>
      <sheetData sheetId="13">
        <row r="12">
          <cell r="F12">
            <v>1338.5714783459885</v>
          </cell>
        </row>
        <row r="13">
          <cell r="F13">
            <v>105136.23090983224</v>
          </cell>
        </row>
        <row r="14">
          <cell r="F14">
            <v>64899</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39638.324046481182</v>
          </cell>
        </row>
        <row r="23">
          <cell r="F23">
            <v>21</v>
          </cell>
        </row>
        <row r="26">
          <cell r="F26">
            <v>2892</v>
          </cell>
        </row>
        <row r="28">
          <cell r="F28">
            <v>331.04604307653443</v>
          </cell>
        </row>
        <row r="29">
          <cell r="F29">
            <v>0.44209422600000003</v>
          </cell>
        </row>
        <row r="30">
          <cell r="F30">
            <v>500</v>
          </cell>
        </row>
        <row r="31">
          <cell r="F31">
            <v>9.5962865259740182E-2</v>
          </cell>
        </row>
        <row r="32">
          <cell r="F32">
            <v>8.4029304029304031E-2</v>
          </cell>
        </row>
        <row r="33">
          <cell r="F33">
            <v>0.13880000000000001</v>
          </cell>
        </row>
        <row r="34">
          <cell r="F34">
            <v>0.12640000000000001</v>
          </cell>
        </row>
        <row r="35">
          <cell r="F35">
            <v>10</v>
          </cell>
        </row>
        <row r="37">
          <cell r="F37">
            <v>1.4976266307379205</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cell r="F13" t="str">
            <v xml:space="preserve"> Приложение А (обязательное) "Общее сейсмическое районирование территории Российской Федерации ОСР-2015. Список населенных пунктов Российской Федерации, расположенных в сейсмических районах, с указанием расчетной сейсмической интенсивности в баллах шкалы MSK-64 для средних грунтовых условий и трех степеней сейсмической опасности - A (10%), B (5%), C (1%) в течение 50 лет" к своду правил "СП 14.13330.2018 Строительство в сейсмических районах. Актуализир. редакция СНиП II-7-81".</v>
          </cell>
        </row>
        <row r="14">
          <cell r="E14" t="str">
            <v>от 200 до 500</v>
          </cell>
          <cell r="F14" t="str">
            <v>Карта Российской Федерации в масштабе, позволяющем определить расстояние на транспортировку основных средств котельной, определяется как расстояние от границы системы теплоснабжения до границы ближайшего административного центра субъекта РФ с железнодорожным сообщением</v>
          </cell>
        </row>
        <row r="15">
          <cell r="E15" t="str">
            <v>нет</v>
          </cell>
        </row>
        <row r="20">
          <cell r="E20">
            <v>-38</v>
          </cell>
          <cell r="F20" t="str">
            <v>Свод правил СП 131.13330.2020 "СНиП 23-01-99* Строительная климатология" "Температура воздуха наиболее холодной пятидневки с обеспеченностью 0,92"</v>
          </cell>
        </row>
        <row r="21">
          <cell r="F21" t="str">
            <v>Значение принято по ближайшему населенному пункту</v>
          </cell>
        </row>
        <row r="23">
          <cell r="E23" t="str">
            <v>нет</v>
          </cell>
        </row>
        <row r="28">
          <cell r="E28">
            <v>14036.09995</v>
          </cell>
        </row>
        <row r="29">
          <cell r="E29">
            <v>9518.3274000000001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ow r="11">
          <cell r="E11">
            <v>-2.9000000000000026E-2</v>
          </cell>
          <cell r="F11">
            <v>0.245</v>
          </cell>
          <cell r="G11">
            <v>0.114</v>
          </cell>
          <cell r="H11">
            <v>2.4E-2</v>
          </cell>
          <cell r="I11">
            <v>8.5999999999999993E-2</v>
          </cell>
        </row>
        <row r="15">
          <cell r="D15" t="str">
            <v>на 2020: Прогноз социально-экономического развития Российской Федерации на 2022 год и на плановый период 2023 и 2024 годов (размещен на официальном сайте Минэкономразвития России 30.09.2021): файл в формате Microsoft Excel «12. Дефляторы базовый», таблица «Прогноз индексов цен производителей и индексов-дефляторов по видам экономической деятельности, в % г/г (Базовый вариант)», отрасль «Промышленность (BСDE)», (показатель «ИЦП»)
на 2021-2023 годы: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отрасль «Промышленность (BСDE)», (показатель «ИЦП»)</v>
          </cell>
        </row>
      </sheetData>
      <sheetData sheetId="20">
        <row r="11">
          <cell r="G11" t="str">
            <v>Информация с официального сайта Банка России</v>
          </cell>
        </row>
      </sheetData>
      <sheetData sheetId="21"/>
      <sheetData sheetId="22">
        <row r="12">
          <cell r="F12">
            <v>317.98065232680995</v>
          </cell>
        </row>
        <row r="14">
          <cell r="F14">
            <v>4207.4782939208517</v>
          </cell>
        </row>
        <row r="15">
          <cell r="F15">
            <v>0.2</v>
          </cell>
        </row>
        <row r="18">
          <cell r="F18">
            <v>15</v>
          </cell>
        </row>
        <row r="19">
          <cell r="F19">
            <v>2638.2577020926874</v>
          </cell>
        </row>
        <row r="20">
          <cell r="F20">
            <v>2.1999999999999999E-2</v>
          </cell>
        </row>
        <row r="21">
          <cell r="F21">
            <v>10</v>
          </cell>
        </row>
        <row r="22">
          <cell r="F22">
            <v>0.99313812922960332</v>
          </cell>
        </row>
        <row r="23">
          <cell r="F23">
            <v>3.0000000000000001E-3</v>
          </cell>
        </row>
        <row r="24">
          <cell r="F24">
            <v>331.04604307653443</v>
          </cell>
        </row>
      </sheetData>
      <sheetData sheetId="23">
        <row r="12">
          <cell r="F12" t="str">
            <v xml:space="preserve">Налоговый кодекс Российской Федерации </v>
          </cell>
        </row>
        <row r="13">
          <cell r="F13" t="str">
            <v xml:space="preserve">Налоговый кодекс Российской Федерации </v>
          </cell>
        </row>
      </sheetData>
      <sheetData sheetId="24">
        <row r="12">
          <cell r="F12">
            <v>230.67011420241766</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40.123830000000005</v>
          </cell>
        </row>
        <row r="27">
          <cell r="F27">
            <v>904.62444244124072</v>
          </cell>
        </row>
        <row r="28">
          <cell r="F28">
            <v>694.79603874135228</v>
          </cell>
        </row>
        <row r="29">
          <cell r="F29">
            <v>209.82840369988838</v>
          </cell>
        </row>
        <row r="30">
          <cell r="F30">
            <v>475.40681839948314</v>
          </cell>
        </row>
      </sheetData>
      <sheetData sheetId="25"/>
      <sheetData sheetId="26">
        <row r="8">
          <cell r="F8" t="str">
            <v>нет</v>
          </cell>
        </row>
        <row r="15">
          <cell r="D15" t="str">
            <v>АО "Новосибирскэнергосбыт"</v>
          </cell>
          <cell r="E15" t="str">
            <v>https://www.nskes.ru/dlya-biznesa/tarify-i-oplata/nereguliruemye-tseny/</v>
          </cell>
        </row>
      </sheetData>
      <sheetData sheetId="27">
        <row r="11">
          <cell r="E11">
            <v>1871</v>
          </cell>
        </row>
        <row r="12">
          <cell r="E12">
            <v>61</v>
          </cell>
        </row>
        <row r="13">
          <cell r="E13">
            <v>73</v>
          </cell>
        </row>
        <row r="17">
          <cell r="E17">
            <v>18.059999999999999</v>
          </cell>
        </row>
        <row r="19">
          <cell r="E19">
            <v>71.67</v>
          </cell>
        </row>
      </sheetData>
      <sheetData sheetId="28"/>
      <sheetData sheetId="29">
        <row r="12">
          <cell r="F12">
            <v>57.631452329387571</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 val="Шаблон ЦАК_газ_ЦП (без НДС)_2пг"/>
    </sheetNames>
    <definedNames>
      <definedName name="Лист29.PrintBlock"/>
    </definedNames>
    <sheetDataSet>
      <sheetData sheetId="0"/>
      <sheetData sheetId="1"/>
      <sheetData sheetId="2"/>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Лебедевка, Искитимский муниципальный район</v>
          </cell>
        </row>
        <row r="15">
          <cell r="D15" t="str">
            <v/>
          </cell>
        </row>
        <row r="16">
          <cell r="D16" t="str">
            <v>Код ОКТМО</v>
          </cell>
          <cell r="E16" t="str">
            <v xml:space="preserve"> (50615422101)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sheetData sheetId="5"/>
      <sheetData sheetId="6"/>
      <sheetData sheetId="7">
        <row r="12">
          <cell r="F12">
            <v>994.35037159416254</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16">
          <cell r="E16">
            <v>7900</v>
          </cell>
        </row>
        <row r="20">
          <cell r="E20">
            <v>8.5000000000000006E-2</v>
          </cell>
        </row>
        <row r="21">
          <cell r="E21">
            <v>0.112</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4699.5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795.43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136.54</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119.9</v>
          </cell>
        </row>
        <row r="32">
          <cell r="E32">
            <v>5751.37</v>
          </cell>
        </row>
      </sheetData>
      <sheetData sheetId="9"/>
      <sheetData sheetId="10"/>
      <sheetData sheetId="11"/>
      <sheetData sheetId="12"/>
      <sheetData sheetId="13">
        <row r="12">
          <cell r="F12">
            <v>1338.5714783459885</v>
          </cell>
        </row>
        <row r="13">
          <cell r="F13">
            <v>105136.23090983224</v>
          </cell>
        </row>
        <row r="14">
          <cell r="F14">
            <v>64899</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39638.324046481182</v>
          </cell>
        </row>
        <row r="23">
          <cell r="F23">
            <v>21</v>
          </cell>
        </row>
        <row r="26">
          <cell r="F26">
            <v>2892</v>
          </cell>
        </row>
        <row r="28">
          <cell r="F28">
            <v>331.04604307653443</v>
          </cell>
        </row>
        <row r="29">
          <cell r="F29">
            <v>0.44209422600000003</v>
          </cell>
        </row>
        <row r="30">
          <cell r="F30">
            <v>500</v>
          </cell>
        </row>
        <row r="31">
          <cell r="F31">
            <v>9.5962865259740182E-2</v>
          </cell>
        </row>
        <row r="32">
          <cell r="F32">
            <v>8.4029304029304031E-2</v>
          </cell>
        </row>
        <row r="33">
          <cell r="F33">
            <v>0.13880000000000001</v>
          </cell>
        </row>
        <row r="34">
          <cell r="F34">
            <v>0.12640000000000001</v>
          </cell>
        </row>
        <row r="35">
          <cell r="F35">
            <v>10</v>
          </cell>
        </row>
        <row r="37">
          <cell r="F37">
            <v>1.4976266307379205</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-38</v>
          </cell>
        </row>
        <row r="23">
          <cell r="E23" t="str">
            <v>нет</v>
          </cell>
        </row>
        <row r="28">
          <cell r="E28">
            <v>14036.09995</v>
          </cell>
        </row>
        <row r="29">
          <cell r="E29">
            <v>9518.3274000000001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sheetData sheetId="19">
        <row r="11">
          <cell r="E11">
            <v>-2.9000000000000026E-2</v>
          </cell>
          <cell r="F11">
            <v>0.245</v>
          </cell>
          <cell r="G11">
            <v>0.114</v>
          </cell>
          <cell r="H11">
            <v>2.4E-2</v>
          </cell>
          <cell r="I11">
            <v>8.5999999999999993E-2</v>
          </cell>
        </row>
      </sheetData>
      <sheetData sheetId="20"/>
      <sheetData sheetId="21"/>
      <sheetData sheetId="22">
        <row r="12">
          <cell r="F12">
            <v>317.98065232680995</v>
          </cell>
        </row>
        <row r="14">
          <cell r="F14">
            <v>4207.4782939208517</v>
          </cell>
        </row>
        <row r="15">
          <cell r="F15">
            <v>0.2</v>
          </cell>
        </row>
        <row r="18">
          <cell r="F18">
            <v>15</v>
          </cell>
        </row>
        <row r="19">
          <cell r="F19">
            <v>2638.2577020926874</v>
          </cell>
        </row>
        <row r="20">
          <cell r="F20">
            <v>2.1999999999999999E-2</v>
          </cell>
        </row>
        <row r="21">
          <cell r="F21">
            <v>10</v>
          </cell>
        </row>
        <row r="22">
          <cell r="F22">
            <v>0.99313812922960332</v>
          </cell>
        </row>
        <row r="23">
          <cell r="F23">
            <v>3.0000000000000001E-3</v>
          </cell>
        </row>
        <row r="24">
          <cell r="F24">
            <v>331.04604307653443</v>
          </cell>
        </row>
      </sheetData>
      <sheetData sheetId="23"/>
      <sheetData sheetId="24">
        <row r="12">
          <cell r="F12">
            <v>230.67011420241766</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40.123830000000005</v>
          </cell>
        </row>
        <row r="27">
          <cell r="F27">
            <v>904.62444244124072</v>
          </cell>
        </row>
        <row r="28">
          <cell r="F28">
            <v>694.79603874135228</v>
          </cell>
        </row>
        <row r="29">
          <cell r="F29">
            <v>209.82840369988838</v>
          </cell>
        </row>
        <row r="30">
          <cell r="F30">
            <v>475.40681839948314</v>
          </cell>
        </row>
      </sheetData>
      <sheetData sheetId="25"/>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18.059999999999999</v>
          </cell>
        </row>
        <row r="19">
          <cell r="E19">
            <v>71.67</v>
          </cell>
        </row>
      </sheetData>
      <sheetData sheetId="28"/>
      <sheetData sheetId="29">
        <row r="12">
          <cell r="F12">
            <v>57.631452329387571</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sheetData sheetId="1"/>
      <sheetData sheetId="2"/>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поселок Степной, Искитимский муниципальный район</v>
          </cell>
        </row>
        <row r="15">
          <cell r="D15" t="str">
            <v/>
          </cell>
        </row>
        <row r="16">
          <cell r="D16" t="str">
            <v>Код ОКТМО</v>
          </cell>
          <cell r="E16" t="str">
            <v xml:space="preserve"> (50615425101)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744.53988101969924</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3345.2500000000005</v>
          </cell>
        </row>
      </sheetData>
      <sheetData sheetId="9"/>
      <sheetData sheetId="10"/>
      <sheetData sheetId="11"/>
      <sheetData sheetId="12"/>
      <sheetData sheetId="13">
        <row r="12">
          <cell r="F12">
            <v>2000.3680279558928</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2780.7867618428891</v>
          </cell>
        </row>
        <row r="27">
          <cell r="F27">
            <v>0.44209422600000003</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sheetData sheetId="23">
        <row r="12">
          <cell r="F12">
            <v>475.74490066496389</v>
          </cell>
        </row>
        <row r="14">
          <cell r="F14">
            <v>6117.6201782637581</v>
          </cell>
        </row>
        <row r="15">
          <cell r="F15">
            <v>0.2</v>
          </cell>
        </row>
        <row r="18">
          <cell r="F18">
            <v>15</v>
          </cell>
        </row>
        <row r="19">
          <cell r="F19">
            <v>3778.1614077800232</v>
          </cell>
        </row>
        <row r="20">
          <cell r="F20">
            <v>2.1999999999999999E-2</v>
          </cell>
        </row>
        <row r="21">
          <cell r="F21">
            <v>10</v>
          </cell>
        </row>
        <row r="22">
          <cell r="F22">
            <v>8.3423602855286667</v>
          </cell>
        </row>
        <row r="23">
          <cell r="F23">
            <v>3.0000000000000001E-3</v>
          </cell>
        </row>
        <row r="24">
          <cell r="F24">
            <v>2780.7867618428891</v>
          </cell>
        </row>
      </sheetData>
      <sheetData sheetId="24"/>
      <sheetData sheetId="25">
        <row r="12">
          <cell r="F12">
            <v>444.6502496981459</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1824.1159128452543</v>
          </cell>
        </row>
        <row r="33">
          <cell r="F33">
            <v>1102.0361645056007</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sheetData sheetId="30">
        <row r="12">
          <cell r="F12">
            <v>73.306061186774045</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 val="Шаблон ЦАК_газ_ЦП (без НДС)_2пг"/>
    </sheetNames>
    <definedNames>
      <definedName name="Лист29.PrintBlock"/>
    </definedNames>
    <sheetDataSet>
      <sheetData sheetId="0"/>
      <sheetData sheetId="1"/>
      <sheetData sheetId="2"/>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Тальменка, Искитимский муниципальный район </v>
          </cell>
        </row>
        <row r="15">
          <cell r="D15" t="str">
            <v/>
          </cell>
        </row>
        <row r="16">
          <cell r="D16" t="str">
            <v>Код ОКТМО</v>
          </cell>
          <cell r="E16" t="str">
            <v>(50615428101)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sheetData sheetId="5"/>
      <sheetData sheetId="6"/>
      <sheetData sheetId="7">
        <row r="12">
          <cell r="F12">
            <v>994.35037159416254</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16">
          <cell r="E16">
            <v>7900</v>
          </cell>
        </row>
        <row r="20">
          <cell r="E20">
            <v>8.5000000000000006E-2</v>
          </cell>
        </row>
        <row r="21">
          <cell r="E21">
            <v>0.112</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4699.5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795.43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136.54</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119.9</v>
          </cell>
        </row>
        <row r="32">
          <cell r="E32">
            <v>5751.37</v>
          </cell>
        </row>
      </sheetData>
      <sheetData sheetId="9"/>
      <sheetData sheetId="10"/>
      <sheetData sheetId="11"/>
      <sheetData sheetId="12"/>
      <sheetData sheetId="13">
        <row r="12">
          <cell r="F12">
            <v>1338.5714783459885</v>
          </cell>
        </row>
        <row r="13">
          <cell r="F13">
            <v>105136.23090983224</v>
          </cell>
        </row>
        <row r="14">
          <cell r="F14">
            <v>64899</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39638.324046481182</v>
          </cell>
        </row>
        <row r="23">
          <cell r="F23">
            <v>21</v>
          </cell>
        </row>
        <row r="26">
          <cell r="F26">
            <v>2892</v>
          </cell>
        </row>
        <row r="28">
          <cell r="F28">
            <v>331.04604307653443</v>
          </cell>
        </row>
        <row r="29">
          <cell r="F29">
            <v>0.44209422600000003</v>
          </cell>
        </row>
        <row r="30">
          <cell r="F30">
            <v>500</v>
          </cell>
        </row>
        <row r="31">
          <cell r="F31">
            <v>9.5962865259740182E-2</v>
          </cell>
        </row>
        <row r="32">
          <cell r="F32">
            <v>8.4029304029304031E-2</v>
          </cell>
        </row>
        <row r="33">
          <cell r="F33">
            <v>0.13880000000000001</v>
          </cell>
        </row>
        <row r="34">
          <cell r="F34">
            <v>0.12640000000000001</v>
          </cell>
        </row>
        <row r="35">
          <cell r="F35">
            <v>10</v>
          </cell>
        </row>
        <row r="37">
          <cell r="F37">
            <v>1.4976266307379205</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-38</v>
          </cell>
        </row>
        <row r="23">
          <cell r="E23" t="str">
            <v>нет</v>
          </cell>
        </row>
        <row r="28">
          <cell r="E28">
            <v>14036.09995</v>
          </cell>
        </row>
        <row r="29">
          <cell r="E29">
            <v>9518.3274000000001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sheetData sheetId="19">
        <row r="11">
          <cell r="E11">
            <v>-2.9000000000000026E-2</v>
          </cell>
          <cell r="F11">
            <v>0.245</v>
          </cell>
          <cell r="G11">
            <v>0.114</v>
          </cell>
          <cell r="H11">
            <v>2.4E-2</v>
          </cell>
          <cell r="I11">
            <v>8.5999999999999993E-2</v>
          </cell>
        </row>
      </sheetData>
      <sheetData sheetId="20"/>
      <sheetData sheetId="21"/>
      <sheetData sheetId="22">
        <row r="12">
          <cell r="F12">
            <v>317.98065232680995</v>
          </cell>
        </row>
        <row r="14">
          <cell r="F14">
            <v>4207.4782939208517</v>
          </cell>
        </row>
        <row r="15">
          <cell r="F15">
            <v>0.2</v>
          </cell>
        </row>
        <row r="18">
          <cell r="F18">
            <v>15</v>
          </cell>
        </row>
        <row r="19">
          <cell r="F19">
            <v>2638.2577020926874</v>
          </cell>
        </row>
        <row r="20">
          <cell r="F20">
            <v>2.1999999999999999E-2</v>
          </cell>
        </row>
        <row r="21">
          <cell r="F21">
            <v>10</v>
          </cell>
        </row>
        <row r="22">
          <cell r="F22">
            <v>0.99313812922960332</v>
          </cell>
        </row>
        <row r="23">
          <cell r="F23">
            <v>3.0000000000000001E-3</v>
          </cell>
        </row>
        <row r="24">
          <cell r="F24">
            <v>331.04604307653443</v>
          </cell>
        </row>
      </sheetData>
      <sheetData sheetId="23"/>
      <sheetData sheetId="24">
        <row r="12">
          <cell r="F12">
            <v>230.67011420241766</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40.123830000000005</v>
          </cell>
        </row>
        <row r="27">
          <cell r="F27">
            <v>904.62444244124072</v>
          </cell>
        </row>
        <row r="28">
          <cell r="F28">
            <v>694.79603874135228</v>
          </cell>
        </row>
        <row r="29">
          <cell r="F29">
            <v>209.82840369988838</v>
          </cell>
        </row>
        <row r="30">
          <cell r="F30">
            <v>475.40681839948314</v>
          </cell>
        </row>
      </sheetData>
      <sheetData sheetId="25"/>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18.059999999999999</v>
          </cell>
        </row>
        <row r="19">
          <cell r="E19">
            <v>71.67</v>
          </cell>
        </row>
      </sheetData>
      <sheetData sheetId="28"/>
      <sheetData sheetId="29">
        <row r="12">
          <cell r="F12">
            <v>57.631452329387571</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Искитимский Бурмистрово"/>
    </sheetNames>
    <definedNames>
      <definedName name="Лист29.PrintBlock"/>
    </definedNames>
    <sheetDataSet>
      <sheetData sheetId="0" refreshError="1"/>
      <sheetData sheetId="1" refreshError="1"/>
      <sheetData sheetId="2" refreshError="1"/>
      <sheetData sheetId="3">
        <row r="8">
          <cell r="D8" t="str">
            <v>Период регулирования (i)-й</v>
          </cell>
        </row>
      </sheetData>
      <sheetData sheetId="4" refreshError="1"/>
      <sheetData sheetId="5" refreshError="1"/>
      <sheetData sheetId="6" refreshError="1"/>
      <sheetData sheetId="7">
        <row r="12">
          <cell r="F12">
            <v>831.83302974859123</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sheetData>
      <sheetData sheetId="9" refreshError="1"/>
      <sheetData sheetId="10" refreshError="1"/>
      <sheetData sheetId="11"/>
      <sheetData sheetId="12" refreshError="1"/>
      <sheetData sheetId="13">
        <row r="12">
          <cell r="F12">
            <v>2118.7793537219804</v>
          </cell>
        </row>
      </sheetData>
      <sheetData sheetId="14">
        <row r="12">
          <cell r="E12" t="str">
            <v>V</v>
          </cell>
        </row>
      </sheetData>
      <sheetData sheetId="15" refreshError="1"/>
      <sheetData sheetId="16">
        <row r="10">
          <cell r="E10">
            <v>1287</v>
          </cell>
        </row>
      </sheetData>
      <sheetData sheetId="17">
        <row r="11">
          <cell r="E11">
            <v>9.89</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row>
      </sheetData>
      <sheetData sheetId="21">
        <row r="11">
          <cell r="G11" t="str">
            <v>Информация с официального сайта Банка России</v>
          </cell>
        </row>
      </sheetData>
      <sheetData sheetId="22" refreshError="1"/>
      <sheetData sheetId="23">
        <row r="12">
          <cell r="F12">
            <v>507.22302275360641</v>
          </cell>
        </row>
      </sheetData>
      <sheetData sheetId="24"/>
      <sheetData sheetId="25">
        <row r="12">
          <cell r="F12">
            <v>402.86408578976187</v>
          </cell>
        </row>
      </sheetData>
      <sheetData sheetId="26">
        <row r="12">
          <cell r="F12" t="str">
            <v>пп № 274 от 01.03.2022</v>
          </cell>
        </row>
      </sheetData>
      <sheetData sheetId="27">
        <row r="8">
          <cell r="F8" t="str">
            <v>нет</v>
          </cell>
        </row>
      </sheetData>
      <sheetData sheetId="28">
        <row r="11">
          <cell r="E11">
            <v>1871</v>
          </cell>
        </row>
      </sheetData>
      <sheetData sheetId="29" refreshError="1"/>
      <sheetData sheetId="30">
        <row r="12">
          <cell r="F12">
            <v>77.213989840278799</v>
          </cell>
        </row>
      </sheetData>
      <sheetData sheetId="31">
        <row r="12">
          <cell r="F12" t="str">
            <v>-</v>
          </cell>
        </row>
      </sheetData>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sheetData sheetId="1"/>
      <sheetData sheetId="2"/>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Улыбино, Искитимский муниципальный район</v>
          </cell>
        </row>
        <row r="15">
          <cell r="D15" t="str">
            <v/>
          </cell>
        </row>
        <row r="16">
          <cell r="D16" t="str">
            <v>Код ОКТМО</v>
          </cell>
          <cell r="E16" t="str">
            <v xml:space="preserve"> (50615431101)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665.23209308057574</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2988.9166666666665</v>
          </cell>
        </row>
      </sheetData>
      <sheetData sheetId="9"/>
      <sheetData sheetId="10"/>
      <sheetData sheetId="11"/>
      <sheetData sheetId="12"/>
      <sheetData sheetId="13">
        <row r="12">
          <cell r="F12">
            <v>2000.3680279558928</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2780.7867618428891</v>
          </cell>
        </row>
        <row r="27">
          <cell r="F27">
            <v>0.44209422600000003</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sheetData sheetId="23">
        <row r="12">
          <cell r="F12">
            <v>475.74490066496389</v>
          </cell>
        </row>
        <row r="14">
          <cell r="F14">
            <v>6117.6201782637581</v>
          </cell>
        </row>
        <row r="15">
          <cell r="F15">
            <v>0.2</v>
          </cell>
        </row>
        <row r="18">
          <cell r="F18">
            <v>15</v>
          </cell>
        </row>
        <row r="19">
          <cell r="F19">
            <v>3778.1614077800232</v>
          </cell>
        </row>
        <row r="20">
          <cell r="F20">
            <v>2.1999999999999999E-2</v>
          </cell>
        </row>
        <row r="21">
          <cell r="F21">
            <v>10</v>
          </cell>
        </row>
        <row r="22">
          <cell r="F22">
            <v>8.3423602855286667</v>
          </cell>
        </row>
        <row r="23">
          <cell r="F23">
            <v>3.0000000000000001E-3</v>
          </cell>
        </row>
        <row r="24">
          <cell r="F24">
            <v>2780.7867618428891</v>
          </cell>
        </row>
      </sheetData>
      <sheetData sheetId="24"/>
      <sheetData sheetId="25">
        <row r="12">
          <cell r="F12">
            <v>439.09870454240729</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1708.5430685767656</v>
          </cell>
        </row>
        <row r="33">
          <cell r="F33">
            <v>986.46332023711193</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sheetData sheetId="30">
        <row r="12">
          <cell r="F12">
            <v>71.608874524876796</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sheetData sheetId="1"/>
      <sheetData sheetId="2"/>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Усть-Чем, Искитимский муниципальный район</v>
          </cell>
        </row>
        <row r="15">
          <cell r="D15" t="str">
            <v/>
          </cell>
        </row>
        <row r="16">
          <cell r="D16" t="str">
            <v>Код ОКТМО</v>
          </cell>
          <cell r="E16" t="str">
            <v xml:space="preserve"> (50615434101)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665.23209308057574</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2988.9166666666665</v>
          </cell>
        </row>
      </sheetData>
      <sheetData sheetId="9"/>
      <sheetData sheetId="10"/>
      <sheetData sheetId="11"/>
      <sheetData sheetId="12"/>
      <sheetData sheetId="13">
        <row r="12">
          <cell r="F12">
            <v>2000.3680279558928</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2780.7867618428891</v>
          </cell>
        </row>
        <row r="27">
          <cell r="F27">
            <v>0.44209422600000003</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sheetData sheetId="23">
        <row r="12">
          <cell r="F12">
            <v>475.74490066496389</v>
          </cell>
        </row>
        <row r="14">
          <cell r="F14">
            <v>6117.6201782637581</v>
          </cell>
        </row>
        <row r="15">
          <cell r="F15">
            <v>0.2</v>
          </cell>
        </row>
        <row r="18">
          <cell r="F18">
            <v>15</v>
          </cell>
        </row>
        <row r="19">
          <cell r="F19">
            <v>3778.1614077800232</v>
          </cell>
        </row>
        <row r="20">
          <cell r="F20">
            <v>2.1999999999999999E-2</v>
          </cell>
        </row>
        <row r="21">
          <cell r="F21">
            <v>10</v>
          </cell>
        </row>
        <row r="22">
          <cell r="F22">
            <v>8.3423602855286667</v>
          </cell>
        </row>
        <row r="23">
          <cell r="F23">
            <v>3.0000000000000001E-3</v>
          </cell>
        </row>
        <row r="24">
          <cell r="F24">
            <v>2780.7867618428891</v>
          </cell>
        </row>
      </sheetData>
      <sheetData sheetId="24"/>
      <sheetData sheetId="25">
        <row r="12">
          <cell r="F12">
            <v>439.09870454240729</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1708.5430685767656</v>
          </cell>
        </row>
        <row r="33">
          <cell r="F33">
            <v>986.46332023711193</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sheetData sheetId="30">
        <row r="12">
          <cell r="F12">
            <v>71.608874524876796</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 val="Шаблон ЦАК_газ_ЦП (без НДС)_2пг"/>
    </sheetNames>
    <definedNames>
      <definedName name="Лист29.PrintBlock"/>
    </definedNames>
    <sheetDataSet>
      <sheetData sheetId="0"/>
      <sheetData sheetId="1"/>
      <sheetData sheetId="2"/>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поселок Чернореченский, Искитимский муниципальный район</v>
          </cell>
        </row>
        <row r="15">
          <cell r="D15" t="str">
            <v/>
          </cell>
        </row>
        <row r="16">
          <cell r="D16" t="str">
            <v>Код ОКТМО</v>
          </cell>
          <cell r="E16" t="str">
            <v xml:space="preserve"> (50615437101)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sheetData sheetId="5"/>
      <sheetData sheetId="6"/>
      <sheetData sheetId="7">
        <row r="12">
          <cell r="F12">
            <v>994.35037159416254</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16">
          <cell r="E16">
            <v>7900</v>
          </cell>
        </row>
        <row r="20">
          <cell r="E20">
            <v>8.5000000000000006E-2</v>
          </cell>
        </row>
        <row r="21">
          <cell r="E21">
            <v>0.112</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4699.5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795.43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136.54</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119.9</v>
          </cell>
        </row>
        <row r="32">
          <cell r="E32">
            <v>5751.37</v>
          </cell>
        </row>
      </sheetData>
      <sheetData sheetId="9"/>
      <sheetData sheetId="10"/>
      <sheetData sheetId="11"/>
      <sheetData sheetId="12"/>
      <sheetData sheetId="13">
        <row r="12">
          <cell r="F12">
            <v>1338.5714783459885</v>
          </cell>
        </row>
        <row r="13">
          <cell r="F13">
            <v>105136.23090983224</v>
          </cell>
        </row>
        <row r="14">
          <cell r="F14">
            <v>64899</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39638.324046481182</v>
          </cell>
        </row>
        <row r="23">
          <cell r="F23">
            <v>21</v>
          </cell>
        </row>
        <row r="26">
          <cell r="F26">
            <v>2892</v>
          </cell>
        </row>
        <row r="28">
          <cell r="F28">
            <v>331.04604307653443</v>
          </cell>
        </row>
        <row r="29">
          <cell r="F29">
            <v>0.44209422600000003</v>
          </cell>
        </row>
        <row r="30">
          <cell r="F30">
            <v>500</v>
          </cell>
        </row>
        <row r="31">
          <cell r="F31">
            <v>9.5962865259740182E-2</v>
          </cell>
        </row>
        <row r="32">
          <cell r="F32">
            <v>8.4029304029304031E-2</v>
          </cell>
        </row>
        <row r="33">
          <cell r="F33">
            <v>0.13880000000000001</v>
          </cell>
        </row>
        <row r="34">
          <cell r="F34">
            <v>0.12640000000000001</v>
          </cell>
        </row>
        <row r="35">
          <cell r="F35">
            <v>10</v>
          </cell>
        </row>
        <row r="37">
          <cell r="F37">
            <v>1.4976266307379205</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-38</v>
          </cell>
        </row>
        <row r="23">
          <cell r="E23" t="str">
            <v>нет</v>
          </cell>
        </row>
        <row r="28">
          <cell r="E28">
            <v>14036.09995</v>
          </cell>
        </row>
        <row r="29">
          <cell r="E29">
            <v>9518.3274000000001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sheetData sheetId="19">
        <row r="11">
          <cell r="E11">
            <v>-2.9000000000000026E-2</v>
          </cell>
          <cell r="F11">
            <v>0.245</v>
          </cell>
          <cell r="G11">
            <v>0.114</v>
          </cell>
          <cell r="H11">
            <v>2.4E-2</v>
          </cell>
          <cell r="I11">
            <v>8.5999999999999993E-2</v>
          </cell>
        </row>
      </sheetData>
      <sheetData sheetId="20"/>
      <sheetData sheetId="21"/>
      <sheetData sheetId="22">
        <row r="12">
          <cell r="F12">
            <v>317.98065232680995</v>
          </cell>
        </row>
        <row r="14">
          <cell r="F14">
            <v>4207.4782939208517</v>
          </cell>
        </row>
        <row r="15">
          <cell r="F15">
            <v>0.2</v>
          </cell>
        </row>
        <row r="18">
          <cell r="F18">
            <v>15</v>
          </cell>
        </row>
        <row r="19">
          <cell r="F19">
            <v>2638.2577020926874</v>
          </cell>
        </row>
        <row r="20">
          <cell r="F20">
            <v>2.1999999999999999E-2</v>
          </cell>
        </row>
        <row r="21">
          <cell r="F21">
            <v>10</v>
          </cell>
        </row>
        <row r="22">
          <cell r="F22">
            <v>0.99313812922960332</v>
          </cell>
        </row>
        <row r="23">
          <cell r="F23">
            <v>3.0000000000000001E-3</v>
          </cell>
        </row>
        <row r="24">
          <cell r="F24">
            <v>331.04604307653443</v>
          </cell>
        </row>
      </sheetData>
      <sheetData sheetId="23"/>
      <sheetData sheetId="24">
        <row r="12">
          <cell r="F12">
            <v>230.67011420241766</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40.123830000000005</v>
          </cell>
        </row>
        <row r="27">
          <cell r="F27">
            <v>904.62444244124072</v>
          </cell>
        </row>
        <row r="28">
          <cell r="F28">
            <v>694.79603874135228</v>
          </cell>
        </row>
        <row r="29">
          <cell r="F29">
            <v>209.82840369988838</v>
          </cell>
        </row>
        <row r="30">
          <cell r="F30">
            <v>475.40681839948314</v>
          </cell>
        </row>
      </sheetData>
      <sheetData sheetId="25"/>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18.059999999999999</v>
          </cell>
        </row>
        <row r="19">
          <cell r="E19">
            <v>71.67</v>
          </cell>
        </row>
      </sheetData>
      <sheetData sheetId="28"/>
      <sheetData sheetId="29">
        <row r="12">
          <cell r="F12">
            <v>57.631452329387571</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sheetData sheetId="1"/>
      <sheetData sheetId="2"/>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деревня Шибково, Искитимский муниципальный район </v>
          </cell>
        </row>
        <row r="15">
          <cell r="D15" t="str">
            <v/>
          </cell>
        </row>
        <row r="16">
          <cell r="D16" t="str">
            <v>Код ОКТМО</v>
          </cell>
          <cell r="E16" t="str">
            <v>(50615440101)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sheetData sheetId="5"/>
      <sheetData sheetId="6"/>
      <sheetData sheetId="7">
        <row r="12">
          <cell r="F12">
            <v>665.23209308057574</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0">
          <cell r="I10" t="str">
            <v>информация с официального сайта единой информационной системы в сфере закупок</v>
          </cell>
        </row>
        <row r="11">
          <cell r="I11" t="str">
            <v>рыночные цены на топливо, сложившиеся на организованных торговых площадках, в т.ч. на биржах, функционирующих на территории РФ</v>
          </cell>
        </row>
        <row r="12">
          <cell r="I12" t="str">
            <v>рыночные цены на топливо, информация о которых предоставляется независимыми специализированными информационно-аналитическими организациями</v>
          </cell>
        </row>
        <row r="13">
          <cell r="E13" t="str">
            <v>уголь (вид угля не указан в топливном балансе)</v>
          </cell>
          <cell r="I13" t="str">
            <v>данные Федеральной службы государственной статистики</v>
          </cell>
        </row>
        <row r="16">
          <cell r="E16">
            <v>5100</v>
          </cell>
        </row>
        <row r="19">
          <cell r="E19">
            <v>-0.19900000000000001</v>
          </cell>
          <cell r="F19" t="str">
            <v xml:space="preserve">Прогноз социально-экономического развития Российской Федерации на 2023 год и на плановый период 2024 и 2025 годов (размещен на официальном сайте Министерства экономического развития Российской Федерации (далее -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"Добыча полезных ископаемых (Раздел B)", строка "Добыча угля (05)", (показатель "ИЦП") </v>
          </cell>
        </row>
        <row r="20">
          <cell r="E20">
            <v>5.7000000000000002E-2</v>
          </cell>
          <cell r="F20" t="str">
            <v xml:space="preserve">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"Добыча полезных ископаемых (Раздел B)", строка "Добыча угля (05)", (показатель "ИЦП") </v>
          </cell>
        </row>
        <row r="23">
          <cell r="E23" t="str">
            <v>данные Федеральной службы государственной статистики</v>
          </cell>
        </row>
        <row r="27">
          <cell r="E27">
            <v>2988.9166666666665</v>
          </cell>
        </row>
      </sheetData>
      <sheetData sheetId="9"/>
      <sheetData sheetId="10"/>
      <sheetData sheetId="11"/>
      <sheetData sheetId="12"/>
      <sheetData sheetId="13">
        <row r="12">
          <cell r="F12">
            <v>2000.3680279558928</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2780.7867618428891</v>
          </cell>
        </row>
        <row r="27">
          <cell r="F27">
            <v>0.44209422600000003</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cell r="F13" t="str">
            <v xml:space="preserve"> Приложение А (обязательное) "Общее сейсмическое районирование территории Российской Федерации ОСР-2015. Список населенных пунктов Российской Федерации, расположенных в сейсмических районах, с указанием расчетной сейсмической интенсивности в баллах шкалы MSK-64 для средних грунтовых условий и трех степеней сейсмической опасности - A (10%), B (5%), C (1%) в течение 50 лет" к своду правил "СП 14.13330.2018 Строительство в сейсмических районах. Актуализир. редакция СНиП II-7-81".</v>
          </cell>
        </row>
        <row r="14">
          <cell r="E14" t="str">
            <v>от 200 до 500</v>
          </cell>
          <cell r="F14" t="str">
            <v>Карта Российской Федерации в масштабе, позволяющем определить расстояние на транспортировку основных средств котельной, определяется как расстояние от границы системы теплоснабжения до границы ближайшего административного центра субъекта РФ с железнодорожным сообщением</v>
          </cell>
        </row>
        <row r="15">
          <cell r="E15" t="str">
            <v>нет</v>
          </cell>
        </row>
        <row r="19">
          <cell r="E19">
            <v>-38</v>
          </cell>
          <cell r="F19" t="str">
            <v>Схема теплоснабжения (расчетная температура наружного воздуха)</v>
          </cell>
        </row>
        <row r="22">
          <cell r="E22" t="str">
            <v>нет</v>
          </cell>
        </row>
        <row r="27">
          <cell r="E27">
            <v>14307.876789999998</v>
          </cell>
        </row>
        <row r="28">
          <cell r="E28">
            <v>9541.9567200000001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row r="15">
          <cell r="D15" t="str">
            <v>на 2020: Прогноз социально-экономического развития Российской Федерации на 2022 год и на плановый период 2023 и 2024 годов (размещен на официальном сайте Минэкономразвития России 30.09.2021): файл в формате Microsoft Excel «12. Дефляторы базовый», таблица «Прогноз индексов цен производителей и индексов-дефляторов по видам экономической деятельности, в % г/г (Базовый вариант)», отрасль «Промышленность (BСDE)», (показатель «ИЦП»)
на 2021-2023 годы: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отрасль «Промышленность (BСDE)», (показатель «ИЦП»)</v>
          </cell>
        </row>
      </sheetData>
      <sheetData sheetId="21">
        <row r="11">
          <cell r="G11" t="str">
            <v>Информация с официального сайта Банка России</v>
          </cell>
        </row>
      </sheetData>
      <sheetData sheetId="22"/>
      <sheetData sheetId="23">
        <row r="12">
          <cell r="F12">
            <v>475.74490066496389</v>
          </cell>
        </row>
        <row r="14">
          <cell r="F14">
            <v>6117.6201782637581</v>
          </cell>
        </row>
        <row r="15">
          <cell r="F15">
            <v>0.2</v>
          </cell>
        </row>
        <row r="18">
          <cell r="F18">
            <v>15</v>
          </cell>
        </row>
        <row r="19">
          <cell r="F19">
            <v>3778.1614077800232</v>
          </cell>
        </row>
        <row r="20">
          <cell r="F20">
            <v>2.1999999999999999E-2</v>
          </cell>
        </row>
        <row r="21">
          <cell r="F21">
            <v>10</v>
          </cell>
        </row>
        <row r="22">
          <cell r="F22">
            <v>8.3423602855286667</v>
          </cell>
        </row>
        <row r="23">
          <cell r="F23">
            <v>3.0000000000000001E-3</v>
          </cell>
        </row>
        <row r="24">
          <cell r="F24">
            <v>2780.7867618428891</v>
          </cell>
        </row>
      </sheetData>
      <sheetData sheetId="24"/>
      <sheetData sheetId="25">
        <row r="12">
          <cell r="F12">
            <v>439.09870454240729</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1708.5430685767656</v>
          </cell>
        </row>
        <row r="33">
          <cell r="F33">
            <v>986.46332023711193</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sheetData sheetId="30">
        <row r="12">
          <cell r="F12">
            <v>71.608874524876796</v>
          </cell>
        </row>
        <row r="17">
          <cell r="F17">
            <v>0.02</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Быстровка, Искитимский муниципальный район </v>
          </cell>
        </row>
        <row r="15">
          <cell r="D15" t="str">
            <v/>
          </cell>
        </row>
        <row r="16">
          <cell r="D16" t="str">
            <v>Код ОКТМО</v>
          </cell>
          <cell r="E16" t="str">
            <v>(50615402101)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759.67438872744583</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3413.25</v>
          </cell>
        </row>
      </sheetData>
      <sheetData sheetId="9" refreshError="1"/>
      <sheetData sheetId="10" refreshError="1"/>
      <sheetData sheetId="11"/>
      <sheetData sheetId="12" refreshError="1"/>
      <sheetData sheetId="13">
        <row r="12">
          <cell r="F12">
            <v>2000.3680279558928</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2780.7867618428891</v>
          </cell>
        </row>
        <row r="27">
          <cell r="F27">
            <v>0.44209422600000003</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475.74490066496389</v>
          </cell>
        </row>
        <row r="14">
          <cell r="F14">
            <v>6117.6201782637581</v>
          </cell>
        </row>
        <row r="15">
          <cell r="F15">
            <v>0.2</v>
          </cell>
        </row>
        <row r="18">
          <cell r="F18">
            <v>15</v>
          </cell>
        </row>
        <row r="19">
          <cell r="F19">
            <v>3778.1614077800232</v>
          </cell>
        </row>
        <row r="20">
          <cell r="F20">
            <v>2.1999999999999999E-2</v>
          </cell>
        </row>
        <row r="21">
          <cell r="F21">
            <v>10</v>
          </cell>
        </row>
        <row r="22">
          <cell r="F22">
            <v>8.3423602855286667</v>
          </cell>
        </row>
        <row r="23">
          <cell r="F23">
            <v>3.0000000000000001E-3</v>
          </cell>
        </row>
        <row r="24">
          <cell r="F24">
            <v>2780.7867618428891</v>
          </cell>
        </row>
      </sheetData>
      <sheetData sheetId="24"/>
      <sheetData sheetId="25">
        <row r="12">
          <cell r="F12">
            <v>445.70966523768817</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1846.1709738656207</v>
          </cell>
        </row>
        <row r="33">
          <cell r="F33">
            <v>1124.091225525967</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refreshError="1"/>
      <sheetData sheetId="30">
        <row r="12">
          <cell r="F12">
            <v>73.629939651719823</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Искитимский Быстровский"/>
    </sheetNames>
    <definedNames>
      <definedName name="Лист29.PrintBlock"/>
    </definedNames>
    <sheetDataSet>
      <sheetData sheetId="0"/>
      <sheetData sheetId="1"/>
      <sheetData sheetId="2"/>
      <sheetData sheetId="3">
        <row r="8">
          <cell r="D8" t="str">
            <v>Период регулирования (i)-й</v>
          </cell>
        </row>
      </sheetData>
      <sheetData sheetId="4"/>
      <sheetData sheetId="5"/>
      <sheetData sheetId="6"/>
      <sheetData sheetId="7">
        <row r="12">
          <cell r="F12">
            <v>846.79491165589309</v>
          </cell>
        </row>
      </sheetData>
      <sheetData sheetId="8">
        <row r="13">
          <cell r="E13" t="str">
            <v>уголь (вид угля не указан в топливном балансе)</v>
          </cell>
        </row>
      </sheetData>
      <sheetData sheetId="9"/>
      <sheetData sheetId="10"/>
      <sheetData sheetId="11"/>
      <sheetData sheetId="12"/>
      <sheetData sheetId="13">
        <row r="12">
          <cell r="F12">
            <v>2118.7793537219804</v>
          </cell>
        </row>
      </sheetData>
      <sheetData sheetId="14">
        <row r="12">
          <cell r="E12" t="str">
            <v>V</v>
          </cell>
        </row>
      </sheetData>
      <sheetData sheetId="15"/>
      <sheetData sheetId="16">
        <row r="10">
          <cell r="E10">
            <v>1287</v>
          </cell>
        </row>
      </sheetData>
      <sheetData sheetId="17">
        <row r="11">
          <cell r="E11">
            <v>9.89</v>
          </cell>
        </row>
      </sheetData>
      <sheetData sheetId="18"/>
      <sheetData sheetId="19"/>
      <sheetData sheetId="20">
        <row r="11">
          <cell r="E11">
            <v>-2.9000000000000026E-2</v>
          </cell>
        </row>
      </sheetData>
      <sheetData sheetId="21"/>
      <sheetData sheetId="22"/>
      <sheetData sheetId="23">
        <row r="12">
          <cell r="F12">
            <v>507.22302275360641</v>
          </cell>
        </row>
      </sheetData>
      <sheetData sheetId="24"/>
      <sheetData sheetId="25">
        <row r="12">
          <cell r="F12">
            <v>403.66691828758218</v>
          </cell>
        </row>
      </sheetData>
      <sheetData sheetId="26"/>
      <sheetData sheetId="27">
        <row r="8">
          <cell r="F8" t="str">
            <v>нет</v>
          </cell>
        </row>
      </sheetData>
      <sheetData sheetId="28">
        <row r="11">
          <cell r="E11">
            <v>1871</v>
          </cell>
        </row>
      </sheetData>
      <sheetData sheetId="29"/>
      <sheetData sheetId="30">
        <row r="12">
          <cell r="F12">
            <v>77.529284128381249</v>
          </cell>
        </row>
      </sheetData>
      <sheetData sheetId="31">
        <row r="12">
          <cell r="F12" t="str">
            <v>-</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 val="Шаблон ЦАК_газ_ЦП (без НДС)_2пг"/>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Верх-Коен, Искитимский муниципальный район </v>
          </cell>
        </row>
        <row r="15">
          <cell r="D15" t="str">
            <v/>
          </cell>
        </row>
        <row r="16">
          <cell r="D16" t="str">
            <v>Код ОКТМО</v>
          </cell>
          <cell r="E16" t="str">
            <v>(50615404101)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994.35037159416254</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16">
          <cell r="E16">
            <v>7900</v>
          </cell>
        </row>
        <row r="20">
          <cell r="E20">
            <v>8.5000000000000006E-2</v>
          </cell>
        </row>
        <row r="21">
          <cell r="E21">
            <v>0.112</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4699.5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795.43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136.54</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119.9</v>
          </cell>
        </row>
        <row r="32">
          <cell r="E32">
            <v>5751.37</v>
          </cell>
        </row>
      </sheetData>
      <sheetData sheetId="9" refreshError="1"/>
      <sheetData sheetId="10" refreshError="1"/>
      <sheetData sheetId="11"/>
      <sheetData sheetId="12" refreshError="1"/>
      <sheetData sheetId="13">
        <row r="12">
          <cell r="F12">
            <v>1338.5714783459885</v>
          </cell>
        </row>
        <row r="13">
          <cell r="F13">
            <v>105136.23090983224</v>
          </cell>
        </row>
        <row r="14">
          <cell r="F14">
            <v>64899</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39638.324046481182</v>
          </cell>
        </row>
        <row r="23">
          <cell r="F23">
            <v>21</v>
          </cell>
        </row>
        <row r="26">
          <cell r="F26">
            <v>2892</v>
          </cell>
        </row>
        <row r="28">
          <cell r="F28">
            <v>331.04604307653443</v>
          </cell>
        </row>
        <row r="29">
          <cell r="F29">
            <v>0.44209422600000003</v>
          </cell>
        </row>
        <row r="30">
          <cell r="F30">
            <v>500</v>
          </cell>
        </row>
        <row r="31">
          <cell r="F31">
            <v>9.5962865259740182E-2</v>
          </cell>
        </row>
        <row r="32">
          <cell r="F32">
            <v>8.4029304029304031E-2</v>
          </cell>
        </row>
        <row r="33">
          <cell r="F33">
            <v>0.13880000000000001</v>
          </cell>
        </row>
        <row r="34">
          <cell r="F34">
            <v>0.12640000000000001</v>
          </cell>
        </row>
        <row r="35">
          <cell r="F35">
            <v>10</v>
          </cell>
        </row>
        <row r="37">
          <cell r="F37">
            <v>1.4976266307379205</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-38</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sheetData sheetId="19">
        <row r="11">
          <cell r="E11">
            <v>-2.9000000000000026E-2</v>
          </cell>
          <cell r="F11">
            <v>0.245</v>
          </cell>
          <cell r="G11">
            <v>0.114</v>
          </cell>
          <cell r="H11">
            <v>2.4E-2</v>
          </cell>
          <cell r="I11">
            <v>8.5999999999999993E-2</v>
          </cell>
        </row>
      </sheetData>
      <sheetData sheetId="20"/>
      <sheetData sheetId="21" refreshError="1"/>
      <sheetData sheetId="22">
        <row r="12">
          <cell r="F12">
            <v>317.98065232680995</v>
          </cell>
        </row>
        <row r="14">
          <cell r="F14">
            <v>4207.4782939208517</v>
          </cell>
        </row>
        <row r="15">
          <cell r="F15">
            <v>0.2</v>
          </cell>
        </row>
        <row r="18">
          <cell r="F18">
            <v>15</v>
          </cell>
        </row>
        <row r="19">
          <cell r="F19">
            <v>2638.2577020926874</v>
          </cell>
        </row>
        <row r="20">
          <cell r="F20">
            <v>2.1999999999999999E-2</v>
          </cell>
        </row>
        <row r="21">
          <cell r="F21">
            <v>10</v>
          </cell>
        </row>
        <row r="22">
          <cell r="F22">
            <v>0.99313812922960332</v>
          </cell>
        </row>
        <row r="23">
          <cell r="F23">
            <v>3.0000000000000001E-3</v>
          </cell>
        </row>
        <row r="24">
          <cell r="F24">
            <v>331.04604307653443</v>
          </cell>
        </row>
      </sheetData>
      <sheetData sheetId="23"/>
      <sheetData sheetId="24">
        <row r="12">
          <cell r="F12">
            <v>230.67011420241766</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40.123830000000005</v>
          </cell>
        </row>
        <row r="27">
          <cell r="F27">
            <v>904.62444244124072</v>
          </cell>
        </row>
        <row r="28">
          <cell r="F28">
            <v>694.79603874135228</v>
          </cell>
        </row>
        <row r="29">
          <cell r="F29">
            <v>209.82840369988838</v>
          </cell>
        </row>
        <row r="30">
          <cell r="F30">
            <v>475.40681839948314</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18.059999999999999</v>
          </cell>
        </row>
        <row r="19">
          <cell r="E19">
            <v>71.67</v>
          </cell>
        </row>
      </sheetData>
      <sheetData sheetId="28" refreshError="1"/>
      <sheetData sheetId="29">
        <row r="12">
          <cell r="F12">
            <v>57.631452329387571</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 val="Искитимский Верх-Коенское газ"/>
    </sheetNames>
    <definedNames>
      <definedName name="Лист29.PrintBlock"/>
    </definedNames>
    <sheetDataSet>
      <sheetData sheetId="0"/>
      <sheetData sheetId="1"/>
      <sheetData sheetId="2"/>
      <sheetData sheetId="3">
        <row r="8">
          <cell r="D8" t="str">
            <v>Период регулирования (i)-й</v>
          </cell>
        </row>
      </sheetData>
      <sheetData sheetId="4"/>
      <sheetData sheetId="5"/>
      <sheetData sheetId="6"/>
      <sheetData sheetId="7">
        <row r="12">
          <cell r="F12">
            <v>912.75572352910331</v>
          </cell>
        </row>
      </sheetData>
      <sheetData sheetId="8">
        <row r="16">
          <cell r="E16">
            <v>7900</v>
          </cell>
        </row>
      </sheetData>
      <sheetData sheetId="9"/>
      <sheetData sheetId="10"/>
      <sheetData sheetId="11"/>
      <sheetData sheetId="12"/>
      <sheetData sheetId="13">
        <row r="12">
          <cell r="F12">
            <v>1417.8079094269176</v>
          </cell>
        </row>
      </sheetData>
      <sheetData sheetId="14">
        <row r="12">
          <cell r="E12" t="str">
            <v>V</v>
          </cell>
        </row>
      </sheetData>
      <sheetData sheetId="15"/>
      <sheetData sheetId="16">
        <row r="10">
          <cell r="E10">
            <v>1287</v>
          </cell>
        </row>
      </sheetData>
      <sheetData sheetId="17">
        <row r="11">
          <cell r="E11">
            <v>5.45</v>
          </cell>
        </row>
      </sheetData>
      <sheetData sheetId="18"/>
      <sheetData sheetId="19">
        <row r="11">
          <cell r="E11">
            <v>-2.9000000000000026E-2</v>
          </cell>
        </row>
      </sheetData>
      <sheetData sheetId="20"/>
      <sheetData sheetId="21"/>
      <sheetData sheetId="22">
        <row r="12">
          <cell r="F12">
            <v>339.07313643637207</v>
          </cell>
        </row>
      </sheetData>
      <sheetData sheetId="23"/>
      <sheetData sheetId="24">
        <row r="12">
          <cell r="F12">
            <v>201.16907540435733</v>
          </cell>
        </row>
      </sheetData>
      <sheetData sheetId="25"/>
      <sheetData sheetId="26">
        <row r="8">
          <cell r="F8" t="str">
            <v>нет</v>
          </cell>
        </row>
      </sheetData>
      <sheetData sheetId="27">
        <row r="11">
          <cell r="E11">
            <v>1871</v>
          </cell>
        </row>
      </sheetData>
      <sheetData sheetId="28"/>
      <sheetData sheetId="29">
        <row r="12">
          <cell r="F12">
            <v>57.416116895935012</v>
          </cell>
        </row>
      </sheetData>
      <sheetData sheetId="30">
        <row r="12">
          <cell r="F12">
            <v>0</v>
          </cell>
        </row>
      </sheetData>
      <sheetData sheetId="31">
        <row r="11">
          <cell r="E11" t="str">
            <v>да</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деревня Гилево, Искитимский муниципальный район</v>
          </cell>
        </row>
        <row r="15">
          <cell r="D15" t="str">
            <v/>
          </cell>
          <cell r="E15" t="str">
            <v>деревня Гилево, Искитимский муниципальный район</v>
          </cell>
        </row>
        <row r="16">
          <cell r="D16" t="str">
            <v>Код ОКТМО</v>
          </cell>
          <cell r="E16" t="str">
            <v xml:space="preserve"> (50615407106)</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759.67438872744583</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3413.25</v>
          </cell>
        </row>
      </sheetData>
      <sheetData sheetId="9" refreshError="1"/>
      <sheetData sheetId="10" refreshError="1"/>
      <sheetData sheetId="11"/>
      <sheetData sheetId="12" refreshError="1"/>
      <sheetData sheetId="13">
        <row r="12">
          <cell r="F12">
            <v>2000.3680279558928</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2780.7867618428891</v>
          </cell>
        </row>
        <row r="27">
          <cell r="F27">
            <v>0.44209422600000003</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475.74490066496389</v>
          </cell>
        </row>
        <row r="14">
          <cell r="F14">
            <v>6117.6201782637581</v>
          </cell>
        </row>
        <row r="15">
          <cell r="F15">
            <v>0.2</v>
          </cell>
        </row>
        <row r="18">
          <cell r="F18">
            <v>15</v>
          </cell>
        </row>
        <row r="19">
          <cell r="F19">
            <v>3778.1614077800232</v>
          </cell>
        </row>
        <row r="20">
          <cell r="F20">
            <v>2.1999999999999999E-2</v>
          </cell>
        </row>
        <row r="21">
          <cell r="F21">
            <v>10</v>
          </cell>
        </row>
        <row r="22">
          <cell r="F22">
            <v>8.3423602855286667</v>
          </cell>
        </row>
        <row r="23">
          <cell r="F23">
            <v>3.0000000000000001E-3</v>
          </cell>
        </row>
        <row r="24">
          <cell r="F24">
            <v>2780.7867618428891</v>
          </cell>
        </row>
      </sheetData>
      <sheetData sheetId="24"/>
      <sheetData sheetId="25">
        <row r="12">
          <cell r="F12">
            <v>445.70966523768817</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1846.1709738656207</v>
          </cell>
        </row>
        <row r="33">
          <cell r="F33">
            <v>1124.091225525967</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refreshError="1"/>
      <sheetData sheetId="30">
        <row r="12">
          <cell r="F12">
            <v>73.629939651719823</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урмистровский"/>
      <sheetName val="Быстровский"/>
      <sheetName val="Верх-Коенский"/>
      <sheetName val="Гилевский"/>
      <sheetName val="Гусельниковский"/>
      <sheetName val="Евсинский"/>
      <sheetName val="Легостаевкий"/>
      <sheetName val="Листвянский"/>
      <sheetName val="Мичуринский"/>
      <sheetName val="Морозовский"/>
      <sheetName val="Преображенский"/>
      <sheetName val="Промышленный"/>
      <sheetName val="Совхозный"/>
      <sheetName val="Степной"/>
      <sheetName val="Тальменский"/>
      <sheetName val="Улыбинский"/>
      <sheetName val="Усть-Чемской"/>
      <sheetName val="Чернореченский"/>
      <sheetName val="Шибковский"/>
      <sheetName val="Лист6"/>
      <sheetName val="Лист2"/>
      <sheetName val="Лист3"/>
      <sheetName val="Лист4"/>
      <sheetName val="Лист5"/>
      <sheetName val="Искитимский"/>
    </sheetNames>
    <definedNames>
      <definedName name="Лист29.PrintBlock"/>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 val="Шаблон ЦАК_уголь_ЦП (без НДС)_2"/>
    </sheetNames>
    <definedNames>
      <definedName name="Лист29.PrintBlock"/>
    </defined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 xml:space="preserve">село Гусельниково, Искитимский муниципальный район </v>
          </cell>
        </row>
        <row r="15">
          <cell r="D15" t="str">
            <v/>
          </cell>
          <cell r="E15" t="str">
            <v>деревня Гилево, Искитимский муниципальный район</v>
          </cell>
        </row>
        <row r="16">
          <cell r="D16" t="str">
            <v>Код ОКТМО</v>
          </cell>
          <cell r="E16" t="str">
            <v>(50615410101)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759.67438872744583</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9">
          <cell r="I9" t="str">
            <v>цены (тарифы), подлежащие государственному регулированию, действовавшие на день окончания (i-2)-го расчетного периода в системе теплоснабжения</v>
          </cell>
        </row>
        <row r="10">
          <cell r="I10" t="str">
            <v>информация с официального сайта единой информационной системы в сфере закупок</v>
          </cell>
        </row>
        <row r="11">
          <cell r="I11" t="str">
            <v>рыночные цены на топливо, сложившиеся на организованных торговых площадках, в т.ч. на биржах, функционирующих на территории РФ</v>
          </cell>
        </row>
        <row r="12">
          <cell r="I12" t="str">
            <v>рыночные цены на топливо, информация о которых предоставляется независимыми специализированными информационно-аналитическими организациями</v>
          </cell>
        </row>
        <row r="13">
          <cell r="E13" t="str">
            <v>уголь (вид угля не указан в топливном балансе)</v>
          </cell>
          <cell r="I13" t="str">
            <v>данные Федеральной службы государственной статистики</v>
          </cell>
        </row>
        <row r="16">
          <cell r="E16">
            <v>5100</v>
          </cell>
        </row>
        <row r="19">
          <cell r="E19">
            <v>-0.19900000000000001</v>
          </cell>
          <cell r="F19" t="str">
            <v xml:space="preserve">Прогноз социально-экономического развития Российской Федерации на 2023 год и на плановый период 2024 и 2025 годов (размещен на официальном сайте Министерства экономического развития Российской Федерации (далее -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"Добыча полезных ископаемых (Раздел B)", строка "Добыча угля (05)", (показатель "ИЦП") </v>
          </cell>
        </row>
        <row r="20">
          <cell r="E20">
            <v>5.7000000000000002E-2</v>
          </cell>
          <cell r="F20" t="str">
            <v xml:space="preserve">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"Добыча полезных ископаемых (Раздел B)", строка "Добыча угля (05)", (показатель "ИЦП") </v>
          </cell>
        </row>
        <row r="23">
          <cell r="E23" t="str">
            <v>данные Федеральной службы государственной статистики</v>
          </cell>
        </row>
        <row r="27">
          <cell r="E27">
            <v>3413.25</v>
          </cell>
        </row>
      </sheetData>
      <sheetData sheetId="9" refreshError="1"/>
      <sheetData sheetId="10" refreshError="1"/>
      <sheetData sheetId="11"/>
      <sheetData sheetId="12" refreshError="1"/>
      <sheetData sheetId="13">
        <row r="12">
          <cell r="F12">
            <v>2000.3680279558928</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2780.7867618428891</v>
          </cell>
        </row>
        <row r="27">
          <cell r="F27">
            <v>0.44209422600000003</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cell r="F13" t="str">
            <v xml:space="preserve"> Приложение А (обязательное) "Общее сейсмическое районирование территории Российской Федерации ОСР-2015. Список населенных пунктов Российской Федерации, расположенных в сейсмических районах, с указанием расчетной сейсмической интенсивности в баллах шкалы MSK-64 для средних грунтовых условий и трех степеней сейсмической опасности - A (10%), B (5%), C (1%) в течение 50 лет" к своду правил "СП 14.13330.2018 Строительство в сейсмических районах. Актуализир. редакция СНиП II-7-81".</v>
          </cell>
        </row>
        <row r="14">
          <cell r="E14" t="str">
            <v>от 200 до 500</v>
          </cell>
          <cell r="F14" t="str">
            <v>Карта Российской Федерации в масштабе, позволяющем определить расстояние на транспортировку основных средств котельной, определяется как расстояние от границы системы теплоснабжения до границы ближайшего административного центра субъекта РФ с железнодорожным сообщением</v>
          </cell>
        </row>
        <row r="15">
          <cell r="E15" t="str">
            <v>нет</v>
          </cell>
        </row>
        <row r="19">
          <cell r="E19">
            <v>-38</v>
          </cell>
          <cell r="F19" t="str">
            <v>Схема теплоснабжения (расчетная температура наружного воздуха)</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row r="12">
          <cell r="F12" t="str">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ell>
        </row>
      </sheetData>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row r="15">
          <cell r="D15" t="str">
            <v>на 2020: Прогноз социально-экономического развития Российской Федерации на 2022 год и на плановый период 2023 и 2024 годов (размещен на официальном сайте Минэкономразвития России 30.09.2021): файл в формате Microsoft Excel «12. Дефляторы базовый», таблица «Прогноз индексов цен производителей и индексов-дефляторов по видам экономической деятельности, в % г/г (Базовый вариант)», отрасль «Промышленность (BСDE)», (показатель «ИЦП»)
на 2021-2023 годы: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отрасль «Промышленность (BСDE)», (показатель «ИЦП»)</v>
          </cell>
        </row>
      </sheetData>
      <sheetData sheetId="21">
        <row r="11">
          <cell r="G11" t="str">
            <v>Информация с официального сайта Банка России</v>
          </cell>
        </row>
      </sheetData>
      <sheetData sheetId="22" refreshError="1"/>
      <sheetData sheetId="23">
        <row r="12">
          <cell r="F12">
            <v>475.74490066496389</v>
          </cell>
        </row>
        <row r="14">
          <cell r="F14">
            <v>6117.6201782637581</v>
          </cell>
        </row>
        <row r="15">
          <cell r="F15">
            <v>0.2</v>
          </cell>
        </row>
        <row r="18">
          <cell r="F18">
            <v>15</v>
          </cell>
        </row>
        <row r="19">
          <cell r="F19">
            <v>3778.1614077800232</v>
          </cell>
        </row>
        <row r="20">
          <cell r="F20">
            <v>2.1999999999999999E-2</v>
          </cell>
        </row>
        <row r="21">
          <cell r="F21">
            <v>10</v>
          </cell>
        </row>
        <row r="22">
          <cell r="F22">
            <v>8.3423602855286667</v>
          </cell>
        </row>
        <row r="23">
          <cell r="F23">
            <v>3.0000000000000001E-3</v>
          </cell>
        </row>
        <row r="24">
          <cell r="F24">
            <v>2780.7867618428891</v>
          </cell>
        </row>
      </sheetData>
      <sheetData sheetId="24"/>
      <sheetData sheetId="25">
        <row r="12">
          <cell r="F12">
            <v>445.70966523768817</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85.988129999999998</v>
          </cell>
        </row>
        <row r="27">
          <cell r="F27">
            <v>1291.2863994686898</v>
          </cell>
        </row>
        <row r="28">
          <cell r="F28">
            <v>991.77142816335618</v>
          </cell>
        </row>
        <row r="29">
          <cell r="F29">
            <v>299.51497130533357</v>
          </cell>
        </row>
        <row r="30">
          <cell r="F30">
            <v>1846.1709738656207</v>
          </cell>
        </row>
        <row r="33">
          <cell r="F33">
            <v>1124.091225525967</v>
          </cell>
        </row>
        <row r="35">
          <cell r="F35">
            <v>17.040680999999999</v>
          </cell>
        </row>
        <row r="36">
          <cell r="F36">
            <v>14319.9</v>
          </cell>
        </row>
        <row r="37">
          <cell r="F37">
            <v>1.19</v>
          </cell>
        </row>
      </sheetData>
      <sheetData sheetId="26">
        <row r="12">
          <cell r="F12" t="str">
            <v>пп № 274 от 01.03.2022</v>
          </cell>
        </row>
      </sheetData>
      <sheetData sheetId="27">
        <row r="8">
          <cell r="F8" t="str">
            <v>нет</v>
          </cell>
        </row>
      </sheetData>
      <sheetData sheetId="28">
        <row r="11">
          <cell r="E11">
            <v>1871</v>
          </cell>
        </row>
        <row r="12">
          <cell r="E12">
            <v>1636</v>
          </cell>
        </row>
        <row r="13">
          <cell r="E13">
            <v>204</v>
          </cell>
        </row>
        <row r="17">
          <cell r="E17">
            <v>20.350000000000001</v>
          </cell>
        </row>
        <row r="19">
          <cell r="E19">
            <v>71.67</v>
          </cell>
        </row>
      </sheetData>
      <sheetData sheetId="29" refreshError="1"/>
      <sheetData sheetId="30">
        <row r="12">
          <cell r="F12">
            <v>73.629939651719823</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19.xml"/><Relationship Id="rId2" Type="http://schemas.openxmlformats.org/officeDocument/2006/relationships/vmlDrawing" Target="../drawings/vmlDrawing10.vml"/><Relationship Id="rId1" Type="http://schemas.openxmlformats.org/officeDocument/2006/relationships/drawing" Target="../drawings/drawing10.xml"/><Relationship Id="rId4" Type="http://schemas.openxmlformats.org/officeDocument/2006/relationships/ctrlProp" Target="../ctrlProps/ctrlProp20.xml"/></Relationships>
</file>

<file path=xl/worksheets/_rels/sheet11.xml.rels><?xml version="1.0" encoding="UTF-8" standalone="yes"?>
<Relationships xmlns="http://schemas.openxmlformats.org/package/2006/relationships"><Relationship Id="rId3" Type="http://schemas.openxmlformats.org/officeDocument/2006/relationships/ctrlProp" Target="../ctrlProps/ctrlProp21.xml"/><Relationship Id="rId2" Type="http://schemas.openxmlformats.org/officeDocument/2006/relationships/vmlDrawing" Target="../drawings/vmlDrawing11.vml"/><Relationship Id="rId1" Type="http://schemas.openxmlformats.org/officeDocument/2006/relationships/drawing" Target="../drawings/drawing11.xml"/><Relationship Id="rId4" Type="http://schemas.openxmlformats.org/officeDocument/2006/relationships/ctrlProp" Target="../ctrlProps/ctrlProp22.xml"/></Relationships>
</file>

<file path=xl/worksheets/_rels/sheet12.xml.rels><?xml version="1.0" encoding="UTF-8" standalone="yes"?>
<Relationships xmlns="http://schemas.openxmlformats.org/package/2006/relationships"><Relationship Id="rId3" Type="http://schemas.openxmlformats.org/officeDocument/2006/relationships/ctrlProp" Target="../ctrlProps/ctrlProp23.xml"/><Relationship Id="rId2" Type="http://schemas.openxmlformats.org/officeDocument/2006/relationships/vmlDrawing" Target="../drawings/vmlDrawing12.vml"/><Relationship Id="rId1" Type="http://schemas.openxmlformats.org/officeDocument/2006/relationships/drawing" Target="../drawings/drawing12.xml"/><Relationship Id="rId4" Type="http://schemas.openxmlformats.org/officeDocument/2006/relationships/ctrlProp" Target="../ctrlProps/ctrlProp24.xml"/></Relationships>
</file>

<file path=xl/worksheets/_rels/sheet13.xml.rels><?xml version="1.0" encoding="UTF-8" standalone="yes"?>
<Relationships xmlns="http://schemas.openxmlformats.org/package/2006/relationships"><Relationship Id="rId3" Type="http://schemas.openxmlformats.org/officeDocument/2006/relationships/ctrlProp" Target="../ctrlProps/ctrlProp25.xml"/><Relationship Id="rId2" Type="http://schemas.openxmlformats.org/officeDocument/2006/relationships/vmlDrawing" Target="../drawings/vmlDrawing13.vml"/><Relationship Id="rId1" Type="http://schemas.openxmlformats.org/officeDocument/2006/relationships/drawing" Target="../drawings/drawing13.xml"/><Relationship Id="rId4" Type="http://schemas.openxmlformats.org/officeDocument/2006/relationships/ctrlProp" Target="../ctrlProps/ctrlProp26.xml"/></Relationships>
</file>

<file path=xl/worksheets/_rels/sheet14.xml.rels><?xml version="1.0" encoding="UTF-8" standalone="yes"?>
<Relationships xmlns="http://schemas.openxmlformats.org/package/2006/relationships"><Relationship Id="rId3" Type="http://schemas.openxmlformats.org/officeDocument/2006/relationships/ctrlProp" Target="../ctrlProps/ctrlProp27.xml"/><Relationship Id="rId2" Type="http://schemas.openxmlformats.org/officeDocument/2006/relationships/vmlDrawing" Target="../drawings/vmlDrawing14.vml"/><Relationship Id="rId1" Type="http://schemas.openxmlformats.org/officeDocument/2006/relationships/drawing" Target="../drawings/drawing14.xml"/><Relationship Id="rId4" Type="http://schemas.openxmlformats.org/officeDocument/2006/relationships/ctrlProp" Target="../ctrlProps/ctrlProp28.xml"/></Relationships>
</file>

<file path=xl/worksheets/_rels/sheet15.xml.rels><?xml version="1.0" encoding="UTF-8" standalone="yes"?>
<Relationships xmlns="http://schemas.openxmlformats.org/package/2006/relationships"><Relationship Id="rId3" Type="http://schemas.openxmlformats.org/officeDocument/2006/relationships/ctrlProp" Target="../ctrlProps/ctrlProp29.xml"/><Relationship Id="rId2" Type="http://schemas.openxmlformats.org/officeDocument/2006/relationships/vmlDrawing" Target="../drawings/vmlDrawing15.vml"/><Relationship Id="rId1" Type="http://schemas.openxmlformats.org/officeDocument/2006/relationships/drawing" Target="../drawings/drawing15.xml"/><Relationship Id="rId4" Type="http://schemas.openxmlformats.org/officeDocument/2006/relationships/ctrlProp" Target="../ctrlProps/ctrlProp30.xml"/></Relationships>
</file>

<file path=xl/worksheets/_rels/sheet16.xml.rels><?xml version="1.0" encoding="UTF-8" standalone="yes"?>
<Relationships xmlns="http://schemas.openxmlformats.org/package/2006/relationships"><Relationship Id="rId3" Type="http://schemas.openxmlformats.org/officeDocument/2006/relationships/ctrlProp" Target="../ctrlProps/ctrlProp31.xml"/><Relationship Id="rId2" Type="http://schemas.openxmlformats.org/officeDocument/2006/relationships/vmlDrawing" Target="../drawings/vmlDrawing16.vml"/><Relationship Id="rId1" Type="http://schemas.openxmlformats.org/officeDocument/2006/relationships/drawing" Target="../drawings/drawing16.xml"/><Relationship Id="rId4" Type="http://schemas.openxmlformats.org/officeDocument/2006/relationships/ctrlProp" Target="../ctrlProps/ctrlProp32.xml"/></Relationships>
</file>

<file path=xl/worksheets/_rels/sheet17.xml.rels><?xml version="1.0" encoding="UTF-8" standalone="yes"?>
<Relationships xmlns="http://schemas.openxmlformats.org/package/2006/relationships"><Relationship Id="rId3" Type="http://schemas.openxmlformats.org/officeDocument/2006/relationships/ctrlProp" Target="../ctrlProps/ctrlProp33.xml"/><Relationship Id="rId2" Type="http://schemas.openxmlformats.org/officeDocument/2006/relationships/vmlDrawing" Target="../drawings/vmlDrawing17.vml"/><Relationship Id="rId1" Type="http://schemas.openxmlformats.org/officeDocument/2006/relationships/drawing" Target="../drawings/drawing17.xml"/><Relationship Id="rId4" Type="http://schemas.openxmlformats.org/officeDocument/2006/relationships/ctrlProp" Target="../ctrlProps/ctrlProp34.xml"/></Relationships>
</file>

<file path=xl/worksheets/_rels/sheet18.xml.rels><?xml version="1.0" encoding="UTF-8" standalone="yes"?>
<Relationships xmlns="http://schemas.openxmlformats.org/package/2006/relationships"><Relationship Id="rId3" Type="http://schemas.openxmlformats.org/officeDocument/2006/relationships/ctrlProp" Target="../ctrlProps/ctrlProp35.xml"/><Relationship Id="rId2" Type="http://schemas.openxmlformats.org/officeDocument/2006/relationships/vmlDrawing" Target="../drawings/vmlDrawing18.vml"/><Relationship Id="rId1" Type="http://schemas.openxmlformats.org/officeDocument/2006/relationships/drawing" Target="../drawings/drawing18.xml"/><Relationship Id="rId4" Type="http://schemas.openxmlformats.org/officeDocument/2006/relationships/ctrlProp" Target="../ctrlProps/ctrlProp36.xml"/></Relationships>
</file>

<file path=xl/worksheets/_rels/sheet19.xml.rels><?xml version="1.0" encoding="UTF-8" standalone="yes"?>
<Relationships xmlns="http://schemas.openxmlformats.org/package/2006/relationships"><Relationship Id="rId3" Type="http://schemas.openxmlformats.org/officeDocument/2006/relationships/ctrlProp" Target="../ctrlProps/ctrlProp37.xml"/><Relationship Id="rId2" Type="http://schemas.openxmlformats.org/officeDocument/2006/relationships/vmlDrawing" Target="../drawings/vmlDrawing19.vml"/><Relationship Id="rId1" Type="http://schemas.openxmlformats.org/officeDocument/2006/relationships/drawing" Target="../drawings/drawing19.xml"/><Relationship Id="rId5" Type="http://schemas.openxmlformats.org/officeDocument/2006/relationships/ctrlProp" Target="../ctrlProps/ctrlProp39.xml"/><Relationship Id="rId4"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4.vml"/><Relationship Id="rId1" Type="http://schemas.openxmlformats.org/officeDocument/2006/relationships/drawing" Target="../drawings/drawing4.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9.xml"/><Relationship Id="rId2" Type="http://schemas.openxmlformats.org/officeDocument/2006/relationships/vmlDrawing" Target="../drawings/vmlDrawing5.vml"/><Relationship Id="rId1" Type="http://schemas.openxmlformats.org/officeDocument/2006/relationships/drawing" Target="../drawings/drawing5.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11.xml"/><Relationship Id="rId2" Type="http://schemas.openxmlformats.org/officeDocument/2006/relationships/vmlDrawing" Target="../drawings/vmlDrawing6.vml"/><Relationship Id="rId1" Type="http://schemas.openxmlformats.org/officeDocument/2006/relationships/drawing" Target="../drawings/drawing6.xml"/><Relationship Id="rId4"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13.xml"/><Relationship Id="rId2" Type="http://schemas.openxmlformats.org/officeDocument/2006/relationships/vmlDrawing" Target="../drawings/vmlDrawing7.vml"/><Relationship Id="rId1" Type="http://schemas.openxmlformats.org/officeDocument/2006/relationships/drawing" Target="../drawings/drawing7.xml"/><Relationship Id="rId4" Type="http://schemas.openxmlformats.org/officeDocument/2006/relationships/ctrlProp" Target="../ctrlProps/ctrlProp14.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15.xml"/><Relationship Id="rId2" Type="http://schemas.openxmlformats.org/officeDocument/2006/relationships/vmlDrawing" Target="../drawings/vmlDrawing8.vml"/><Relationship Id="rId1" Type="http://schemas.openxmlformats.org/officeDocument/2006/relationships/drawing" Target="../drawings/drawing8.xml"/><Relationship Id="rId4" Type="http://schemas.openxmlformats.org/officeDocument/2006/relationships/ctrlProp" Target="../ctrlProps/ctrlProp16.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17.xml"/><Relationship Id="rId2" Type="http://schemas.openxmlformats.org/officeDocument/2006/relationships/vmlDrawing" Target="../drawings/vmlDrawing9.vml"/><Relationship Id="rId1" Type="http://schemas.openxmlformats.org/officeDocument/2006/relationships/drawing" Target="../drawings/drawing9.xml"/><Relationship Id="rId4"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E4" sqref="E4"/>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63" t="s">
        <v>0</v>
      </c>
      <c r="C1" s="163"/>
    </row>
    <row r="2" spans="1:3" x14ac:dyDescent="0.2">
      <c r="A2" s="3"/>
      <c r="B2" s="4" t="s">
        <v>1</v>
      </c>
      <c r="C2" s="5">
        <v>45317</v>
      </c>
    </row>
    <row r="3" spans="1:3" x14ac:dyDescent="0.2">
      <c r="A3" s="3"/>
      <c r="B3" s="6" t="s">
        <v>2</v>
      </c>
    </row>
    <row r="4" spans="1:3" ht="25.5" x14ac:dyDescent="0.2">
      <c r="A4" s="8"/>
      <c r="B4" s="9" t="str">
        <f>[1]И1!D13</f>
        <v>Субъект Российской Федерации</v>
      </c>
      <c r="C4" s="10" t="str">
        <f>[1]И1!E13</f>
        <v>Новосибирская область</v>
      </c>
    </row>
    <row r="5" spans="1:3" ht="46.9" customHeight="1" x14ac:dyDescent="0.2">
      <c r="A5" s="8"/>
      <c r="B5" s="9" t="str">
        <f>[1]И1!D14</f>
        <v>Тип муниципального образования (выберите из списка)</v>
      </c>
      <c r="C5" s="10" t="str">
        <f>[1]И1!E14</f>
        <v xml:space="preserve">деревня Бурмистрово, Искитимский муниципальный район </v>
      </c>
    </row>
    <row r="6" spans="1:3" x14ac:dyDescent="0.2">
      <c r="A6" s="8"/>
      <c r="B6" s="9" t="str">
        <f>IF([1]И1!E15="","",[1]И1!D15)</f>
        <v/>
      </c>
      <c r="C6" s="10" t="str">
        <f>IF([1]И1!E15="","",[1]И1!E15)</f>
        <v/>
      </c>
    </row>
    <row r="7" spans="1:3" x14ac:dyDescent="0.2">
      <c r="A7" s="8"/>
      <c r="B7" s="9" t="str">
        <f>[1]И1!D16</f>
        <v>Код ОКТМО</v>
      </c>
      <c r="C7" s="11" t="str">
        <f>[1]И1!E16</f>
        <v>(50615401101)</v>
      </c>
    </row>
    <row r="8" spans="1:3" x14ac:dyDescent="0.2">
      <c r="A8" s="8"/>
      <c r="B8" s="12" t="str">
        <f>[1]И1!D17</f>
        <v>Система теплоснабжения</v>
      </c>
      <c r="C8" s="13">
        <f>[1]И1!E17</f>
        <v>0</v>
      </c>
    </row>
    <row r="9" spans="1:3" x14ac:dyDescent="0.2">
      <c r="A9" s="8"/>
      <c r="B9" s="9" t="str">
        <f>[1]И1!D8</f>
        <v>Период регулирования (i)-й</v>
      </c>
      <c r="C9" s="14">
        <f>[1]И1!E8</f>
        <v>2024</v>
      </c>
    </row>
    <row r="10" spans="1:3" x14ac:dyDescent="0.2">
      <c r="A10" s="8"/>
      <c r="B10" s="9" t="str">
        <f>[1]И1!D9</f>
        <v>Период регулирования (i-1)-й</v>
      </c>
      <c r="C10" s="14">
        <f>[1]И1!E9</f>
        <v>2023</v>
      </c>
    </row>
    <row r="11" spans="1:3" x14ac:dyDescent="0.2">
      <c r="A11" s="8"/>
      <c r="B11" s="9" t="str">
        <f>[1]И1!D10</f>
        <v>Период регулирования (i-2)-й</v>
      </c>
      <c r="C11" s="14">
        <f>[1]И1!E10</f>
        <v>2022</v>
      </c>
    </row>
    <row r="12" spans="1:3" x14ac:dyDescent="0.2">
      <c r="A12" s="8"/>
      <c r="B12" s="9" t="str">
        <f>[1]И1!D11</f>
        <v>Базовый год (б)</v>
      </c>
      <c r="C12" s="14">
        <f>[1]И1!E11</f>
        <v>2019</v>
      </c>
    </row>
    <row r="13" spans="1:3" ht="38.25" x14ac:dyDescent="0.2">
      <c r="A13" s="8"/>
      <c r="B13" s="9" t="str">
        <f>[1]И1!D18</f>
        <v>Вид топлива, использование которого преобладает в системе теплоснабжения</v>
      </c>
      <c r="C13" s="15" t="str">
        <f>[1]С1.1!E13</f>
        <v>уголь (вид угля не указан в топливном балансе)</v>
      </c>
    </row>
    <row r="14" spans="1:3" ht="31.7" customHeight="1" thickBot="1" x14ac:dyDescent="0.25">
      <c r="A14" s="162" t="s">
        <v>3</v>
      </c>
      <c r="B14" s="162"/>
      <c r="C14" s="16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3755.1269222377105</v>
      </c>
    </row>
    <row r="18" spans="1:3" ht="42.75" x14ac:dyDescent="0.2">
      <c r="A18" s="22" t="s">
        <v>8</v>
      </c>
      <c r="B18" s="25" t="s">
        <v>9</v>
      </c>
      <c r="C18" s="26">
        <f>[1]С1!F12</f>
        <v>759.67438872744583</v>
      </c>
    </row>
    <row r="19" spans="1:3" ht="42.75" x14ac:dyDescent="0.2">
      <c r="A19" s="22" t="s">
        <v>10</v>
      </c>
      <c r="B19" s="25" t="s">
        <v>11</v>
      </c>
      <c r="C19" s="26">
        <f>[1]С2!F12</f>
        <v>2000.3680279558928</v>
      </c>
    </row>
    <row r="20" spans="1:3" ht="30" x14ac:dyDescent="0.2">
      <c r="A20" s="22" t="s">
        <v>12</v>
      </c>
      <c r="B20" s="25" t="s">
        <v>13</v>
      </c>
      <c r="C20" s="26">
        <f>[1]С3!F12</f>
        <v>475.74490066496389</v>
      </c>
    </row>
    <row r="21" spans="1:3" ht="42.75" x14ac:dyDescent="0.2">
      <c r="A21" s="22" t="s">
        <v>14</v>
      </c>
      <c r="B21" s="25" t="s">
        <v>15</v>
      </c>
      <c r="C21" s="26">
        <f>[1]С4!F12</f>
        <v>445.70966523768817</v>
      </c>
    </row>
    <row r="22" spans="1:3" ht="30" x14ac:dyDescent="0.2">
      <c r="A22" s="22" t="s">
        <v>16</v>
      </c>
      <c r="B22" s="25" t="s">
        <v>17</v>
      </c>
      <c r="C22" s="26">
        <f>[1]С5!F12</f>
        <v>73.629939651719823</v>
      </c>
    </row>
    <row r="23" spans="1:3" ht="43.5" thickBot="1" x14ac:dyDescent="0.25">
      <c r="A23" s="27" t="s">
        <v>18</v>
      </c>
      <c r="B23" s="140" t="s">
        <v>19</v>
      </c>
      <c r="C23" s="28" t="str">
        <f>[1]С6!F12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64" t="s">
        <v>20</v>
      </c>
      <c r="C27" s="164"/>
    </row>
    <row r="28" spans="1:3" x14ac:dyDescent="0.2">
      <c r="A28" s="22" t="s">
        <v>8</v>
      </c>
      <c r="B28" s="33" t="s">
        <v>21</v>
      </c>
      <c r="C28" s="34">
        <f>[1]С1.1!E16</f>
        <v>5100</v>
      </c>
    </row>
    <row r="29" spans="1:3" ht="42.75" x14ac:dyDescent="0.2">
      <c r="A29" s="22" t="s">
        <v>10</v>
      </c>
      <c r="B29" s="33" t="s">
        <v>22</v>
      </c>
      <c r="C29" s="34">
        <f>[1]С1.1!E27</f>
        <v>3413.25</v>
      </c>
    </row>
    <row r="30" spans="1:3" ht="17.25" x14ac:dyDescent="0.2">
      <c r="A30" s="22" t="s">
        <v>12</v>
      </c>
      <c r="B30" s="33" t="s">
        <v>23</v>
      </c>
      <c r="C30" s="35">
        <f>[1]С1.1!E19</f>
        <v>-0.19900000000000001</v>
      </c>
    </row>
    <row r="31" spans="1:3" ht="17.25" x14ac:dyDescent="0.2">
      <c r="A31" s="22" t="s">
        <v>14</v>
      </c>
      <c r="B31" s="33" t="s">
        <v>24</v>
      </c>
      <c r="C31" s="35">
        <f>[1]С1.1!E20</f>
        <v>5.7000000000000002E-2</v>
      </c>
    </row>
    <row r="32" spans="1:3" ht="30" x14ac:dyDescent="0.2">
      <c r="A32" s="22" t="s">
        <v>16</v>
      </c>
      <c r="B32" s="36" t="s">
        <v>25</v>
      </c>
      <c r="C32" s="37">
        <f>[1]С1!F13</f>
        <v>176.4</v>
      </c>
    </row>
    <row r="33" spans="1:3" x14ac:dyDescent="0.2">
      <c r="A33" s="22" t="s">
        <v>18</v>
      </c>
      <c r="B33" s="36" t="s">
        <v>26</v>
      </c>
      <c r="C33" s="38">
        <f>[1]С1!F16</f>
        <v>7000</v>
      </c>
    </row>
    <row r="34" spans="1:3" ht="14.25" x14ac:dyDescent="0.2">
      <c r="A34" s="22" t="s">
        <v>27</v>
      </c>
      <c r="B34" s="39" t="s">
        <v>28</v>
      </c>
      <c r="C34" s="40">
        <f>[1]С1!F17</f>
        <v>0.72857142857142854</v>
      </c>
    </row>
    <row r="35" spans="1:3" ht="15.75" x14ac:dyDescent="0.2">
      <c r="A35" s="41" t="s">
        <v>29</v>
      </c>
      <c r="B35" s="42" t="s">
        <v>30</v>
      </c>
      <c r="C35" s="40">
        <f>[1]С1!F20</f>
        <v>21.588411179999994</v>
      </c>
    </row>
    <row r="36" spans="1:3" ht="15.75" x14ac:dyDescent="0.2">
      <c r="A36" s="41" t="s">
        <v>31</v>
      </c>
      <c r="B36" s="43" t="s">
        <v>32</v>
      </c>
      <c r="C36" s="40">
        <f>[1]С1!F21</f>
        <v>20.818139999999996</v>
      </c>
    </row>
    <row r="37" spans="1:3" ht="14.25" x14ac:dyDescent="0.2">
      <c r="A37" s="41" t="s">
        <v>33</v>
      </c>
      <c r="B37" s="44" t="s">
        <v>34</v>
      </c>
      <c r="C37" s="40">
        <f>[1]С1!F22</f>
        <v>1.0369999999999999</v>
      </c>
    </row>
    <row r="38" spans="1:3" ht="53.25" thickBot="1" x14ac:dyDescent="0.25">
      <c r="A38" s="27" t="s">
        <v>35</v>
      </c>
      <c r="B38" s="45" t="s">
        <v>36</v>
      </c>
      <c r="C38" s="46">
        <f>[1]С1!F23</f>
        <v>1.0469999999999999</v>
      </c>
    </row>
    <row r="39" spans="1:3" ht="13.5" thickBot="1" x14ac:dyDescent="0.25">
      <c r="A39" s="47"/>
      <c r="B39" s="48"/>
      <c r="C39" s="49"/>
    </row>
    <row r="40" spans="1:3" ht="30" customHeight="1" x14ac:dyDescent="0.2">
      <c r="A40" s="50" t="s">
        <v>37</v>
      </c>
      <c r="B40" s="165" t="s">
        <v>38</v>
      </c>
      <c r="C40" s="165"/>
    </row>
    <row r="41" spans="1:3" ht="25.5" x14ac:dyDescent="0.2">
      <c r="A41" s="22" t="s">
        <v>39</v>
      </c>
      <c r="B41" s="36" t="s">
        <v>40</v>
      </c>
      <c r="C41" s="51" t="str">
        <f>[1]С2.1!E12</f>
        <v>V</v>
      </c>
    </row>
    <row r="42" spans="1:3" ht="25.5" x14ac:dyDescent="0.2">
      <c r="A42" s="22" t="s">
        <v>41</v>
      </c>
      <c r="B42" s="33" t="s">
        <v>42</v>
      </c>
      <c r="C42" s="51" t="str">
        <f>[1]С2.1!E13</f>
        <v>6 и менее баллов</v>
      </c>
    </row>
    <row r="43" spans="1:3" ht="25.5" x14ac:dyDescent="0.2">
      <c r="A43" s="22" t="s">
        <v>43</v>
      </c>
      <c r="B43" s="33" t="s">
        <v>44</v>
      </c>
      <c r="C43" s="51" t="str">
        <f>[1]С2.1!E14</f>
        <v>от 200 до 500</v>
      </c>
    </row>
    <row r="44" spans="1:3" ht="25.5" x14ac:dyDescent="0.2">
      <c r="A44" s="22" t="s">
        <v>45</v>
      </c>
      <c r="B44" s="33" t="s">
        <v>46</v>
      </c>
      <c r="C44" s="52" t="str">
        <f>[1]С2.1!E15</f>
        <v>нет</v>
      </c>
    </row>
    <row r="45" spans="1:3" ht="30" x14ac:dyDescent="0.2">
      <c r="A45" s="22" t="s">
        <v>47</v>
      </c>
      <c r="B45" s="33" t="s">
        <v>48</v>
      </c>
      <c r="C45" s="34">
        <f>[1]С2!F18</f>
        <v>35106.652004551666</v>
      </c>
    </row>
    <row r="46" spans="1:3" ht="30" x14ac:dyDescent="0.2">
      <c r="A46" s="22" t="s">
        <v>49</v>
      </c>
      <c r="B46" s="53" t="s">
        <v>50</v>
      </c>
      <c r="C46" s="34">
        <f>IF([1]С2!F19&gt;0,[1]С2!F19,[1]С2!F20)</f>
        <v>23441.524932855718</v>
      </c>
    </row>
    <row r="47" spans="1:3" ht="25.5" x14ac:dyDescent="0.2">
      <c r="A47" s="22" t="s">
        <v>51</v>
      </c>
      <c r="B47" s="54" t="s">
        <v>52</v>
      </c>
      <c r="C47" s="34">
        <f>[1]С2.1!E19</f>
        <v>-38</v>
      </c>
    </row>
    <row r="48" spans="1:3" ht="25.5" x14ac:dyDescent="0.2">
      <c r="A48" s="22" t="s">
        <v>53</v>
      </c>
      <c r="B48" s="54" t="s">
        <v>54</v>
      </c>
      <c r="C48" s="34" t="str">
        <f>[1]С2.1!E22</f>
        <v>нет</v>
      </c>
    </row>
    <row r="49" spans="1:3" ht="38.25" x14ac:dyDescent="0.2">
      <c r="A49" s="22" t="s">
        <v>55</v>
      </c>
      <c r="B49" s="55" t="s">
        <v>56</v>
      </c>
      <c r="C49" s="34">
        <f>[1]С2.2!E10</f>
        <v>1287</v>
      </c>
    </row>
    <row r="50" spans="1:3" ht="25.5" x14ac:dyDescent="0.2">
      <c r="A50" s="22" t="s">
        <v>57</v>
      </c>
      <c r="B50" s="56" t="s">
        <v>58</v>
      </c>
      <c r="C50" s="34">
        <f>[1]С2.2!E12</f>
        <v>5.97</v>
      </c>
    </row>
    <row r="51" spans="1:3" ht="52.5" x14ac:dyDescent="0.2">
      <c r="A51" s="22" t="s">
        <v>59</v>
      </c>
      <c r="B51" s="57" t="s">
        <v>60</v>
      </c>
      <c r="C51" s="34">
        <f>[1]С2.2!E13</f>
        <v>1</v>
      </c>
    </row>
    <row r="52" spans="1:3" ht="27.75" x14ac:dyDescent="0.2">
      <c r="A52" s="22" t="s">
        <v>61</v>
      </c>
      <c r="B52" s="56" t="s">
        <v>62</v>
      </c>
      <c r="C52" s="34">
        <f>[1]С2.2!E14</f>
        <v>12104</v>
      </c>
    </row>
    <row r="53" spans="1:3" ht="25.5" x14ac:dyDescent="0.2">
      <c r="A53" s="22" t="s">
        <v>63</v>
      </c>
      <c r="B53" s="57" t="s">
        <v>64</v>
      </c>
      <c r="C53" s="35">
        <f>[1]С2.2!E15</f>
        <v>4.8000000000000001E-2</v>
      </c>
    </row>
    <row r="54" spans="1:3" x14ac:dyDescent="0.2">
      <c r="A54" s="22" t="s">
        <v>65</v>
      </c>
      <c r="B54" s="57" t="s">
        <v>66</v>
      </c>
      <c r="C54" s="34">
        <f>[1]С2.2!E16</f>
        <v>1</v>
      </c>
    </row>
    <row r="55" spans="1:3" ht="15.75" x14ac:dyDescent="0.2">
      <c r="A55" s="22" t="s">
        <v>67</v>
      </c>
      <c r="B55" s="58" t="s">
        <v>68</v>
      </c>
      <c r="C55" s="34">
        <f>[1]С2!F21</f>
        <v>1</v>
      </c>
    </row>
    <row r="56" spans="1:3" ht="30" x14ac:dyDescent="0.2">
      <c r="A56" s="59" t="s">
        <v>69</v>
      </c>
      <c r="B56" s="33" t="s">
        <v>70</v>
      </c>
      <c r="C56" s="34">
        <f>[1]С2!F13</f>
        <v>183796.83936385796</v>
      </c>
    </row>
    <row r="57" spans="1:3" ht="30" x14ac:dyDescent="0.2">
      <c r="A57" s="59" t="s">
        <v>71</v>
      </c>
      <c r="B57" s="58" t="s">
        <v>72</v>
      </c>
      <c r="C57" s="34">
        <f>[1]С2!F14</f>
        <v>113455</v>
      </c>
    </row>
    <row r="58" spans="1:3" ht="15.75" x14ac:dyDescent="0.2">
      <c r="A58" s="59" t="s">
        <v>73</v>
      </c>
      <c r="B58" s="60" t="s">
        <v>74</v>
      </c>
      <c r="C58" s="40">
        <f>[1]С2!F15</f>
        <v>1.071</v>
      </c>
    </row>
    <row r="59" spans="1:3" ht="15.75" x14ac:dyDescent="0.2">
      <c r="A59" s="59" t="s">
        <v>75</v>
      </c>
      <c r="B59" s="60" t="s">
        <v>76</v>
      </c>
      <c r="C59" s="40">
        <f>[1]С2!F16</f>
        <v>1</v>
      </c>
    </row>
    <row r="60" spans="1:3" ht="17.25" x14ac:dyDescent="0.2">
      <c r="A60" s="59" t="s">
        <v>77</v>
      </c>
      <c r="B60" s="58" t="s">
        <v>78</v>
      </c>
      <c r="C60" s="34">
        <f>[1]С2!F17</f>
        <v>1.01</v>
      </c>
    </row>
    <row r="61" spans="1:3" s="63" customFormat="1" ht="14.25" x14ac:dyDescent="0.2">
      <c r="A61" s="59" t="s">
        <v>79</v>
      </c>
      <c r="B61" s="61" t="s">
        <v>80</v>
      </c>
      <c r="C61" s="62">
        <f>[1]С2!F33</f>
        <v>10</v>
      </c>
    </row>
    <row r="62" spans="1:3" ht="30" x14ac:dyDescent="0.2">
      <c r="A62" s="59" t="s">
        <v>81</v>
      </c>
      <c r="B62" s="64" t="s">
        <v>82</v>
      </c>
      <c r="C62" s="34">
        <f>[1]С2!F26</f>
        <v>2780.7867618428891</v>
      </c>
    </row>
    <row r="63" spans="1:3" ht="17.25" x14ac:dyDescent="0.2">
      <c r="A63" s="59" t="s">
        <v>83</v>
      </c>
      <c r="B63" s="53" t="s">
        <v>84</v>
      </c>
      <c r="C63" s="34">
        <f>[1]С2!F27</f>
        <v>0.44209422600000003</v>
      </c>
    </row>
    <row r="64" spans="1:3" ht="17.25" x14ac:dyDescent="0.2">
      <c r="A64" s="59" t="s">
        <v>85</v>
      </c>
      <c r="B64" s="58" t="s">
        <v>86</v>
      </c>
      <c r="C64" s="62">
        <f>[1]С2!F28</f>
        <v>4200</v>
      </c>
    </row>
    <row r="65" spans="1:3" ht="42.75" x14ac:dyDescent="0.2">
      <c r="A65" s="59" t="s">
        <v>87</v>
      </c>
      <c r="B65" s="33" t="s">
        <v>88</v>
      </c>
      <c r="C65" s="34">
        <f>[1]С2!F22</f>
        <v>38698.422798410109</v>
      </c>
    </row>
    <row r="66" spans="1:3" ht="30" x14ac:dyDescent="0.2">
      <c r="A66" s="59" t="s">
        <v>89</v>
      </c>
      <c r="B66" s="60" t="s">
        <v>90</v>
      </c>
      <c r="C66" s="34">
        <f>[1]С2!F23</f>
        <v>1990</v>
      </c>
    </row>
    <row r="67" spans="1:3" ht="30" x14ac:dyDescent="0.2">
      <c r="A67" s="59" t="s">
        <v>91</v>
      </c>
      <c r="B67" s="53" t="s">
        <v>92</v>
      </c>
      <c r="C67" s="34">
        <f>[1]С2.1!E27</f>
        <v>14307.876789999998</v>
      </c>
    </row>
    <row r="68" spans="1:3" ht="38.25" x14ac:dyDescent="0.2">
      <c r="A68" s="59" t="s">
        <v>93</v>
      </c>
      <c r="B68" s="65" t="s">
        <v>94</v>
      </c>
      <c r="C68" s="52">
        <f>[1]С2.3!E21</f>
        <v>0</v>
      </c>
    </row>
    <row r="69" spans="1:3" ht="25.5" x14ac:dyDescent="0.2">
      <c r="A69" s="59" t="s">
        <v>95</v>
      </c>
      <c r="B69" s="66" t="s">
        <v>96</v>
      </c>
      <c r="C69" s="67">
        <f>[1]С2.3!E11</f>
        <v>9.89</v>
      </c>
    </row>
    <row r="70" spans="1:3" ht="25.5" x14ac:dyDescent="0.2">
      <c r="A70" s="59" t="s">
        <v>97</v>
      </c>
      <c r="B70" s="66" t="s">
        <v>98</v>
      </c>
      <c r="C70" s="62">
        <f>[1]С2.3!E13</f>
        <v>300</v>
      </c>
    </row>
    <row r="71" spans="1:3" ht="25.5" x14ac:dyDescent="0.2">
      <c r="A71" s="59" t="s">
        <v>99</v>
      </c>
      <c r="B71" s="65" t="s">
        <v>100</v>
      </c>
      <c r="C71" s="68">
        <f>IF([1]С2.3!E22&gt;0,[1]С2.3!E22,[1]С2.3!E14)</f>
        <v>61211</v>
      </c>
    </row>
    <row r="72" spans="1:3" ht="38.25" x14ac:dyDescent="0.2">
      <c r="A72" s="59" t="s">
        <v>101</v>
      </c>
      <c r="B72" s="65" t="s">
        <v>102</v>
      </c>
      <c r="C72" s="68">
        <f>IF([1]С2.3!E23&gt;0,[1]С2.3!E23,[1]С2.3!E15)</f>
        <v>45675</v>
      </c>
    </row>
    <row r="73" spans="1:3" ht="30" x14ac:dyDescent="0.2">
      <c r="A73" s="59" t="s">
        <v>103</v>
      </c>
      <c r="B73" s="53" t="s">
        <v>104</v>
      </c>
      <c r="C73" s="34">
        <f>[1]С2.1!E28</f>
        <v>9541.9567200000001</v>
      </c>
    </row>
    <row r="74" spans="1:3" ht="38.25" x14ac:dyDescent="0.2">
      <c r="A74" s="59" t="s">
        <v>105</v>
      </c>
      <c r="B74" s="65" t="s">
        <v>106</v>
      </c>
      <c r="C74" s="52">
        <f>[1]С2.3!E25</f>
        <v>0</v>
      </c>
    </row>
    <row r="75" spans="1:3" ht="25.5" x14ac:dyDescent="0.2">
      <c r="A75" s="59" t="s">
        <v>107</v>
      </c>
      <c r="B75" s="66" t="s">
        <v>108</v>
      </c>
      <c r="C75" s="67">
        <f>[1]С2.3!E12</f>
        <v>0.56000000000000005</v>
      </c>
    </row>
    <row r="76" spans="1:3" ht="25.5" x14ac:dyDescent="0.2">
      <c r="A76" s="59" t="s">
        <v>109</v>
      </c>
      <c r="B76" s="66" t="s">
        <v>98</v>
      </c>
      <c r="C76" s="62">
        <f>[1]С2.3!E13</f>
        <v>300</v>
      </c>
    </row>
    <row r="77" spans="1:3" ht="25.5" x14ac:dyDescent="0.2">
      <c r="A77" s="59" t="s">
        <v>110</v>
      </c>
      <c r="B77" s="69" t="s">
        <v>111</v>
      </c>
      <c r="C77" s="68">
        <f>IF([1]С2.3!E26&gt;0,[1]С2.3!E26,[1]С2.3!E16)</f>
        <v>65637</v>
      </c>
    </row>
    <row r="78" spans="1:3" ht="38.25" x14ac:dyDescent="0.2">
      <c r="A78" s="59" t="s">
        <v>112</v>
      </c>
      <c r="B78" s="69" t="s">
        <v>113</v>
      </c>
      <c r="C78" s="68">
        <f>IF([1]С2.3!E27&gt;0,[1]С2.3!E27,[1]С2.3!E17)</f>
        <v>31684</v>
      </c>
    </row>
    <row r="79" spans="1:3" ht="17.25" x14ac:dyDescent="0.2">
      <c r="A79" s="59" t="s">
        <v>114</v>
      </c>
      <c r="B79" s="33" t="s">
        <v>115</v>
      </c>
      <c r="C79" s="35">
        <f>[1]С2!F29</f>
        <v>9.5962865259740182E-2</v>
      </c>
    </row>
    <row r="80" spans="1:3" ht="30" x14ac:dyDescent="0.2">
      <c r="A80" s="59" t="s">
        <v>116</v>
      </c>
      <c r="B80" s="53" t="s">
        <v>117</v>
      </c>
      <c r="C80" s="70">
        <f>[1]С2!F30</f>
        <v>8.4029304029304031E-2</v>
      </c>
    </row>
    <row r="81" spans="1:3" ht="17.25" x14ac:dyDescent="0.2">
      <c r="A81" s="59" t="s">
        <v>118</v>
      </c>
      <c r="B81" s="71" t="s">
        <v>119</v>
      </c>
      <c r="C81" s="35">
        <f>[1]С2!F31</f>
        <v>0.13880000000000001</v>
      </c>
    </row>
    <row r="82" spans="1:3" s="63" customFormat="1" ht="18" thickBot="1" x14ac:dyDescent="0.25">
      <c r="A82" s="72" t="s">
        <v>120</v>
      </c>
      <c r="B82" s="73" t="s">
        <v>121</v>
      </c>
      <c r="C82" s="74">
        <f>[1]С2!F32</f>
        <v>0.12640000000000001</v>
      </c>
    </row>
    <row r="83" spans="1:3" ht="13.5" thickBot="1" x14ac:dyDescent="0.25">
      <c r="A83" s="47"/>
      <c r="B83" s="75"/>
      <c r="C83" s="15"/>
    </row>
    <row r="84" spans="1:3" s="63" customFormat="1" ht="30" customHeight="1" x14ac:dyDescent="0.2">
      <c r="A84" s="76" t="s">
        <v>122</v>
      </c>
      <c r="B84" s="165" t="s">
        <v>123</v>
      </c>
      <c r="C84" s="165"/>
    </row>
    <row r="85" spans="1:3" s="63" customFormat="1" ht="30" x14ac:dyDescent="0.2">
      <c r="A85" s="77" t="s">
        <v>124</v>
      </c>
      <c r="B85" s="33" t="s">
        <v>125</v>
      </c>
      <c r="C85" s="34">
        <f>[1]С3!F14</f>
        <v>6117.6201782637581</v>
      </c>
    </row>
    <row r="86" spans="1:3" s="63" customFormat="1" ht="42.75" x14ac:dyDescent="0.2">
      <c r="A86" s="77" t="s">
        <v>126</v>
      </c>
      <c r="B86" s="53" t="s">
        <v>127</v>
      </c>
      <c r="C86" s="78">
        <f>[1]С3!F15</f>
        <v>0.2</v>
      </c>
    </row>
    <row r="87" spans="1:3" s="63" customFormat="1" ht="14.25" x14ac:dyDescent="0.2">
      <c r="A87" s="77" t="s">
        <v>128</v>
      </c>
      <c r="B87" s="79" t="s">
        <v>129</v>
      </c>
      <c r="C87" s="62">
        <f>[1]С3!F18</f>
        <v>15</v>
      </c>
    </row>
    <row r="88" spans="1:3" s="63" customFormat="1" ht="17.25" x14ac:dyDescent="0.2">
      <c r="A88" s="77" t="s">
        <v>130</v>
      </c>
      <c r="B88" s="33" t="s">
        <v>131</v>
      </c>
      <c r="C88" s="34">
        <f>[1]С3!F19</f>
        <v>3778.1614077800232</v>
      </c>
    </row>
    <row r="89" spans="1:3" s="63" customFormat="1" ht="55.5" x14ac:dyDescent="0.2">
      <c r="A89" s="77" t="s">
        <v>132</v>
      </c>
      <c r="B89" s="53" t="s">
        <v>133</v>
      </c>
      <c r="C89" s="80">
        <f>[1]С3!F20</f>
        <v>2.1999999999999999E-2</v>
      </c>
    </row>
    <row r="90" spans="1:3" s="63" customFormat="1" ht="14.25" x14ac:dyDescent="0.2">
      <c r="A90" s="77" t="s">
        <v>134</v>
      </c>
      <c r="B90" s="58" t="s">
        <v>80</v>
      </c>
      <c r="C90" s="62">
        <f>[1]С3!F21</f>
        <v>10</v>
      </c>
    </row>
    <row r="91" spans="1:3" s="63" customFormat="1" ht="17.25" x14ac:dyDescent="0.2">
      <c r="A91" s="77" t="s">
        <v>135</v>
      </c>
      <c r="B91" s="33" t="s">
        <v>136</v>
      </c>
      <c r="C91" s="34">
        <f>[1]С3!F22</f>
        <v>8.3423602855286667</v>
      </c>
    </row>
    <row r="92" spans="1:3" s="63" customFormat="1" ht="55.5" x14ac:dyDescent="0.2">
      <c r="A92" s="77" t="s">
        <v>137</v>
      </c>
      <c r="B92" s="53" t="s">
        <v>138</v>
      </c>
      <c r="C92" s="80">
        <f>[1]С3!F23</f>
        <v>3.0000000000000001E-3</v>
      </c>
    </row>
    <row r="93" spans="1:3" s="63" customFormat="1" ht="27.75" thickBot="1" x14ac:dyDescent="0.25">
      <c r="A93" s="81" t="s">
        <v>139</v>
      </c>
      <c r="B93" s="82" t="s">
        <v>140</v>
      </c>
      <c r="C93" s="83">
        <f>[1]С3!F24</f>
        <v>2780.7867618428891</v>
      </c>
    </row>
    <row r="94" spans="1:3" ht="13.5" thickBot="1" x14ac:dyDescent="0.25">
      <c r="A94" s="47"/>
      <c r="B94" s="75"/>
      <c r="C94" s="15"/>
    </row>
    <row r="95" spans="1:3" ht="30" customHeight="1" x14ac:dyDescent="0.2">
      <c r="A95" s="84" t="s">
        <v>141</v>
      </c>
      <c r="B95" s="165" t="s">
        <v>142</v>
      </c>
      <c r="C95" s="165"/>
    </row>
    <row r="96" spans="1:3" ht="30" x14ac:dyDescent="0.2">
      <c r="A96" s="59" t="s">
        <v>143</v>
      </c>
      <c r="B96" s="33" t="s">
        <v>144</v>
      </c>
      <c r="C96" s="34">
        <f>[1]С4!F16</f>
        <v>1652.5</v>
      </c>
    </row>
    <row r="97" spans="1:3" ht="30" x14ac:dyDescent="0.2">
      <c r="A97" s="59" t="s">
        <v>145</v>
      </c>
      <c r="B97" s="58" t="s">
        <v>146</v>
      </c>
      <c r="C97" s="34">
        <f>[1]С4!F17</f>
        <v>73547</v>
      </c>
    </row>
    <row r="98" spans="1:3" ht="17.25" x14ac:dyDescent="0.2">
      <c r="A98" s="59" t="s">
        <v>147</v>
      </c>
      <c r="B98" s="58" t="s">
        <v>148</v>
      </c>
      <c r="C98" s="40">
        <f>[1]С4!F18</f>
        <v>0.02</v>
      </c>
    </row>
    <row r="99" spans="1:3" ht="30" x14ac:dyDescent="0.2">
      <c r="A99" s="59" t="s">
        <v>149</v>
      </c>
      <c r="B99" s="58" t="s">
        <v>150</v>
      </c>
      <c r="C99" s="34">
        <f>[1]С4!F19</f>
        <v>12104</v>
      </c>
    </row>
    <row r="100" spans="1:3" ht="31.5" x14ac:dyDescent="0.2">
      <c r="A100" s="59" t="s">
        <v>151</v>
      </c>
      <c r="B100" s="58" t="s">
        <v>152</v>
      </c>
      <c r="C100" s="40">
        <f>[1]С4!F20</f>
        <v>1.4999999999999999E-2</v>
      </c>
    </row>
    <row r="101" spans="1:3" ht="30" x14ac:dyDescent="0.2">
      <c r="A101" s="59" t="s">
        <v>153</v>
      </c>
      <c r="B101" s="33" t="s">
        <v>154</v>
      </c>
      <c r="C101" s="34">
        <f>[1]С4!F21</f>
        <v>1933.1949342509995</v>
      </c>
    </row>
    <row r="102" spans="1:3" ht="24" customHeight="1" x14ac:dyDescent="0.2">
      <c r="A102" s="59" t="s">
        <v>155</v>
      </c>
      <c r="B102" s="53" t="s">
        <v>156</v>
      </c>
      <c r="C102" s="85">
        <f>IF([1]С4.2!F8="да",[1]С4.2!D21,[1]С4.2!D15)</f>
        <v>0</v>
      </c>
    </row>
    <row r="103" spans="1:3" ht="68.25" x14ac:dyDescent="0.2">
      <c r="A103" s="59" t="s">
        <v>157</v>
      </c>
      <c r="B103" s="53" t="s">
        <v>158</v>
      </c>
      <c r="C103" s="34">
        <f>[1]С4!F22</f>
        <v>3.6112641666666665</v>
      </c>
    </row>
    <row r="104" spans="1:3" ht="30" x14ac:dyDescent="0.2">
      <c r="A104" s="59" t="s">
        <v>159</v>
      </c>
      <c r="B104" s="58" t="s">
        <v>160</v>
      </c>
      <c r="C104" s="34">
        <f>[1]С4!F23</f>
        <v>180</v>
      </c>
    </row>
    <row r="105" spans="1:3" ht="14.25" x14ac:dyDescent="0.2">
      <c r="A105" s="59" t="s">
        <v>161</v>
      </c>
      <c r="B105" s="53" t="s">
        <v>162</v>
      </c>
      <c r="C105" s="34">
        <f>[1]С4!F24</f>
        <v>8497.1999999999989</v>
      </c>
    </row>
    <row r="106" spans="1:3" ht="14.25" x14ac:dyDescent="0.2">
      <c r="A106" s="59" t="s">
        <v>163</v>
      </c>
      <c r="B106" s="58" t="s">
        <v>164</v>
      </c>
      <c r="C106" s="40">
        <f>[1]С4!F25</f>
        <v>0.35</v>
      </c>
    </row>
    <row r="107" spans="1:3" ht="17.25" x14ac:dyDescent="0.2">
      <c r="A107" s="59" t="s">
        <v>165</v>
      </c>
      <c r="B107" s="33" t="s">
        <v>166</v>
      </c>
      <c r="C107" s="34">
        <f>[1]С4!F26</f>
        <v>85.988129999999998</v>
      </c>
    </row>
    <row r="108" spans="1:3" ht="25.5" x14ac:dyDescent="0.2">
      <c r="A108" s="59" t="s">
        <v>167</v>
      </c>
      <c r="B108" s="53" t="s">
        <v>94</v>
      </c>
      <c r="C108" s="85">
        <f>[1]С4.3!E16</f>
        <v>0</v>
      </c>
    </row>
    <row r="109" spans="1:3" ht="25.5" x14ac:dyDescent="0.2">
      <c r="A109" s="59" t="s">
        <v>168</v>
      </c>
      <c r="B109" s="53" t="s">
        <v>169</v>
      </c>
      <c r="C109" s="34">
        <f>[1]С4.3!E17</f>
        <v>20.350000000000001</v>
      </c>
    </row>
    <row r="110" spans="1:3" ht="38.25" x14ac:dyDescent="0.2">
      <c r="A110" s="59" t="s">
        <v>170</v>
      </c>
      <c r="B110" s="53" t="s">
        <v>106</v>
      </c>
      <c r="C110" s="85">
        <f>[1]С4.3!E18</f>
        <v>0</v>
      </c>
    </row>
    <row r="111" spans="1:3" x14ac:dyDescent="0.2">
      <c r="A111" s="59" t="s">
        <v>171</v>
      </c>
      <c r="B111" s="53" t="s">
        <v>172</v>
      </c>
      <c r="C111" s="34">
        <f>[1]С4.3!E19</f>
        <v>71.67</v>
      </c>
    </row>
    <row r="112" spans="1:3" x14ac:dyDescent="0.2">
      <c r="A112" s="59" t="s">
        <v>173</v>
      </c>
      <c r="B112" s="58" t="s">
        <v>174</v>
      </c>
      <c r="C112" s="34">
        <f>[1]С4.3!E11</f>
        <v>1871</v>
      </c>
    </row>
    <row r="113" spans="1:3" x14ac:dyDescent="0.2">
      <c r="A113" s="59" t="s">
        <v>175</v>
      </c>
      <c r="B113" s="58" t="s">
        <v>176</v>
      </c>
      <c r="C113" s="52">
        <f>[1]С4.3!E12</f>
        <v>1636</v>
      </c>
    </row>
    <row r="114" spans="1:3" x14ac:dyDescent="0.2">
      <c r="A114" s="59" t="s">
        <v>177</v>
      </c>
      <c r="B114" s="58" t="s">
        <v>178</v>
      </c>
      <c r="C114" s="52">
        <f>[1]С4.3!E13</f>
        <v>204</v>
      </c>
    </row>
    <row r="115" spans="1:3" ht="30" x14ac:dyDescent="0.2">
      <c r="A115" s="59" t="s">
        <v>179</v>
      </c>
      <c r="B115" s="33" t="s">
        <v>180</v>
      </c>
      <c r="C115" s="34">
        <f>[1]С4!F27</f>
        <v>1291.2863994686898</v>
      </c>
    </row>
    <row r="116" spans="1:3" ht="25.5" x14ac:dyDescent="0.2">
      <c r="A116" s="59" t="s">
        <v>181</v>
      </c>
      <c r="B116" s="53" t="s">
        <v>182</v>
      </c>
      <c r="C116" s="34">
        <f>[1]С4!F28</f>
        <v>991.77142816335618</v>
      </c>
    </row>
    <row r="117" spans="1:3" ht="42.75" x14ac:dyDescent="0.2">
      <c r="A117" s="59" t="s">
        <v>183</v>
      </c>
      <c r="B117" s="53" t="s">
        <v>184</v>
      </c>
      <c r="C117" s="34">
        <f>[1]С4!F29</f>
        <v>299.51497130533357</v>
      </c>
    </row>
    <row r="118" spans="1:3" ht="30" x14ac:dyDescent="0.2">
      <c r="A118" s="59" t="s">
        <v>185</v>
      </c>
      <c r="B118" s="39" t="s">
        <v>186</v>
      </c>
      <c r="C118" s="34">
        <f>[1]С4!F30</f>
        <v>1846.1709738656207</v>
      </c>
    </row>
    <row r="119" spans="1:3" ht="42.75" x14ac:dyDescent="0.2">
      <c r="A119" s="59" t="s">
        <v>187</v>
      </c>
      <c r="B119" s="86" t="s">
        <v>188</v>
      </c>
      <c r="C119" s="34">
        <f>[1]С4!F33</f>
        <v>1124.091225525967</v>
      </c>
    </row>
    <row r="120" spans="1:3" ht="30" x14ac:dyDescent="0.2">
      <c r="A120" s="59" t="s">
        <v>189</v>
      </c>
      <c r="B120" s="87" t="s">
        <v>190</v>
      </c>
      <c r="C120" s="34">
        <f>[1]С4!F35</f>
        <v>17.040680999999999</v>
      </c>
    </row>
    <row r="121" spans="1:3" ht="14.25" x14ac:dyDescent="0.2">
      <c r="A121" s="59" t="s">
        <v>191</v>
      </c>
      <c r="B121" s="56" t="s">
        <v>192</v>
      </c>
      <c r="C121" s="34">
        <f>[1]С4!F36</f>
        <v>14319.9</v>
      </c>
    </row>
    <row r="122" spans="1:3" ht="28.5" thickBot="1" x14ac:dyDescent="0.25">
      <c r="A122" s="72" t="s">
        <v>193</v>
      </c>
      <c r="B122" s="88" t="s">
        <v>194</v>
      </c>
      <c r="C122" s="83">
        <f>[1]С4!F37</f>
        <v>1.19</v>
      </c>
    </row>
    <row r="123" spans="1:3" s="89" customFormat="1" ht="13.5" thickBot="1" x14ac:dyDescent="0.25">
      <c r="A123" s="47"/>
      <c r="B123" s="75"/>
      <c r="C123" s="15"/>
    </row>
    <row r="124" spans="1:3" s="63" customFormat="1" ht="30" customHeight="1" x14ac:dyDescent="0.2">
      <c r="A124" s="76" t="s">
        <v>195</v>
      </c>
      <c r="B124" s="165" t="s">
        <v>196</v>
      </c>
      <c r="C124" s="165"/>
    </row>
    <row r="125" spans="1:3" ht="16.5" thickBot="1" x14ac:dyDescent="0.25">
      <c r="A125" s="27" t="s">
        <v>197</v>
      </c>
      <c r="B125" s="90" t="s">
        <v>198</v>
      </c>
      <c r="C125" s="83">
        <f>[1]С5!F17</f>
        <v>0.02</v>
      </c>
    </row>
    <row r="126" spans="1:3" s="89" customFormat="1" ht="13.5" thickBot="1" x14ac:dyDescent="0.25">
      <c r="A126" s="47"/>
      <c r="B126" s="75"/>
      <c r="C126" s="15"/>
    </row>
    <row r="127" spans="1:3" ht="42.75" customHeight="1" x14ac:dyDescent="0.2">
      <c r="A127" s="84" t="s">
        <v>199</v>
      </c>
      <c r="B127" s="166" t="s">
        <v>200</v>
      </c>
      <c r="C127" s="166"/>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[1]С2!F37</f>
        <v>20.818139999999996</v>
      </c>
    </row>
    <row r="136" spans="1:4" ht="14.25" x14ac:dyDescent="0.2">
      <c r="A136" s="59" t="s">
        <v>216</v>
      </c>
      <c r="B136" s="101" t="s">
        <v>217</v>
      </c>
      <c r="C136" s="34">
        <f>[1]С2!F38</f>
        <v>7</v>
      </c>
    </row>
    <row r="137" spans="1:4" ht="17.25" x14ac:dyDescent="0.2">
      <c r="A137" s="59" t="s">
        <v>218</v>
      </c>
      <c r="B137" s="101" t="s">
        <v>219</v>
      </c>
      <c r="C137" s="34">
        <f>[1]С2!F40</f>
        <v>0.97</v>
      </c>
    </row>
    <row r="138" spans="1:4" ht="15" thickBot="1" x14ac:dyDescent="0.25">
      <c r="A138" s="72" t="s">
        <v>220</v>
      </c>
      <c r="B138" s="102" t="s">
        <v>221</v>
      </c>
      <c r="C138" s="46">
        <f>[1]С2!F42</f>
        <v>0.35</v>
      </c>
    </row>
    <row r="139" spans="1:4" s="89" customFormat="1" ht="13.5" thickBot="1" x14ac:dyDescent="0.25">
      <c r="A139" s="47"/>
      <c r="B139" s="75"/>
      <c r="C139" s="15"/>
    </row>
    <row r="140" spans="1:4" ht="30" x14ac:dyDescent="0.2">
      <c r="A140" s="84" t="s">
        <v>222</v>
      </c>
      <c r="B140" s="103" t="s">
        <v>223</v>
      </c>
      <c r="C140" s="104">
        <f>[1]С2!F35</f>
        <v>1.4976266307379205</v>
      </c>
      <c r="D140" s="89"/>
    </row>
    <row r="141" spans="1:4" ht="22.7" customHeight="1" thickBot="1" x14ac:dyDescent="0.25">
      <c r="A141" s="72" t="s">
        <v>224</v>
      </c>
      <c r="B141" s="161" t="s">
        <v>225</v>
      </c>
      <c r="C141" s="161"/>
      <c r="D141" s="89"/>
    </row>
    <row r="142" spans="1:4" ht="13.5" thickBot="1" x14ac:dyDescent="0.25">
      <c r="A142" s="105"/>
      <c r="B142" s="106" t="s">
        <v>226</v>
      </c>
      <c r="C142" s="107"/>
      <c r="D142" s="89"/>
    </row>
    <row r="143" spans="1:4" x14ac:dyDescent="0.2">
      <c r="A143" s="105"/>
      <c r="B143" s="108">
        <v>2020</v>
      </c>
      <c r="C143" s="109">
        <f>[1]С2.5!$E$11</f>
        <v>-2.9000000000000026E-2</v>
      </c>
      <c r="D143" s="89"/>
    </row>
    <row r="144" spans="1:4" x14ac:dyDescent="0.2">
      <c r="A144" s="105"/>
      <c r="B144" s="110">
        <f>B143+1</f>
        <v>2021</v>
      </c>
      <c r="C144" s="111">
        <f>[1]С2.5!$F$11</f>
        <v>0.245</v>
      </c>
      <c r="D144" s="89"/>
    </row>
    <row r="145" spans="1:4" x14ac:dyDescent="0.2">
      <c r="A145" s="105"/>
      <c r="B145" s="110">
        <f t="shared" ref="B145:B208" si="0">B144+1</f>
        <v>2022</v>
      </c>
      <c r="C145" s="111">
        <f>[1]С2.5!$G$11</f>
        <v>0.114</v>
      </c>
      <c r="D145" s="89"/>
    </row>
    <row r="146" spans="1:4" ht="13.5" thickBot="1" x14ac:dyDescent="0.25">
      <c r="A146" s="105"/>
      <c r="B146" s="112">
        <f t="shared" si="0"/>
        <v>2023</v>
      </c>
      <c r="C146" s="113">
        <f>[1]С2.5!$H$11</f>
        <v>2.4E-2</v>
      </c>
      <c r="D146" s="89"/>
    </row>
    <row r="147" spans="1:4" x14ac:dyDescent="0.2">
      <c r="A147" s="105"/>
      <c r="B147" s="114">
        <f t="shared" si="0"/>
        <v>2024</v>
      </c>
      <c r="C147" s="115">
        <f>[1]С2.5!$I$11</f>
        <v>8.5999999999999993E-2</v>
      </c>
      <c r="D147" s="89"/>
    </row>
    <row r="148" spans="1:4" hidden="1" x14ac:dyDescent="0.2">
      <c r="A148" s="105"/>
      <c r="B148" s="110">
        <f t="shared" si="0"/>
        <v>2025</v>
      </c>
      <c r="C148" s="111">
        <f>[1]С2.5!$J$11</f>
        <v>0.21215960863291</v>
      </c>
      <c r="D148" s="89"/>
    </row>
    <row r="149" spans="1:4" hidden="1" x14ac:dyDescent="0.2">
      <c r="A149" s="105"/>
      <c r="B149" s="110">
        <f t="shared" si="0"/>
        <v>2026</v>
      </c>
      <c r="C149" s="111">
        <f>[1]С2.5!$K$11</f>
        <v>3.5813361771260002E-2</v>
      </c>
      <c r="D149" s="89"/>
    </row>
    <row r="150" spans="1:4" hidden="1" x14ac:dyDescent="0.2">
      <c r="A150" s="105"/>
      <c r="B150" s="110">
        <f t="shared" si="0"/>
        <v>2027</v>
      </c>
      <c r="C150" s="111">
        <f>[1]С2.5!$L$11</f>
        <v>3.2682303599220003E-2</v>
      </c>
      <c r="D150" s="89"/>
    </row>
    <row r="151" spans="1:4" hidden="1" x14ac:dyDescent="0.2">
      <c r="A151" s="105"/>
      <c r="B151" s="110">
        <f t="shared" si="0"/>
        <v>2028</v>
      </c>
      <c r="C151" s="111">
        <f>[1]С2.5!$M$11</f>
        <v>0</v>
      </c>
      <c r="D151" s="89"/>
    </row>
    <row r="152" spans="1:4" hidden="1" x14ac:dyDescent="0.2">
      <c r="A152" s="105"/>
      <c r="B152" s="110">
        <f t="shared" si="0"/>
        <v>2029</v>
      </c>
      <c r="C152" s="111">
        <f>[1]С2.5!$N$11</f>
        <v>0</v>
      </c>
      <c r="D152" s="89"/>
    </row>
    <row r="153" spans="1:4" hidden="1" x14ac:dyDescent="0.2">
      <c r="A153" s="105"/>
      <c r="B153" s="110">
        <f t="shared" si="0"/>
        <v>2030</v>
      </c>
      <c r="C153" s="111">
        <f>[1]С2.5!$O$11</f>
        <v>0</v>
      </c>
      <c r="D153" s="89"/>
    </row>
    <row r="154" spans="1:4" hidden="1" x14ac:dyDescent="0.2">
      <c r="A154" s="105"/>
      <c r="B154" s="110">
        <f t="shared" si="0"/>
        <v>2031</v>
      </c>
      <c r="C154" s="111">
        <f>[1]С2.5!$P$11</f>
        <v>0</v>
      </c>
      <c r="D154" s="89"/>
    </row>
    <row r="155" spans="1:4" hidden="1" x14ac:dyDescent="0.2">
      <c r="A155" s="89"/>
      <c r="B155" s="110">
        <f t="shared" si="0"/>
        <v>2032</v>
      </c>
      <c r="C155" s="111">
        <f>[1]С2.5!$Q$11</f>
        <v>0</v>
      </c>
      <c r="D155" s="89"/>
    </row>
    <row r="156" spans="1:4" hidden="1" x14ac:dyDescent="0.2">
      <c r="A156" s="89"/>
      <c r="B156" s="110">
        <f t="shared" si="0"/>
        <v>2033</v>
      </c>
      <c r="C156" s="111">
        <f>[1]С2.5!$R$11</f>
        <v>0</v>
      </c>
      <c r="D156" s="89"/>
    </row>
    <row r="157" spans="1:4" hidden="1" x14ac:dyDescent="0.2">
      <c r="B157" s="110">
        <f t="shared" si="0"/>
        <v>2034</v>
      </c>
      <c r="C157" s="111">
        <f>[1]С2.5!$S$11</f>
        <v>0</v>
      </c>
    </row>
    <row r="158" spans="1:4" hidden="1" x14ac:dyDescent="0.2">
      <c r="B158" s="110">
        <f t="shared" si="0"/>
        <v>2035</v>
      </c>
      <c r="C158" s="111">
        <f>[1]С2.5!$T$11</f>
        <v>0</v>
      </c>
    </row>
    <row r="159" spans="1:4" hidden="1" x14ac:dyDescent="0.2">
      <c r="B159" s="110">
        <f t="shared" si="0"/>
        <v>2036</v>
      </c>
      <c r="C159" s="111">
        <f>[1]С2.5!$U$11</f>
        <v>0</v>
      </c>
    </row>
    <row r="160" spans="1:4" hidden="1" x14ac:dyDescent="0.2">
      <c r="B160" s="110">
        <f t="shared" si="0"/>
        <v>2037</v>
      </c>
      <c r="C160" s="111">
        <f>[1]С2.5!$V$11</f>
        <v>0</v>
      </c>
    </row>
    <row r="161" spans="2:3" hidden="1" x14ac:dyDescent="0.2">
      <c r="B161" s="110">
        <f t="shared" si="0"/>
        <v>2038</v>
      </c>
      <c r="C161" s="111">
        <f>[1]С2.5!$W$11</f>
        <v>0</v>
      </c>
    </row>
    <row r="162" spans="2:3" hidden="1" x14ac:dyDescent="0.2">
      <c r="B162" s="110">
        <f t="shared" si="0"/>
        <v>2039</v>
      </c>
      <c r="C162" s="111">
        <f>[1]С2.5!$X$11</f>
        <v>0</v>
      </c>
    </row>
    <row r="163" spans="2:3" hidden="1" x14ac:dyDescent="0.2">
      <c r="B163" s="110">
        <f t="shared" si="0"/>
        <v>2040</v>
      </c>
      <c r="C163" s="111">
        <f>[1]С2.5!$Y$11</f>
        <v>0</v>
      </c>
    </row>
    <row r="164" spans="2:3" hidden="1" x14ac:dyDescent="0.2">
      <c r="B164" s="110">
        <f t="shared" si="0"/>
        <v>2041</v>
      </c>
      <c r="C164" s="111">
        <f>[1]С2.5!$Z$11</f>
        <v>0</v>
      </c>
    </row>
    <row r="165" spans="2:3" hidden="1" x14ac:dyDescent="0.2">
      <c r="B165" s="110">
        <f t="shared" si="0"/>
        <v>2042</v>
      </c>
      <c r="C165" s="111">
        <f>[1]С2.5!$AA$11</f>
        <v>0</v>
      </c>
    </row>
    <row r="166" spans="2:3" hidden="1" x14ac:dyDescent="0.2">
      <c r="B166" s="110">
        <f t="shared" si="0"/>
        <v>2043</v>
      </c>
      <c r="C166" s="111">
        <f>[1]С2.5!$AB$11</f>
        <v>0</v>
      </c>
    </row>
    <row r="167" spans="2:3" hidden="1" x14ac:dyDescent="0.2">
      <c r="B167" s="110">
        <f t="shared" si="0"/>
        <v>2044</v>
      </c>
      <c r="C167" s="111">
        <f>[1]С2.5!$AC$11</f>
        <v>0</v>
      </c>
    </row>
    <row r="168" spans="2:3" hidden="1" x14ac:dyDescent="0.2">
      <c r="B168" s="110">
        <f t="shared" si="0"/>
        <v>2045</v>
      </c>
      <c r="C168" s="111">
        <f>[1]С2.5!$AD$11</f>
        <v>0</v>
      </c>
    </row>
    <row r="169" spans="2:3" hidden="1" x14ac:dyDescent="0.2">
      <c r="B169" s="110">
        <f t="shared" si="0"/>
        <v>2046</v>
      </c>
      <c r="C169" s="111">
        <f>[1]С2.5!$AE$11</f>
        <v>0</v>
      </c>
    </row>
    <row r="170" spans="2:3" hidden="1" x14ac:dyDescent="0.2">
      <c r="B170" s="110">
        <f t="shared" si="0"/>
        <v>2047</v>
      </c>
      <c r="C170" s="111">
        <f>[1]С2.5!$AF$11</f>
        <v>0</v>
      </c>
    </row>
    <row r="171" spans="2:3" hidden="1" x14ac:dyDescent="0.2">
      <c r="B171" s="110">
        <f t="shared" si="0"/>
        <v>2048</v>
      </c>
      <c r="C171" s="111">
        <f>[1]С2.5!$AG$11</f>
        <v>0</v>
      </c>
    </row>
    <row r="172" spans="2:3" hidden="1" x14ac:dyDescent="0.2">
      <c r="B172" s="110">
        <f t="shared" si="0"/>
        <v>2049</v>
      </c>
      <c r="C172" s="111">
        <f>[1]С2.5!$AH$11</f>
        <v>0</v>
      </c>
    </row>
    <row r="173" spans="2:3" hidden="1" x14ac:dyDescent="0.2">
      <c r="B173" s="110">
        <f t="shared" si="0"/>
        <v>2050</v>
      </c>
      <c r="C173" s="111">
        <f>[1]С2.5!$AI$11</f>
        <v>0</v>
      </c>
    </row>
    <row r="174" spans="2:3" hidden="1" x14ac:dyDescent="0.2">
      <c r="B174" s="110">
        <f t="shared" si="0"/>
        <v>2051</v>
      </c>
      <c r="C174" s="111">
        <f>[1]С2.5!$AJ$11</f>
        <v>0</v>
      </c>
    </row>
    <row r="175" spans="2:3" hidden="1" x14ac:dyDescent="0.2">
      <c r="B175" s="110">
        <f t="shared" si="0"/>
        <v>2052</v>
      </c>
      <c r="C175" s="111">
        <f>[1]С2.5!$AK$11</f>
        <v>0</v>
      </c>
    </row>
    <row r="176" spans="2:3" hidden="1" x14ac:dyDescent="0.2">
      <c r="B176" s="110">
        <f t="shared" si="0"/>
        <v>2053</v>
      </c>
      <c r="C176" s="111">
        <f>[1]С2.5!$AL$11</f>
        <v>0</v>
      </c>
    </row>
    <row r="177" spans="2:3" hidden="1" x14ac:dyDescent="0.2">
      <c r="B177" s="110">
        <f t="shared" si="0"/>
        <v>2054</v>
      </c>
      <c r="C177" s="111">
        <f>[1]С2.5!$AM$11</f>
        <v>0</v>
      </c>
    </row>
    <row r="178" spans="2:3" hidden="1" x14ac:dyDescent="0.2">
      <c r="B178" s="110">
        <f t="shared" si="0"/>
        <v>2055</v>
      </c>
      <c r="C178" s="111">
        <f>[1]С2.5!$AN$11</f>
        <v>0</v>
      </c>
    </row>
    <row r="179" spans="2:3" hidden="1" x14ac:dyDescent="0.2">
      <c r="B179" s="110">
        <f t="shared" si="0"/>
        <v>2056</v>
      </c>
      <c r="C179" s="111">
        <f>[1]С2.5!$AO$11</f>
        <v>0</v>
      </c>
    </row>
    <row r="180" spans="2:3" hidden="1" x14ac:dyDescent="0.2">
      <c r="B180" s="110">
        <f t="shared" si="0"/>
        <v>2057</v>
      </c>
      <c r="C180" s="111">
        <f>[1]С2.5!$AP$11</f>
        <v>0</v>
      </c>
    </row>
    <row r="181" spans="2:3" hidden="1" x14ac:dyDescent="0.2">
      <c r="B181" s="110">
        <f t="shared" si="0"/>
        <v>2058</v>
      </c>
      <c r="C181" s="111">
        <f>[1]С2.5!$AQ$11</f>
        <v>0</v>
      </c>
    </row>
    <row r="182" spans="2:3" hidden="1" x14ac:dyDescent="0.2">
      <c r="B182" s="110">
        <f t="shared" si="0"/>
        <v>2059</v>
      </c>
      <c r="C182" s="111">
        <f>[1]С2.5!$AR$11</f>
        <v>0</v>
      </c>
    </row>
    <row r="183" spans="2:3" hidden="1" x14ac:dyDescent="0.2">
      <c r="B183" s="110">
        <f t="shared" si="0"/>
        <v>2060</v>
      </c>
      <c r="C183" s="111">
        <f>[1]С2.5!$AS$11</f>
        <v>0</v>
      </c>
    </row>
    <row r="184" spans="2:3" hidden="1" x14ac:dyDescent="0.2">
      <c r="B184" s="110">
        <f t="shared" si="0"/>
        <v>2061</v>
      </c>
      <c r="C184" s="111">
        <f>[1]С2.5!$AT$11</f>
        <v>0</v>
      </c>
    </row>
    <row r="185" spans="2:3" hidden="1" x14ac:dyDescent="0.2">
      <c r="B185" s="110">
        <f t="shared" si="0"/>
        <v>2062</v>
      </c>
      <c r="C185" s="111">
        <f>[1]С2.5!$AU$11</f>
        <v>0</v>
      </c>
    </row>
    <row r="186" spans="2:3" hidden="1" x14ac:dyDescent="0.2">
      <c r="B186" s="110">
        <f t="shared" si="0"/>
        <v>2063</v>
      </c>
      <c r="C186" s="111">
        <f>[1]С2.5!$AV$11</f>
        <v>0</v>
      </c>
    </row>
    <row r="187" spans="2:3" hidden="1" x14ac:dyDescent="0.2">
      <c r="B187" s="110">
        <f t="shared" si="0"/>
        <v>2064</v>
      </c>
      <c r="C187" s="111">
        <f>[1]С2.5!$AW$11</f>
        <v>0</v>
      </c>
    </row>
    <row r="188" spans="2:3" hidden="1" x14ac:dyDescent="0.2">
      <c r="B188" s="110">
        <f t="shared" si="0"/>
        <v>2065</v>
      </c>
      <c r="C188" s="111">
        <f>[1]С2.5!$AX$11</f>
        <v>0</v>
      </c>
    </row>
    <row r="189" spans="2:3" hidden="1" x14ac:dyDescent="0.2">
      <c r="B189" s="110">
        <f t="shared" si="0"/>
        <v>2066</v>
      </c>
      <c r="C189" s="111">
        <f>[1]С2.5!$AY$11</f>
        <v>0</v>
      </c>
    </row>
    <row r="190" spans="2:3" hidden="1" x14ac:dyDescent="0.2">
      <c r="B190" s="110">
        <f t="shared" si="0"/>
        <v>2067</v>
      </c>
      <c r="C190" s="111">
        <f>[1]С2.5!$AZ$11</f>
        <v>0</v>
      </c>
    </row>
    <row r="191" spans="2:3" hidden="1" x14ac:dyDescent="0.2">
      <c r="B191" s="110">
        <f t="shared" si="0"/>
        <v>2068</v>
      </c>
      <c r="C191" s="111">
        <f>[1]С2.5!$BA$11</f>
        <v>0</v>
      </c>
    </row>
    <row r="192" spans="2:3" hidden="1" x14ac:dyDescent="0.2">
      <c r="B192" s="110">
        <f t="shared" si="0"/>
        <v>2069</v>
      </c>
      <c r="C192" s="111">
        <f>[1]С2.5!$BB$11</f>
        <v>0</v>
      </c>
    </row>
    <row r="193" spans="2:3" hidden="1" x14ac:dyDescent="0.2">
      <c r="B193" s="110">
        <f t="shared" si="0"/>
        <v>2070</v>
      </c>
      <c r="C193" s="111">
        <f>[1]С2.5!$BC$11</f>
        <v>0</v>
      </c>
    </row>
    <row r="194" spans="2:3" hidden="1" x14ac:dyDescent="0.2">
      <c r="B194" s="110">
        <f t="shared" si="0"/>
        <v>2071</v>
      </c>
      <c r="C194" s="111">
        <f>[1]С2.5!$BD$11</f>
        <v>0</v>
      </c>
    </row>
    <row r="195" spans="2:3" hidden="1" x14ac:dyDescent="0.2">
      <c r="B195" s="110">
        <f t="shared" si="0"/>
        <v>2072</v>
      </c>
      <c r="C195" s="111">
        <f>[1]С2.5!$BE$11</f>
        <v>0</v>
      </c>
    </row>
    <row r="196" spans="2:3" hidden="1" x14ac:dyDescent="0.2">
      <c r="B196" s="110">
        <f t="shared" si="0"/>
        <v>2073</v>
      </c>
      <c r="C196" s="111">
        <f>[1]С2.5!$BF$11</f>
        <v>0</v>
      </c>
    </row>
    <row r="197" spans="2:3" hidden="1" x14ac:dyDescent="0.2">
      <c r="B197" s="110">
        <f t="shared" si="0"/>
        <v>2074</v>
      </c>
      <c r="C197" s="111">
        <f>[1]С2.5!$BG$11</f>
        <v>0</v>
      </c>
    </row>
    <row r="198" spans="2:3" hidden="1" x14ac:dyDescent="0.2">
      <c r="B198" s="110">
        <f t="shared" si="0"/>
        <v>2075</v>
      </c>
      <c r="C198" s="111">
        <f>[1]С2.5!$BH$11</f>
        <v>0</v>
      </c>
    </row>
    <row r="199" spans="2:3" hidden="1" x14ac:dyDescent="0.2">
      <c r="B199" s="110">
        <f t="shared" si="0"/>
        <v>2076</v>
      </c>
      <c r="C199" s="111">
        <f>[1]С2.5!$BI$11</f>
        <v>0</v>
      </c>
    </row>
    <row r="200" spans="2:3" hidden="1" x14ac:dyDescent="0.2">
      <c r="B200" s="110">
        <f t="shared" si="0"/>
        <v>2077</v>
      </c>
      <c r="C200" s="111">
        <f>[1]С2.5!$BJ$11</f>
        <v>0</v>
      </c>
    </row>
    <row r="201" spans="2:3" hidden="1" x14ac:dyDescent="0.2">
      <c r="B201" s="110">
        <f t="shared" si="0"/>
        <v>2078</v>
      </c>
      <c r="C201" s="111">
        <f>[1]С2.5!$BK$11</f>
        <v>0</v>
      </c>
    </row>
    <row r="202" spans="2:3" hidden="1" x14ac:dyDescent="0.2">
      <c r="B202" s="110">
        <f t="shared" si="0"/>
        <v>2079</v>
      </c>
      <c r="C202" s="111">
        <f>[1]С2.5!$BL$11</f>
        <v>0</v>
      </c>
    </row>
    <row r="203" spans="2:3" hidden="1" x14ac:dyDescent="0.2">
      <c r="B203" s="110">
        <f t="shared" si="0"/>
        <v>2080</v>
      </c>
      <c r="C203" s="111">
        <f>[1]С2.5!$BM$11</f>
        <v>0</v>
      </c>
    </row>
    <row r="204" spans="2:3" hidden="1" x14ac:dyDescent="0.2">
      <c r="B204" s="110">
        <f t="shared" si="0"/>
        <v>2081</v>
      </c>
      <c r="C204" s="111">
        <f>[1]С2.5!$BN$11</f>
        <v>0</v>
      </c>
    </row>
    <row r="205" spans="2:3" hidden="1" x14ac:dyDescent="0.2">
      <c r="B205" s="110">
        <f t="shared" si="0"/>
        <v>2082</v>
      </c>
      <c r="C205" s="111">
        <f>[1]С2.5!$BO$11</f>
        <v>0</v>
      </c>
    </row>
    <row r="206" spans="2:3" hidden="1" x14ac:dyDescent="0.2">
      <c r="B206" s="110">
        <f t="shared" si="0"/>
        <v>2083</v>
      </c>
      <c r="C206" s="111">
        <f>[1]С2.5!$BP$11</f>
        <v>0</v>
      </c>
    </row>
    <row r="207" spans="2:3" hidden="1" x14ac:dyDescent="0.2">
      <c r="B207" s="110">
        <f t="shared" si="0"/>
        <v>2084</v>
      </c>
      <c r="C207" s="111">
        <f>[1]С2.5!$BQ$11</f>
        <v>0</v>
      </c>
    </row>
    <row r="208" spans="2:3" hidden="1" x14ac:dyDescent="0.2">
      <c r="B208" s="110">
        <f t="shared" si="0"/>
        <v>2085</v>
      </c>
      <c r="C208" s="111">
        <f>[1]С2.5!$BR$11</f>
        <v>0</v>
      </c>
    </row>
    <row r="209" spans="2:3" hidden="1" x14ac:dyDescent="0.2">
      <c r="B209" s="110">
        <f t="shared" ref="B209:B223" si="1">B208+1</f>
        <v>2086</v>
      </c>
      <c r="C209" s="111">
        <f>[1]С2.5!$BS$11</f>
        <v>0</v>
      </c>
    </row>
    <row r="210" spans="2:3" hidden="1" x14ac:dyDescent="0.2">
      <c r="B210" s="110">
        <f t="shared" si="1"/>
        <v>2087</v>
      </c>
      <c r="C210" s="111">
        <f>[1]С2.5!$BT$11</f>
        <v>0</v>
      </c>
    </row>
    <row r="211" spans="2:3" hidden="1" x14ac:dyDescent="0.2">
      <c r="B211" s="110">
        <f t="shared" si="1"/>
        <v>2088</v>
      </c>
      <c r="C211" s="111">
        <f>[1]С2.5!$BU$11</f>
        <v>0</v>
      </c>
    </row>
    <row r="212" spans="2:3" hidden="1" x14ac:dyDescent="0.2">
      <c r="B212" s="110">
        <f t="shared" si="1"/>
        <v>2089</v>
      </c>
      <c r="C212" s="111">
        <f>[1]С2.5!$BV$11</f>
        <v>0</v>
      </c>
    </row>
    <row r="213" spans="2:3" hidden="1" x14ac:dyDescent="0.2">
      <c r="B213" s="110">
        <f t="shared" si="1"/>
        <v>2090</v>
      </c>
      <c r="C213" s="111">
        <f>[1]С2.5!$BW$11</f>
        <v>0</v>
      </c>
    </row>
    <row r="214" spans="2:3" hidden="1" x14ac:dyDescent="0.2">
      <c r="B214" s="110">
        <f t="shared" si="1"/>
        <v>2091</v>
      </c>
      <c r="C214" s="111">
        <f>[1]С2.5!$BX$11</f>
        <v>0</v>
      </c>
    </row>
    <row r="215" spans="2:3" hidden="1" x14ac:dyDescent="0.2">
      <c r="B215" s="110">
        <f t="shared" si="1"/>
        <v>2092</v>
      </c>
      <c r="C215" s="111">
        <f>[1]С2.5!$BY$11</f>
        <v>0</v>
      </c>
    </row>
    <row r="216" spans="2:3" hidden="1" x14ac:dyDescent="0.2">
      <c r="B216" s="110">
        <f t="shared" si="1"/>
        <v>2093</v>
      </c>
      <c r="C216" s="111">
        <f>[1]С2.5!$BZ$11</f>
        <v>0</v>
      </c>
    </row>
    <row r="217" spans="2:3" hidden="1" x14ac:dyDescent="0.2">
      <c r="B217" s="110">
        <f t="shared" si="1"/>
        <v>2094</v>
      </c>
      <c r="C217" s="111">
        <f>[1]С2.5!$CA$11</f>
        <v>0</v>
      </c>
    </row>
    <row r="218" spans="2:3" hidden="1" x14ac:dyDescent="0.2">
      <c r="B218" s="110">
        <f t="shared" si="1"/>
        <v>2095</v>
      </c>
      <c r="C218" s="111">
        <f>[1]С2.5!$CB$11</f>
        <v>0</v>
      </c>
    </row>
    <row r="219" spans="2:3" hidden="1" x14ac:dyDescent="0.2">
      <c r="B219" s="110">
        <f t="shared" si="1"/>
        <v>2096</v>
      </c>
      <c r="C219" s="111">
        <f>[1]С2.5!$CC$11</f>
        <v>0</v>
      </c>
    </row>
    <row r="220" spans="2:3" hidden="1" x14ac:dyDescent="0.2">
      <c r="B220" s="110">
        <f t="shared" si="1"/>
        <v>2097</v>
      </c>
      <c r="C220" s="111">
        <f>[1]С2.5!$CD$11</f>
        <v>0</v>
      </c>
    </row>
    <row r="221" spans="2:3" hidden="1" x14ac:dyDescent="0.2">
      <c r="B221" s="110">
        <f t="shared" si="1"/>
        <v>2098</v>
      </c>
      <c r="C221" s="111">
        <f>[1]С2.5!$CE$11</f>
        <v>0</v>
      </c>
    </row>
    <row r="222" spans="2:3" hidden="1" x14ac:dyDescent="0.2">
      <c r="B222" s="110">
        <f t="shared" si="1"/>
        <v>2099</v>
      </c>
      <c r="C222" s="111">
        <f>[1]С2.5!$CF$11</f>
        <v>0</v>
      </c>
    </row>
    <row r="223" spans="2:3" ht="13.5" hidden="1" thickBot="1" x14ac:dyDescent="0.25">
      <c r="B223" s="112">
        <f t="shared" si="1"/>
        <v>2100</v>
      </c>
      <c r="C223" s="113">
        <f>[1]С2.5!$CG$11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2]!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1026" r:id="rId5" name="Button 2">
              <controlPr defaultSize="0" print="0" autoFill="0" autoPict="0" macro="[1]!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26"/>
  <sheetViews>
    <sheetView workbookViewId="0">
      <selection activeCell="C2" sqref="C2"/>
    </sheetView>
  </sheetViews>
  <sheetFormatPr defaultRowHeight="12.75" x14ac:dyDescent="0.2"/>
  <cols>
    <col min="1" max="1" width="7.28515625" style="2" customWidth="1"/>
    <col min="2" max="2" width="100.7109375" style="2" customWidth="1"/>
    <col min="3" max="3" width="20.85546875" style="139" customWidth="1"/>
    <col min="4" max="4" width="22.85546875" style="159" customWidth="1"/>
    <col min="5" max="5" width="5.140625" style="2" customWidth="1"/>
    <col min="6" max="6" width="17.5703125" style="2" customWidth="1"/>
    <col min="7" max="159" width="9.140625" style="2"/>
    <col min="160" max="241" width="0" style="2" hidden="1" customWidth="1"/>
    <col min="242" max="250" width="9.140625" style="2"/>
    <col min="251" max="251" width="3.7109375" style="2" customWidth="1"/>
    <col min="252" max="252" width="96.85546875" style="2" customWidth="1"/>
    <col min="253" max="253" width="30.85546875" style="2" customWidth="1"/>
    <col min="254" max="254" width="12.5703125" style="2" customWidth="1"/>
    <col min="255" max="255" width="5.140625" style="2" customWidth="1"/>
    <col min="256" max="256" width="9.140625" style="2"/>
    <col min="257" max="257" width="4.85546875" style="2" customWidth="1"/>
    <col min="258" max="258" width="30.5703125" style="2" customWidth="1"/>
    <col min="259" max="259" width="33.85546875" style="2" customWidth="1"/>
    <col min="260" max="260" width="5.140625" style="2" customWidth="1"/>
    <col min="261" max="262" width="17.5703125" style="2" customWidth="1"/>
    <col min="263" max="506" width="9.140625" style="2"/>
    <col min="507" max="507" width="3.7109375" style="2" customWidth="1"/>
    <col min="508" max="508" width="96.85546875" style="2" customWidth="1"/>
    <col min="509" max="509" width="30.85546875" style="2" customWidth="1"/>
    <col min="510" max="510" width="12.5703125" style="2" customWidth="1"/>
    <col min="511" max="511" width="5.140625" style="2" customWidth="1"/>
    <col min="512" max="512" width="9.140625" style="2"/>
    <col min="513" max="513" width="4.85546875" style="2" customWidth="1"/>
    <col min="514" max="514" width="30.5703125" style="2" customWidth="1"/>
    <col min="515" max="515" width="33.85546875" style="2" customWidth="1"/>
    <col min="516" max="516" width="5.140625" style="2" customWidth="1"/>
    <col min="517" max="518" width="17.5703125" style="2" customWidth="1"/>
    <col min="519" max="762" width="9.140625" style="2"/>
    <col min="763" max="763" width="3.7109375" style="2" customWidth="1"/>
    <col min="764" max="764" width="96.85546875" style="2" customWidth="1"/>
    <col min="765" max="765" width="30.85546875" style="2" customWidth="1"/>
    <col min="766" max="766" width="12.5703125" style="2" customWidth="1"/>
    <col min="767" max="767" width="5.140625" style="2" customWidth="1"/>
    <col min="768" max="768" width="9.140625" style="2"/>
    <col min="769" max="769" width="4.85546875" style="2" customWidth="1"/>
    <col min="770" max="770" width="30.5703125" style="2" customWidth="1"/>
    <col min="771" max="771" width="33.85546875" style="2" customWidth="1"/>
    <col min="772" max="772" width="5.140625" style="2" customWidth="1"/>
    <col min="773" max="774" width="17.5703125" style="2" customWidth="1"/>
    <col min="775" max="1018" width="9.140625" style="2"/>
    <col min="1019" max="1019" width="3.7109375" style="2" customWidth="1"/>
    <col min="1020" max="1020" width="96.85546875" style="2" customWidth="1"/>
    <col min="1021" max="1021" width="30.85546875" style="2" customWidth="1"/>
    <col min="1022" max="1022" width="12.5703125" style="2" customWidth="1"/>
    <col min="1023" max="1023" width="5.140625" style="2" customWidth="1"/>
    <col min="1024" max="1024" width="9.140625" style="2"/>
    <col min="1025" max="1025" width="4.85546875" style="2" customWidth="1"/>
    <col min="1026" max="1026" width="30.5703125" style="2" customWidth="1"/>
    <col min="1027" max="1027" width="33.85546875" style="2" customWidth="1"/>
    <col min="1028" max="1028" width="5.140625" style="2" customWidth="1"/>
    <col min="1029" max="1030" width="17.5703125" style="2" customWidth="1"/>
    <col min="1031" max="1274" width="9.140625" style="2"/>
    <col min="1275" max="1275" width="3.7109375" style="2" customWidth="1"/>
    <col min="1276" max="1276" width="96.85546875" style="2" customWidth="1"/>
    <col min="1277" max="1277" width="30.85546875" style="2" customWidth="1"/>
    <col min="1278" max="1278" width="12.5703125" style="2" customWidth="1"/>
    <col min="1279" max="1279" width="5.140625" style="2" customWidth="1"/>
    <col min="1280" max="1280" width="9.140625" style="2"/>
    <col min="1281" max="1281" width="4.85546875" style="2" customWidth="1"/>
    <col min="1282" max="1282" width="30.5703125" style="2" customWidth="1"/>
    <col min="1283" max="1283" width="33.85546875" style="2" customWidth="1"/>
    <col min="1284" max="1284" width="5.140625" style="2" customWidth="1"/>
    <col min="1285" max="1286" width="17.5703125" style="2" customWidth="1"/>
    <col min="1287" max="1530" width="9.140625" style="2"/>
    <col min="1531" max="1531" width="3.7109375" style="2" customWidth="1"/>
    <col min="1532" max="1532" width="96.85546875" style="2" customWidth="1"/>
    <col min="1533" max="1533" width="30.85546875" style="2" customWidth="1"/>
    <col min="1534" max="1534" width="12.5703125" style="2" customWidth="1"/>
    <col min="1535" max="1535" width="5.140625" style="2" customWidth="1"/>
    <col min="1536" max="1536" width="9.140625" style="2"/>
    <col min="1537" max="1537" width="4.85546875" style="2" customWidth="1"/>
    <col min="1538" max="1538" width="30.5703125" style="2" customWidth="1"/>
    <col min="1539" max="1539" width="33.85546875" style="2" customWidth="1"/>
    <col min="1540" max="1540" width="5.140625" style="2" customWidth="1"/>
    <col min="1541" max="1542" width="17.5703125" style="2" customWidth="1"/>
    <col min="1543" max="1786" width="9.140625" style="2"/>
    <col min="1787" max="1787" width="3.7109375" style="2" customWidth="1"/>
    <col min="1788" max="1788" width="96.85546875" style="2" customWidth="1"/>
    <col min="1789" max="1789" width="30.85546875" style="2" customWidth="1"/>
    <col min="1790" max="1790" width="12.5703125" style="2" customWidth="1"/>
    <col min="1791" max="1791" width="5.140625" style="2" customWidth="1"/>
    <col min="1792" max="1792" width="9.140625" style="2"/>
    <col min="1793" max="1793" width="4.85546875" style="2" customWidth="1"/>
    <col min="1794" max="1794" width="30.5703125" style="2" customWidth="1"/>
    <col min="1795" max="1795" width="33.85546875" style="2" customWidth="1"/>
    <col min="1796" max="1796" width="5.140625" style="2" customWidth="1"/>
    <col min="1797" max="1798" width="17.5703125" style="2" customWidth="1"/>
    <col min="1799" max="2042" width="9.140625" style="2"/>
    <col min="2043" max="2043" width="3.7109375" style="2" customWidth="1"/>
    <col min="2044" max="2044" width="96.85546875" style="2" customWidth="1"/>
    <col min="2045" max="2045" width="30.85546875" style="2" customWidth="1"/>
    <col min="2046" max="2046" width="12.5703125" style="2" customWidth="1"/>
    <col min="2047" max="2047" width="5.140625" style="2" customWidth="1"/>
    <col min="2048" max="2048" width="9.140625" style="2"/>
    <col min="2049" max="2049" width="4.85546875" style="2" customWidth="1"/>
    <col min="2050" max="2050" width="30.5703125" style="2" customWidth="1"/>
    <col min="2051" max="2051" width="33.85546875" style="2" customWidth="1"/>
    <col min="2052" max="2052" width="5.140625" style="2" customWidth="1"/>
    <col min="2053" max="2054" width="17.5703125" style="2" customWidth="1"/>
    <col min="2055" max="2298" width="9.140625" style="2"/>
    <col min="2299" max="2299" width="3.7109375" style="2" customWidth="1"/>
    <col min="2300" max="2300" width="96.85546875" style="2" customWidth="1"/>
    <col min="2301" max="2301" width="30.85546875" style="2" customWidth="1"/>
    <col min="2302" max="2302" width="12.5703125" style="2" customWidth="1"/>
    <col min="2303" max="2303" width="5.140625" style="2" customWidth="1"/>
    <col min="2304" max="2304" width="9.140625" style="2"/>
    <col min="2305" max="2305" width="4.85546875" style="2" customWidth="1"/>
    <col min="2306" max="2306" width="30.5703125" style="2" customWidth="1"/>
    <col min="2307" max="2307" width="33.85546875" style="2" customWidth="1"/>
    <col min="2308" max="2308" width="5.140625" style="2" customWidth="1"/>
    <col min="2309" max="2310" width="17.5703125" style="2" customWidth="1"/>
    <col min="2311" max="2554" width="9.140625" style="2"/>
    <col min="2555" max="2555" width="3.7109375" style="2" customWidth="1"/>
    <col min="2556" max="2556" width="96.85546875" style="2" customWidth="1"/>
    <col min="2557" max="2557" width="30.85546875" style="2" customWidth="1"/>
    <col min="2558" max="2558" width="12.5703125" style="2" customWidth="1"/>
    <col min="2559" max="2559" width="5.140625" style="2" customWidth="1"/>
    <col min="2560" max="2560" width="9.140625" style="2"/>
    <col min="2561" max="2561" width="4.85546875" style="2" customWidth="1"/>
    <col min="2562" max="2562" width="30.5703125" style="2" customWidth="1"/>
    <col min="2563" max="2563" width="33.85546875" style="2" customWidth="1"/>
    <col min="2564" max="2564" width="5.140625" style="2" customWidth="1"/>
    <col min="2565" max="2566" width="17.5703125" style="2" customWidth="1"/>
    <col min="2567" max="2810" width="9.140625" style="2"/>
    <col min="2811" max="2811" width="3.7109375" style="2" customWidth="1"/>
    <col min="2812" max="2812" width="96.85546875" style="2" customWidth="1"/>
    <col min="2813" max="2813" width="30.85546875" style="2" customWidth="1"/>
    <col min="2814" max="2814" width="12.5703125" style="2" customWidth="1"/>
    <col min="2815" max="2815" width="5.140625" style="2" customWidth="1"/>
    <col min="2816" max="2816" width="9.140625" style="2"/>
    <col min="2817" max="2817" width="4.85546875" style="2" customWidth="1"/>
    <col min="2818" max="2818" width="30.5703125" style="2" customWidth="1"/>
    <col min="2819" max="2819" width="33.85546875" style="2" customWidth="1"/>
    <col min="2820" max="2820" width="5.140625" style="2" customWidth="1"/>
    <col min="2821" max="2822" width="17.5703125" style="2" customWidth="1"/>
    <col min="2823" max="3066" width="9.140625" style="2"/>
    <col min="3067" max="3067" width="3.7109375" style="2" customWidth="1"/>
    <col min="3068" max="3068" width="96.85546875" style="2" customWidth="1"/>
    <col min="3069" max="3069" width="30.85546875" style="2" customWidth="1"/>
    <col min="3070" max="3070" width="12.5703125" style="2" customWidth="1"/>
    <col min="3071" max="3071" width="5.140625" style="2" customWidth="1"/>
    <col min="3072" max="3072" width="9.140625" style="2"/>
    <col min="3073" max="3073" width="4.85546875" style="2" customWidth="1"/>
    <col min="3074" max="3074" width="30.5703125" style="2" customWidth="1"/>
    <col min="3075" max="3075" width="33.85546875" style="2" customWidth="1"/>
    <col min="3076" max="3076" width="5.140625" style="2" customWidth="1"/>
    <col min="3077" max="3078" width="17.5703125" style="2" customWidth="1"/>
    <col min="3079" max="3322" width="9.140625" style="2"/>
    <col min="3323" max="3323" width="3.7109375" style="2" customWidth="1"/>
    <col min="3324" max="3324" width="96.85546875" style="2" customWidth="1"/>
    <col min="3325" max="3325" width="30.85546875" style="2" customWidth="1"/>
    <col min="3326" max="3326" width="12.5703125" style="2" customWidth="1"/>
    <col min="3327" max="3327" width="5.140625" style="2" customWidth="1"/>
    <col min="3328" max="3328" width="9.140625" style="2"/>
    <col min="3329" max="3329" width="4.85546875" style="2" customWidth="1"/>
    <col min="3330" max="3330" width="30.5703125" style="2" customWidth="1"/>
    <col min="3331" max="3331" width="33.85546875" style="2" customWidth="1"/>
    <col min="3332" max="3332" width="5.140625" style="2" customWidth="1"/>
    <col min="3333" max="3334" width="17.5703125" style="2" customWidth="1"/>
    <col min="3335" max="3578" width="9.140625" style="2"/>
    <col min="3579" max="3579" width="3.7109375" style="2" customWidth="1"/>
    <col min="3580" max="3580" width="96.85546875" style="2" customWidth="1"/>
    <col min="3581" max="3581" width="30.85546875" style="2" customWidth="1"/>
    <col min="3582" max="3582" width="12.5703125" style="2" customWidth="1"/>
    <col min="3583" max="3583" width="5.140625" style="2" customWidth="1"/>
    <col min="3584" max="3584" width="9.140625" style="2"/>
    <col min="3585" max="3585" width="4.85546875" style="2" customWidth="1"/>
    <col min="3586" max="3586" width="30.5703125" style="2" customWidth="1"/>
    <col min="3587" max="3587" width="33.85546875" style="2" customWidth="1"/>
    <col min="3588" max="3588" width="5.140625" style="2" customWidth="1"/>
    <col min="3589" max="3590" width="17.5703125" style="2" customWidth="1"/>
    <col min="3591" max="3834" width="9.140625" style="2"/>
    <col min="3835" max="3835" width="3.7109375" style="2" customWidth="1"/>
    <col min="3836" max="3836" width="96.85546875" style="2" customWidth="1"/>
    <col min="3837" max="3837" width="30.85546875" style="2" customWidth="1"/>
    <col min="3838" max="3838" width="12.5703125" style="2" customWidth="1"/>
    <col min="3839" max="3839" width="5.140625" style="2" customWidth="1"/>
    <col min="3840" max="3840" width="9.140625" style="2"/>
    <col min="3841" max="3841" width="4.85546875" style="2" customWidth="1"/>
    <col min="3842" max="3842" width="30.5703125" style="2" customWidth="1"/>
    <col min="3843" max="3843" width="33.85546875" style="2" customWidth="1"/>
    <col min="3844" max="3844" width="5.140625" style="2" customWidth="1"/>
    <col min="3845" max="3846" width="17.5703125" style="2" customWidth="1"/>
    <col min="3847" max="4090" width="9.140625" style="2"/>
    <col min="4091" max="4091" width="3.7109375" style="2" customWidth="1"/>
    <col min="4092" max="4092" width="96.85546875" style="2" customWidth="1"/>
    <col min="4093" max="4093" width="30.85546875" style="2" customWidth="1"/>
    <col min="4094" max="4094" width="12.5703125" style="2" customWidth="1"/>
    <col min="4095" max="4095" width="5.140625" style="2" customWidth="1"/>
    <col min="4096" max="4096" width="9.140625" style="2"/>
    <col min="4097" max="4097" width="4.85546875" style="2" customWidth="1"/>
    <col min="4098" max="4098" width="30.5703125" style="2" customWidth="1"/>
    <col min="4099" max="4099" width="33.85546875" style="2" customWidth="1"/>
    <col min="4100" max="4100" width="5.140625" style="2" customWidth="1"/>
    <col min="4101" max="4102" width="17.5703125" style="2" customWidth="1"/>
    <col min="4103" max="4346" width="9.140625" style="2"/>
    <col min="4347" max="4347" width="3.7109375" style="2" customWidth="1"/>
    <col min="4348" max="4348" width="96.85546875" style="2" customWidth="1"/>
    <col min="4349" max="4349" width="30.85546875" style="2" customWidth="1"/>
    <col min="4350" max="4350" width="12.5703125" style="2" customWidth="1"/>
    <col min="4351" max="4351" width="5.140625" style="2" customWidth="1"/>
    <col min="4352" max="4352" width="9.140625" style="2"/>
    <col min="4353" max="4353" width="4.85546875" style="2" customWidth="1"/>
    <col min="4354" max="4354" width="30.5703125" style="2" customWidth="1"/>
    <col min="4355" max="4355" width="33.85546875" style="2" customWidth="1"/>
    <col min="4356" max="4356" width="5.140625" style="2" customWidth="1"/>
    <col min="4357" max="4358" width="17.5703125" style="2" customWidth="1"/>
    <col min="4359" max="4602" width="9.140625" style="2"/>
    <col min="4603" max="4603" width="3.7109375" style="2" customWidth="1"/>
    <col min="4604" max="4604" width="96.85546875" style="2" customWidth="1"/>
    <col min="4605" max="4605" width="30.85546875" style="2" customWidth="1"/>
    <col min="4606" max="4606" width="12.5703125" style="2" customWidth="1"/>
    <col min="4607" max="4607" width="5.140625" style="2" customWidth="1"/>
    <col min="4608" max="4608" width="9.140625" style="2"/>
    <col min="4609" max="4609" width="4.85546875" style="2" customWidth="1"/>
    <col min="4610" max="4610" width="30.5703125" style="2" customWidth="1"/>
    <col min="4611" max="4611" width="33.85546875" style="2" customWidth="1"/>
    <col min="4612" max="4612" width="5.140625" style="2" customWidth="1"/>
    <col min="4613" max="4614" width="17.5703125" style="2" customWidth="1"/>
    <col min="4615" max="4858" width="9.140625" style="2"/>
    <col min="4859" max="4859" width="3.7109375" style="2" customWidth="1"/>
    <col min="4860" max="4860" width="96.85546875" style="2" customWidth="1"/>
    <col min="4861" max="4861" width="30.85546875" style="2" customWidth="1"/>
    <col min="4862" max="4862" width="12.5703125" style="2" customWidth="1"/>
    <col min="4863" max="4863" width="5.140625" style="2" customWidth="1"/>
    <col min="4864" max="4864" width="9.140625" style="2"/>
    <col min="4865" max="4865" width="4.85546875" style="2" customWidth="1"/>
    <col min="4866" max="4866" width="30.5703125" style="2" customWidth="1"/>
    <col min="4867" max="4867" width="33.85546875" style="2" customWidth="1"/>
    <col min="4868" max="4868" width="5.140625" style="2" customWidth="1"/>
    <col min="4869" max="4870" width="17.5703125" style="2" customWidth="1"/>
    <col min="4871" max="5114" width="9.140625" style="2"/>
    <col min="5115" max="5115" width="3.7109375" style="2" customWidth="1"/>
    <col min="5116" max="5116" width="96.85546875" style="2" customWidth="1"/>
    <col min="5117" max="5117" width="30.85546875" style="2" customWidth="1"/>
    <col min="5118" max="5118" width="12.5703125" style="2" customWidth="1"/>
    <col min="5119" max="5119" width="5.140625" style="2" customWidth="1"/>
    <col min="5120" max="5120" width="9.140625" style="2"/>
    <col min="5121" max="5121" width="4.85546875" style="2" customWidth="1"/>
    <col min="5122" max="5122" width="30.5703125" style="2" customWidth="1"/>
    <col min="5123" max="5123" width="33.85546875" style="2" customWidth="1"/>
    <col min="5124" max="5124" width="5.140625" style="2" customWidth="1"/>
    <col min="5125" max="5126" width="17.5703125" style="2" customWidth="1"/>
    <col min="5127" max="5370" width="9.140625" style="2"/>
    <col min="5371" max="5371" width="3.7109375" style="2" customWidth="1"/>
    <col min="5372" max="5372" width="96.85546875" style="2" customWidth="1"/>
    <col min="5373" max="5373" width="30.85546875" style="2" customWidth="1"/>
    <col min="5374" max="5374" width="12.5703125" style="2" customWidth="1"/>
    <col min="5375" max="5375" width="5.140625" style="2" customWidth="1"/>
    <col min="5376" max="5376" width="9.140625" style="2"/>
    <col min="5377" max="5377" width="4.85546875" style="2" customWidth="1"/>
    <col min="5378" max="5378" width="30.5703125" style="2" customWidth="1"/>
    <col min="5379" max="5379" width="33.85546875" style="2" customWidth="1"/>
    <col min="5380" max="5380" width="5.140625" style="2" customWidth="1"/>
    <col min="5381" max="5382" width="17.5703125" style="2" customWidth="1"/>
    <col min="5383" max="5626" width="9.140625" style="2"/>
    <col min="5627" max="5627" width="3.7109375" style="2" customWidth="1"/>
    <col min="5628" max="5628" width="96.85546875" style="2" customWidth="1"/>
    <col min="5629" max="5629" width="30.85546875" style="2" customWidth="1"/>
    <col min="5630" max="5630" width="12.5703125" style="2" customWidth="1"/>
    <col min="5631" max="5631" width="5.140625" style="2" customWidth="1"/>
    <col min="5632" max="5632" width="9.140625" style="2"/>
    <col min="5633" max="5633" width="4.85546875" style="2" customWidth="1"/>
    <col min="5634" max="5634" width="30.5703125" style="2" customWidth="1"/>
    <col min="5635" max="5635" width="33.85546875" style="2" customWidth="1"/>
    <col min="5636" max="5636" width="5.140625" style="2" customWidth="1"/>
    <col min="5637" max="5638" width="17.5703125" style="2" customWidth="1"/>
    <col min="5639" max="5882" width="9.140625" style="2"/>
    <col min="5883" max="5883" width="3.7109375" style="2" customWidth="1"/>
    <col min="5884" max="5884" width="96.85546875" style="2" customWidth="1"/>
    <col min="5885" max="5885" width="30.85546875" style="2" customWidth="1"/>
    <col min="5886" max="5886" width="12.5703125" style="2" customWidth="1"/>
    <col min="5887" max="5887" width="5.140625" style="2" customWidth="1"/>
    <col min="5888" max="5888" width="9.140625" style="2"/>
    <col min="5889" max="5889" width="4.85546875" style="2" customWidth="1"/>
    <col min="5890" max="5890" width="30.5703125" style="2" customWidth="1"/>
    <col min="5891" max="5891" width="33.85546875" style="2" customWidth="1"/>
    <col min="5892" max="5892" width="5.140625" style="2" customWidth="1"/>
    <col min="5893" max="5894" width="17.5703125" style="2" customWidth="1"/>
    <col min="5895" max="6138" width="9.140625" style="2"/>
    <col min="6139" max="6139" width="3.7109375" style="2" customWidth="1"/>
    <col min="6140" max="6140" width="96.85546875" style="2" customWidth="1"/>
    <col min="6141" max="6141" width="30.85546875" style="2" customWidth="1"/>
    <col min="6142" max="6142" width="12.5703125" style="2" customWidth="1"/>
    <col min="6143" max="6143" width="5.140625" style="2" customWidth="1"/>
    <col min="6144" max="6144" width="9.140625" style="2"/>
    <col min="6145" max="6145" width="4.85546875" style="2" customWidth="1"/>
    <col min="6146" max="6146" width="30.5703125" style="2" customWidth="1"/>
    <col min="6147" max="6147" width="33.85546875" style="2" customWidth="1"/>
    <col min="6148" max="6148" width="5.140625" style="2" customWidth="1"/>
    <col min="6149" max="6150" width="17.5703125" style="2" customWidth="1"/>
    <col min="6151" max="6394" width="9.140625" style="2"/>
    <col min="6395" max="6395" width="3.7109375" style="2" customWidth="1"/>
    <col min="6396" max="6396" width="96.85546875" style="2" customWidth="1"/>
    <col min="6397" max="6397" width="30.85546875" style="2" customWidth="1"/>
    <col min="6398" max="6398" width="12.5703125" style="2" customWidth="1"/>
    <col min="6399" max="6399" width="5.140625" style="2" customWidth="1"/>
    <col min="6400" max="6400" width="9.140625" style="2"/>
    <col min="6401" max="6401" width="4.85546875" style="2" customWidth="1"/>
    <col min="6402" max="6402" width="30.5703125" style="2" customWidth="1"/>
    <col min="6403" max="6403" width="33.85546875" style="2" customWidth="1"/>
    <col min="6404" max="6404" width="5.140625" style="2" customWidth="1"/>
    <col min="6405" max="6406" width="17.5703125" style="2" customWidth="1"/>
    <col min="6407" max="6650" width="9.140625" style="2"/>
    <col min="6651" max="6651" width="3.7109375" style="2" customWidth="1"/>
    <col min="6652" max="6652" width="96.85546875" style="2" customWidth="1"/>
    <col min="6653" max="6653" width="30.85546875" style="2" customWidth="1"/>
    <col min="6654" max="6654" width="12.5703125" style="2" customWidth="1"/>
    <col min="6655" max="6655" width="5.140625" style="2" customWidth="1"/>
    <col min="6656" max="6656" width="9.140625" style="2"/>
    <col min="6657" max="6657" width="4.85546875" style="2" customWidth="1"/>
    <col min="6658" max="6658" width="30.5703125" style="2" customWidth="1"/>
    <col min="6659" max="6659" width="33.85546875" style="2" customWidth="1"/>
    <col min="6660" max="6660" width="5.140625" style="2" customWidth="1"/>
    <col min="6661" max="6662" width="17.5703125" style="2" customWidth="1"/>
    <col min="6663" max="6906" width="9.140625" style="2"/>
    <col min="6907" max="6907" width="3.7109375" style="2" customWidth="1"/>
    <col min="6908" max="6908" width="96.85546875" style="2" customWidth="1"/>
    <col min="6909" max="6909" width="30.85546875" style="2" customWidth="1"/>
    <col min="6910" max="6910" width="12.5703125" style="2" customWidth="1"/>
    <col min="6911" max="6911" width="5.140625" style="2" customWidth="1"/>
    <col min="6912" max="6912" width="9.140625" style="2"/>
    <col min="6913" max="6913" width="4.85546875" style="2" customWidth="1"/>
    <col min="6914" max="6914" width="30.5703125" style="2" customWidth="1"/>
    <col min="6915" max="6915" width="33.85546875" style="2" customWidth="1"/>
    <col min="6916" max="6916" width="5.140625" style="2" customWidth="1"/>
    <col min="6917" max="6918" width="17.5703125" style="2" customWidth="1"/>
    <col min="6919" max="7162" width="9.140625" style="2"/>
    <col min="7163" max="7163" width="3.7109375" style="2" customWidth="1"/>
    <col min="7164" max="7164" width="96.85546875" style="2" customWidth="1"/>
    <col min="7165" max="7165" width="30.85546875" style="2" customWidth="1"/>
    <col min="7166" max="7166" width="12.5703125" style="2" customWidth="1"/>
    <col min="7167" max="7167" width="5.140625" style="2" customWidth="1"/>
    <col min="7168" max="7168" width="9.140625" style="2"/>
    <col min="7169" max="7169" width="4.85546875" style="2" customWidth="1"/>
    <col min="7170" max="7170" width="30.5703125" style="2" customWidth="1"/>
    <col min="7171" max="7171" width="33.85546875" style="2" customWidth="1"/>
    <col min="7172" max="7172" width="5.140625" style="2" customWidth="1"/>
    <col min="7173" max="7174" width="17.5703125" style="2" customWidth="1"/>
    <col min="7175" max="7418" width="9.140625" style="2"/>
    <col min="7419" max="7419" width="3.7109375" style="2" customWidth="1"/>
    <col min="7420" max="7420" width="96.85546875" style="2" customWidth="1"/>
    <col min="7421" max="7421" width="30.85546875" style="2" customWidth="1"/>
    <col min="7422" max="7422" width="12.5703125" style="2" customWidth="1"/>
    <col min="7423" max="7423" width="5.140625" style="2" customWidth="1"/>
    <col min="7424" max="7424" width="9.140625" style="2"/>
    <col min="7425" max="7425" width="4.85546875" style="2" customWidth="1"/>
    <col min="7426" max="7426" width="30.5703125" style="2" customWidth="1"/>
    <col min="7427" max="7427" width="33.85546875" style="2" customWidth="1"/>
    <col min="7428" max="7428" width="5.140625" style="2" customWidth="1"/>
    <col min="7429" max="7430" width="17.5703125" style="2" customWidth="1"/>
    <col min="7431" max="7674" width="9.140625" style="2"/>
    <col min="7675" max="7675" width="3.7109375" style="2" customWidth="1"/>
    <col min="7676" max="7676" width="96.85546875" style="2" customWidth="1"/>
    <col min="7677" max="7677" width="30.85546875" style="2" customWidth="1"/>
    <col min="7678" max="7678" width="12.5703125" style="2" customWidth="1"/>
    <col min="7679" max="7679" width="5.140625" style="2" customWidth="1"/>
    <col min="7680" max="7680" width="9.140625" style="2"/>
    <col min="7681" max="7681" width="4.85546875" style="2" customWidth="1"/>
    <col min="7682" max="7682" width="30.5703125" style="2" customWidth="1"/>
    <col min="7683" max="7683" width="33.85546875" style="2" customWidth="1"/>
    <col min="7684" max="7684" width="5.140625" style="2" customWidth="1"/>
    <col min="7685" max="7686" width="17.5703125" style="2" customWidth="1"/>
    <col min="7687" max="7930" width="9.140625" style="2"/>
    <col min="7931" max="7931" width="3.7109375" style="2" customWidth="1"/>
    <col min="7932" max="7932" width="96.85546875" style="2" customWidth="1"/>
    <col min="7933" max="7933" width="30.85546875" style="2" customWidth="1"/>
    <col min="7934" max="7934" width="12.5703125" style="2" customWidth="1"/>
    <col min="7935" max="7935" width="5.140625" style="2" customWidth="1"/>
    <col min="7936" max="7936" width="9.140625" style="2"/>
    <col min="7937" max="7937" width="4.85546875" style="2" customWidth="1"/>
    <col min="7938" max="7938" width="30.5703125" style="2" customWidth="1"/>
    <col min="7939" max="7939" width="33.85546875" style="2" customWidth="1"/>
    <col min="7940" max="7940" width="5.140625" style="2" customWidth="1"/>
    <col min="7941" max="7942" width="17.5703125" style="2" customWidth="1"/>
    <col min="7943" max="8186" width="9.140625" style="2"/>
    <col min="8187" max="8187" width="3.7109375" style="2" customWidth="1"/>
    <col min="8188" max="8188" width="96.85546875" style="2" customWidth="1"/>
    <col min="8189" max="8189" width="30.85546875" style="2" customWidth="1"/>
    <col min="8190" max="8190" width="12.5703125" style="2" customWidth="1"/>
    <col min="8191" max="8191" width="5.140625" style="2" customWidth="1"/>
    <col min="8192" max="8192" width="9.140625" style="2"/>
    <col min="8193" max="8193" width="4.85546875" style="2" customWidth="1"/>
    <col min="8194" max="8194" width="30.5703125" style="2" customWidth="1"/>
    <col min="8195" max="8195" width="33.85546875" style="2" customWidth="1"/>
    <col min="8196" max="8196" width="5.140625" style="2" customWidth="1"/>
    <col min="8197" max="8198" width="17.5703125" style="2" customWidth="1"/>
    <col min="8199" max="8442" width="9.140625" style="2"/>
    <col min="8443" max="8443" width="3.7109375" style="2" customWidth="1"/>
    <col min="8444" max="8444" width="96.85546875" style="2" customWidth="1"/>
    <col min="8445" max="8445" width="30.85546875" style="2" customWidth="1"/>
    <col min="8446" max="8446" width="12.5703125" style="2" customWidth="1"/>
    <col min="8447" max="8447" width="5.140625" style="2" customWidth="1"/>
    <col min="8448" max="8448" width="9.140625" style="2"/>
    <col min="8449" max="8449" width="4.85546875" style="2" customWidth="1"/>
    <col min="8450" max="8450" width="30.5703125" style="2" customWidth="1"/>
    <col min="8451" max="8451" width="33.85546875" style="2" customWidth="1"/>
    <col min="8452" max="8452" width="5.140625" style="2" customWidth="1"/>
    <col min="8453" max="8454" width="17.5703125" style="2" customWidth="1"/>
    <col min="8455" max="8698" width="9.140625" style="2"/>
    <col min="8699" max="8699" width="3.7109375" style="2" customWidth="1"/>
    <col min="8700" max="8700" width="96.85546875" style="2" customWidth="1"/>
    <col min="8701" max="8701" width="30.85546875" style="2" customWidth="1"/>
    <col min="8702" max="8702" width="12.5703125" style="2" customWidth="1"/>
    <col min="8703" max="8703" width="5.140625" style="2" customWidth="1"/>
    <col min="8704" max="8704" width="9.140625" style="2"/>
    <col min="8705" max="8705" width="4.85546875" style="2" customWidth="1"/>
    <col min="8706" max="8706" width="30.5703125" style="2" customWidth="1"/>
    <col min="8707" max="8707" width="33.85546875" style="2" customWidth="1"/>
    <col min="8708" max="8708" width="5.140625" style="2" customWidth="1"/>
    <col min="8709" max="8710" width="17.5703125" style="2" customWidth="1"/>
    <col min="8711" max="8954" width="9.140625" style="2"/>
    <col min="8955" max="8955" width="3.7109375" style="2" customWidth="1"/>
    <col min="8956" max="8956" width="96.85546875" style="2" customWidth="1"/>
    <col min="8957" max="8957" width="30.85546875" style="2" customWidth="1"/>
    <col min="8958" max="8958" width="12.5703125" style="2" customWidth="1"/>
    <col min="8959" max="8959" width="5.140625" style="2" customWidth="1"/>
    <col min="8960" max="8960" width="9.140625" style="2"/>
    <col min="8961" max="8961" width="4.85546875" style="2" customWidth="1"/>
    <col min="8962" max="8962" width="30.5703125" style="2" customWidth="1"/>
    <col min="8963" max="8963" width="33.85546875" style="2" customWidth="1"/>
    <col min="8964" max="8964" width="5.140625" style="2" customWidth="1"/>
    <col min="8965" max="8966" width="17.5703125" style="2" customWidth="1"/>
    <col min="8967" max="9210" width="9.140625" style="2"/>
    <col min="9211" max="9211" width="3.7109375" style="2" customWidth="1"/>
    <col min="9212" max="9212" width="96.85546875" style="2" customWidth="1"/>
    <col min="9213" max="9213" width="30.85546875" style="2" customWidth="1"/>
    <col min="9214" max="9214" width="12.5703125" style="2" customWidth="1"/>
    <col min="9215" max="9215" width="5.140625" style="2" customWidth="1"/>
    <col min="9216" max="9216" width="9.140625" style="2"/>
    <col min="9217" max="9217" width="4.85546875" style="2" customWidth="1"/>
    <col min="9218" max="9218" width="30.5703125" style="2" customWidth="1"/>
    <col min="9219" max="9219" width="33.85546875" style="2" customWidth="1"/>
    <col min="9220" max="9220" width="5.140625" style="2" customWidth="1"/>
    <col min="9221" max="9222" width="17.5703125" style="2" customWidth="1"/>
    <col min="9223" max="9466" width="9.140625" style="2"/>
    <col min="9467" max="9467" width="3.7109375" style="2" customWidth="1"/>
    <col min="9468" max="9468" width="96.85546875" style="2" customWidth="1"/>
    <col min="9469" max="9469" width="30.85546875" style="2" customWidth="1"/>
    <col min="9470" max="9470" width="12.5703125" style="2" customWidth="1"/>
    <col min="9471" max="9471" width="5.140625" style="2" customWidth="1"/>
    <col min="9472" max="9472" width="9.140625" style="2"/>
    <col min="9473" max="9473" width="4.85546875" style="2" customWidth="1"/>
    <col min="9474" max="9474" width="30.5703125" style="2" customWidth="1"/>
    <col min="9475" max="9475" width="33.85546875" style="2" customWidth="1"/>
    <col min="9476" max="9476" width="5.140625" style="2" customWidth="1"/>
    <col min="9477" max="9478" width="17.5703125" style="2" customWidth="1"/>
    <col min="9479" max="9722" width="9.140625" style="2"/>
    <col min="9723" max="9723" width="3.7109375" style="2" customWidth="1"/>
    <col min="9724" max="9724" width="96.85546875" style="2" customWidth="1"/>
    <col min="9725" max="9725" width="30.85546875" style="2" customWidth="1"/>
    <col min="9726" max="9726" width="12.5703125" style="2" customWidth="1"/>
    <col min="9727" max="9727" width="5.140625" style="2" customWidth="1"/>
    <col min="9728" max="9728" width="9.140625" style="2"/>
    <col min="9729" max="9729" width="4.85546875" style="2" customWidth="1"/>
    <col min="9730" max="9730" width="30.5703125" style="2" customWidth="1"/>
    <col min="9731" max="9731" width="33.85546875" style="2" customWidth="1"/>
    <col min="9732" max="9732" width="5.140625" style="2" customWidth="1"/>
    <col min="9733" max="9734" width="17.5703125" style="2" customWidth="1"/>
    <col min="9735" max="9978" width="9.140625" style="2"/>
    <col min="9979" max="9979" width="3.7109375" style="2" customWidth="1"/>
    <col min="9980" max="9980" width="96.85546875" style="2" customWidth="1"/>
    <col min="9981" max="9981" width="30.85546875" style="2" customWidth="1"/>
    <col min="9982" max="9982" width="12.5703125" style="2" customWidth="1"/>
    <col min="9983" max="9983" width="5.140625" style="2" customWidth="1"/>
    <col min="9984" max="9984" width="9.140625" style="2"/>
    <col min="9985" max="9985" width="4.85546875" style="2" customWidth="1"/>
    <col min="9986" max="9986" width="30.5703125" style="2" customWidth="1"/>
    <col min="9987" max="9987" width="33.85546875" style="2" customWidth="1"/>
    <col min="9988" max="9988" width="5.140625" style="2" customWidth="1"/>
    <col min="9989" max="9990" width="17.5703125" style="2" customWidth="1"/>
    <col min="9991" max="10234" width="9.140625" style="2"/>
    <col min="10235" max="10235" width="3.7109375" style="2" customWidth="1"/>
    <col min="10236" max="10236" width="96.85546875" style="2" customWidth="1"/>
    <col min="10237" max="10237" width="30.85546875" style="2" customWidth="1"/>
    <col min="10238" max="10238" width="12.5703125" style="2" customWidth="1"/>
    <col min="10239" max="10239" width="5.140625" style="2" customWidth="1"/>
    <col min="10240" max="10240" width="9.140625" style="2"/>
    <col min="10241" max="10241" width="4.85546875" style="2" customWidth="1"/>
    <col min="10242" max="10242" width="30.5703125" style="2" customWidth="1"/>
    <col min="10243" max="10243" width="33.85546875" style="2" customWidth="1"/>
    <col min="10244" max="10244" width="5.140625" style="2" customWidth="1"/>
    <col min="10245" max="10246" width="17.5703125" style="2" customWidth="1"/>
    <col min="10247" max="10490" width="9.140625" style="2"/>
    <col min="10491" max="10491" width="3.7109375" style="2" customWidth="1"/>
    <col min="10492" max="10492" width="96.85546875" style="2" customWidth="1"/>
    <col min="10493" max="10493" width="30.85546875" style="2" customWidth="1"/>
    <col min="10494" max="10494" width="12.5703125" style="2" customWidth="1"/>
    <col min="10495" max="10495" width="5.140625" style="2" customWidth="1"/>
    <col min="10496" max="10496" width="9.140625" style="2"/>
    <col min="10497" max="10497" width="4.85546875" style="2" customWidth="1"/>
    <col min="10498" max="10498" width="30.5703125" style="2" customWidth="1"/>
    <col min="10499" max="10499" width="33.85546875" style="2" customWidth="1"/>
    <col min="10500" max="10500" width="5.140625" style="2" customWidth="1"/>
    <col min="10501" max="10502" width="17.5703125" style="2" customWidth="1"/>
    <col min="10503" max="10746" width="9.140625" style="2"/>
    <col min="10747" max="10747" width="3.7109375" style="2" customWidth="1"/>
    <col min="10748" max="10748" width="96.85546875" style="2" customWidth="1"/>
    <col min="10749" max="10749" width="30.85546875" style="2" customWidth="1"/>
    <col min="10750" max="10750" width="12.5703125" style="2" customWidth="1"/>
    <col min="10751" max="10751" width="5.140625" style="2" customWidth="1"/>
    <col min="10752" max="10752" width="9.140625" style="2"/>
    <col min="10753" max="10753" width="4.85546875" style="2" customWidth="1"/>
    <col min="10754" max="10754" width="30.5703125" style="2" customWidth="1"/>
    <col min="10755" max="10755" width="33.85546875" style="2" customWidth="1"/>
    <col min="10756" max="10756" width="5.140625" style="2" customWidth="1"/>
    <col min="10757" max="10758" width="17.5703125" style="2" customWidth="1"/>
    <col min="10759" max="11002" width="9.140625" style="2"/>
    <col min="11003" max="11003" width="3.7109375" style="2" customWidth="1"/>
    <col min="11004" max="11004" width="96.85546875" style="2" customWidth="1"/>
    <col min="11005" max="11005" width="30.85546875" style="2" customWidth="1"/>
    <col min="11006" max="11006" width="12.5703125" style="2" customWidth="1"/>
    <col min="11007" max="11007" width="5.140625" style="2" customWidth="1"/>
    <col min="11008" max="11008" width="9.140625" style="2"/>
    <col min="11009" max="11009" width="4.85546875" style="2" customWidth="1"/>
    <col min="11010" max="11010" width="30.5703125" style="2" customWidth="1"/>
    <col min="11011" max="11011" width="33.85546875" style="2" customWidth="1"/>
    <col min="11012" max="11012" width="5.140625" style="2" customWidth="1"/>
    <col min="11013" max="11014" width="17.5703125" style="2" customWidth="1"/>
    <col min="11015" max="11258" width="9.140625" style="2"/>
    <col min="11259" max="11259" width="3.7109375" style="2" customWidth="1"/>
    <col min="11260" max="11260" width="96.85546875" style="2" customWidth="1"/>
    <col min="11261" max="11261" width="30.85546875" style="2" customWidth="1"/>
    <col min="11262" max="11262" width="12.5703125" style="2" customWidth="1"/>
    <col min="11263" max="11263" width="5.140625" style="2" customWidth="1"/>
    <col min="11264" max="11264" width="9.140625" style="2"/>
    <col min="11265" max="11265" width="4.85546875" style="2" customWidth="1"/>
    <col min="11266" max="11266" width="30.5703125" style="2" customWidth="1"/>
    <col min="11267" max="11267" width="33.85546875" style="2" customWidth="1"/>
    <col min="11268" max="11268" width="5.140625" style="2" customWidth="1"/>
    <col min="11269" max="11270" width="17.5703125" style="2" customWidth="1"/>
    <col min="11271" max="11514" width="9.140625" style="2"/>
    <col min="11515" max="11515" width="3.7109375" style="2" customWidth="1"/>
    <col min="11516" max="11516" width="96.85546875" style="2" customWidth="1"/>
    <col min="11517" max="11517" width="30.85546875" style="2" customWidth="1"/>
    <col min="11518" max="11518" width="12.5703125" style="2" customWidth="1"/>
    <col min="11519" max="11519" width="5.140625" style="2" customWidth="1"/>
    <col min="11520" max="11520" width="9.140625" style="2"/>
    <col min="11521" max="11521" width="4.85546875" style="2" customWidth="1"/>
    <col min="11522" max="11522" width="30.5703125" style="2" customWidth="1"/>
    <col min="11523" max="11523" width="33.85546875" style="2" customWidth="1"/>
    <col min="11524" max="11524" width="5.140625" style="2" customWidth="1"/>
    <col min="11525" max="11526" width="17.5703125" style="2" customWidth="1"/>
    <col min="11527" max="11770" width="9.140625" style="2"/>
    <col min="11771" max="11771" width="3.7109375" style="2" customWidth="1"/>
    <col min="11772" max="11772" width="96.85546875" style="2" customWidth="1"/>
    <col min="11773" max="11773" width="30.85546875" style="2" customWidth="1"/>
    <col min="11774" max="11774" width="12.5703125" style="2" customWidth="1"/>
    <col min="11775" max="11775" width="5.140625" style="2" customWidth="1"/>
    <col min="11776" max="11776" width="9.140625" style="2"/>
    <col min="11777" max="11777" width="4.85546875" style="2" customWidth="1"/>
    <col min="11778" max="11778" width="30.5703125" style="2" customWidth="1"/>
    <col min="11779" max="11779" width="33.85546875" style="2" customWidth="1"/>
    <col min="11780" max="11780" width="5.140625" style="2" customWidth="1"/>
    <col min="11781" max="11782" width="17.5703125" style="2" customWidth="1"/>
    <col min="11783" max="12026" width="9.140625" style="2"/>
    <col min="12027" max="12027" width="3.7109375" style="2" customWidth="1"/>
    <col min="12028" max="12028" width="96.85546875" style="2" customWidth="1"/>
    <col min="12029" max="12029" width="30.85546875" style="2" customWidth="1"/>
    <col min="12030" max="12030" width="12.5703125" style="2" customWidth="1"/>
    <col min="12031" max="12031" width="5.140625" style="2" customWidth="1"/>
    <col min="12032" max="12032" width="9.140625" style="2"/>
    <col min="12033" max="12033" width="4.85546875" style="2" customWidth="1"/>
    <col min="12034" max="12034" width="30.5703125" style="2" customWidth="1"/>
    <col min="12035" max="12035" width="33.85546875" style="2" customWidth="1"/>
    <col min="12036" max="12036" width="5.140625" style="2" customWidth="1"/>
    <col min="12037" max="12038" width="17.5703125" style="2" customWidth="1"/>
    <col min="12039" max="12282" width="9.140625" style="2"/>
    <col min="12283" max="12283" width="3.7109375" style="2" customWidth="1"/>
    <col min="12284" max="12284" width="96.85546875" style="2" customWidth="1"/>
    <col min="12285" max="12285" width="30.85546875" style="2" customWidth="1"/>
    <col min="12286" max="12286" width="12.5703125" style="2" customWidth="1"/>
    <col min="12287" max="12287" width="5.140625" style="2" customWidth="1"/>
    <col min="12288" max="12288" width="9.140625" style="2"/>
    <col min="12289" max="12289" width="4.85546875" style="2" customWidth="1"/>
    <col min="12290" max="12290" width="30.5703125" style="2" customWidth="1"/>
    <col min="12291" max="12291" width="33.85546875" style="2" customWidth="1"/>
    <col min="12292" max="12292" width="5.140625" style="2" customWidth="1"/>
    <col min="12293" max="12294" width="17.5703125" style="2" customWidth="1"/>
    <col min="12295" max="12538" width="9.140625" style="2"/>
    <col min="12539" max="12539" width="3.7109375" style="2" customWidth="1"/>
    <col min="12540" max="12540" width="96.85546875" style="2" customWidth="1"/>
    <col min="12541" max="12541" width="30.85546875" style="2" customWidth="1"/>
    <col min="12542" max="12542" width="12.5703125" style="2" customWidth="1"/>
    <col min="12543" max="12543" width="5.140625" style="2" customWidth="1"/>
    <col min="12544" max="12544" width="9.140625" style="2"/>
    <col min="12545" max="12545" width="4.85546875" style="2" customWidth="1"/>
    <col min="12546" max="12546" width="30.5703125" style="2" customWidth="1"/>
    <col min="12547" max="12547" width="33.85546875" style="2" customWidth="1"/>
    <col min="12548" max="12548" width="5.140625" style="2" customWidth="1"/>
    <col min="12549" max="12550" width="17.5703125" style="2" customWidth="1"/>
    <col min="12551" max="12794" width="9.140625" style="2"/>
    <col min="12795" max="12795" width="3.7109375" style="2" customWidth="1"/>
    <col min="12796" max="12796" width="96.85546875" style="2" customWidth="1"/>
    <col min="12797" max="12797" width="30.85546875" style="2" customWidth="1"/>
    <col min="12798" max="12798" width="12.5703125" style="2" customWidth="1"/>
    <col min="12799" max="12799" width="5.140625" style="2" customWidth="1"/>
    <col min="12800" max="12800" width="9.140625" style="2"/>
    <col min="12801" max="12801" width="4.85546875" style="2" customWidth="1"/>
    <col min="12802" max="12802" width="30.5703125" style="2" customWidth="1"/>
    <col min="12803" max="12803" width="33.85546875" style="2" customWidth="1"/>
    <col min="12804" max="12804" width="5.140625" style="2" customWidth="1"/>
    <col min="12805" max="12806" width="17.5703125" style="2" customWidth="1"/>
    <col min="12807" max="13050" width="9.140625" style="2"/>
    <col min="13051" max="13051" width="3.7109375" style="2" customWidth="1"/>
    <col min="13052" max="13052" width="96.85546875" style="2" customWidth="1"/>
    <col min="13053" max="13053" width="30.85546875" style="2" customWidth="1"/>
    <col min="13054" max="13054" width="12.5703125" style="2" customWidth="1"/>
    <col min="13055" max="13055" width="5.140625" style="2" customWidth="1"/>
    <col min="13056" max="13056" width="9.140625" style="2"/>
    <col min="13057" max="13057" width="4.85546875" style="2" customWidth="1"/>
    <col min="13058" max="13058" width="30.5703125" style="2" customWidth="1"/>
    <col min="13059" max="13059" width="33.85546875" style="2" customWidth="1"/>
    <col min="13060" max="13060" width="5.140625" style="2" customWidth="1"/>
    <col min="13061" max="13062" width="17.5703125" style="2" customWidth="1"/>
    <col min="13063" max="13306" width="9.140625" style="2"/>
    <col min="13307" max="13307" width="3.7109375" style="2" customWidth="1"/>
    <col min="13308" max="13308" width="96.85546875" style="2" customWidth="1"/>
    <col min="13309" max="13309" width="30.85546875" style="2" customWidth="1"/>
    <col min="13310" max="13310" width="12.5703125" style="2" customWidth="1"/>
    <col min="13311" max="13311" width="5.140625" style="2" customWidth="1"/>
    <col min="13312" max="13312" width="9.140625" style="2"/>
    <col min="13313" max="13313" width="4.85546875" style="2" customWidth="1"/>
    <col min="13314" max="13314" width="30.5703125" style="2" customWidth="1"/>
    <col min="13315" max="13315" width="33.85546875" style="2" customWidth="1"/>
    <col min="13316" max="13316" width="5.140625" style="2" customWidth="1"/>
    <col min="13317" max="13318" width="17.5703125" style="2" customWidth="1"/>
    <col min="13319" max="13562" width="9.140625" style="2"/>
    <col min="13563" max="13563" width="3.7109375" style="2" customWidth="1"/>
    <col min="13564" max="13564" width="96.85546875" style="2" customWidth="1"/>
    <col min="13565" max="13565" width="30.85546875" style="2" customWidth="1"/>
    <col min="13566" max="13566" width="12.5703125" style="2" customWidth="1"/>
    <col min="13567" max="13567" width="5.140625" style="2" customWidth="1"/>
    <col min="13568" max="13568" width="9.140625" style="2"/>
    <col min="13569" max="13569" width="4.85546875" style="2" customWidth="1"/>
    <col min="13570" max="13570" width="30.5703125" style="2" customWidth="1"/>
    <col min="13571" max="13571" width="33.85546875" style="2" customWidth="1"/>
    <col min="13572" max="13572" width="5.140625" style="2" customWidth="1"/>
    <col min="13573" max="13574" width="17.5703125" style="2" customWidth="1"/>
    <col min="13575" max="13818" width="9.140625" style="2"/>
    <col min="13819" max="13819" width="3.7109375" style="2" customWidth="1"/>
    <col min="13820" max="13820" width="96.85546875" style="2" customWidth="1"/>
    <col min="13821" max="13821" width="30.85546875" style="2" customWidth="1"/>
    <col min="13822" max="13822" width="12.5703125" style="2" customWidth="1"/>
    <col min="13823" max="13823" width="5.140625" style="2" customWidth="1"/>
    <col min="13824" max="13824" width="9.140625" style="2"/>
    <col min="13825" max="13825" width="4.85546875" style="2" customWidth="1"/>
    <col min="13826" max="13826" width="30.5703125" style="2" customWidth="1"/>
    <col min="13827" max="13827" width="33.85546875" style="2" customWidth="1"/>
    <col min="13828" max="13828" width="5.140625" style="2" customWidth="1"/>
    <col min="13829" max="13830" width="17.5703125" style="2" customWidth="1"/>
    <col min="13831" max="14074" width="9.140625" style="2"/>
    <col min="14075" max="14075" width="3.7109375" style="2" customWidth="1"/>
    <col min="14076" max="14076" width="96.85546875" style="2" customWidth="1"/>
    <col min="14077" max="14077" width="30.85546875" style="2" customWidth="1"/>
    <col min="14078" max="14078" width="12.5703125" style="2" customWidth="1"/>
    <col min="14079" max="14079" width="5.140625" style="2" customWidth="1"/>
    <col min="14080" max="14080" width="9.140625" style="2"/>
    <col min="14081" max="14081" width="4.85546875" style="2" customWidth="1"/>
    <col min="14082" max="14082" width="30.5703125" style="2" customWidth="1"/>
    <col min="14083" max="14083" width="33.85546875" style="2" customWidth="1"/>
    <col min="14084" max="14084" width="5.140625" style="2" customWidth="1"/>
    <col min="14085" max="14086" width="17.5703125" style="2" customWidth="1"/>
    <col min="14087" max="14330" width="9.140625" style="2"/>
    <col min="14331" max="14331" width="3.7109375" style="2" customWidth="1"/>
    <col min="14332" max="14332" width="96.85546875" style="2" customWidth="1"/>
    <col min="14333" max="14333" width="30.85546875" style="2" customWidth="1"/>
    <col min="14334" max="14334" width="12.5703125" style="2" customWidth="1"/>
    <col min="14335" max="14335" width="5.140625" style="2" customWidth="1"/>
    <col min="14336" max="14336" width="9.140625" style="2"/>
    <col min="14337" max="14337" width="4.85546875" style="2" customWidth="1"/>
    <col min="14338" max="14338" width="30.5703125" style="2" customWidth="1"/>
    <col min="14339" max="14339" width="33.85546875" style="2" customWidth="1"/>
    <col min="14340" max="14340" width="5.140625" style="2" customWidth="1"/>
    <col min="14341" max="14342" width="17.5703125" style="2" customWidth="1"/>
    <col min="14343" max="14586" width="9.140625" style="2"/>
    <col min="14587" max="14587" width="3.7109375" style="2" customWidth="1"/>
    <col min="14588" max="14588" width="96.85546875" style="2" customWidth="1"/>
    <col min="14589" max="14589" width="30.85546875" style="2" customWidth="1"/>
    <col min="14590" max="14590" width="12.5703125" style="2" customWidth="1"/>
    <col min="14591" max="14591" width="5.140625" style="2" customWidth="1"/>
    <col min="14592" max="14592" width="9.140625" style="2"/>
    <col min="14593" max="14593" width="4.85546875" style="2" customWidth="1"/>
    <col min="14594" max="14594" width="30.5703125" style="2" customWidth="1"/>
    <col min="14595" max="14595" width="33.85546875" style="2" customWidth="1"/>
    <col min="14596" max="14596" width="5.140625" style="2" customWidth="1"/>
    <col min="14597" max="14598" width="17.5703125" style="2" customWidth="1"/>
    <col min="14599" max="14842" width="9.140625" style="2"/>
    <col min="14843" max="14843" width="3.7109375" style="2" customWidth="1"/>
    <col min="14844" max="14844" width="96.85546875" style="2" customWidth="1"/>
    <col min="14845" max="14845" width="30.85546875" style="2" customWidth="1"/>
    <col min="14846" max="14846" width="12.5703125" style="2" customWidth="1"/>
    <col min="14847" max="14847" width="5.140625" style="2" customWidth="1"/>
    <col min="14848" max="14848" width="9.140625" style="2"/>
    <col min="14849" max="14849" width="4.85546875" style="2" customWidth="1"/>
    <col min="14850" max="14850" width="30.5703125" style="2" customWidth="1"/>
    <col min="14851" max="14851" width="33.85546875" style="2" customWidth="1"/>
    <col min="14852" max="14852" width="5.140625" style="2" customWidth="1"/>
    <col min="14853" max="14854" width="17.5703125" style="2" customWidth="1"/>
    <col min="14855" max="15098" width="9.140625" style="2"/>
    <col min="15099" max="15099" width="3.7109375" style="2" customWidth="1"/>
    <col min="15100" max="15100" width="96.85546875" style="2" customWidth="1"/>
    <col min="15101" max="15101" width="30.85546875" style="2" customWidth="1"/>
    <col min="15102" max="15102" width="12.5703125" style="2" customWidth="1"/>
    <col min="15103" max="15103" width="5.140625" style="2" customWidth="1"/>
    <col min="15104" max="15104" width="9.140625" style="2"/>
    <col min="15105" max="15105" width="4.85546875" style="2" customWidth="1"/>
    <col min="15106" max="15106" width="30.5703125" style="2" customWidth="1"/>
    <col min="15107" max="15107" width="33.85546875" style="2" customWidth="1"/>
    <col min="15108" max="15108" width="5.140625" style="2" customWidth="1"/>
    <col min="15109" max="15110" width="17.5703125" style="2" customWidth="1"/>
    <col min="15111" max="15354" width="9.140625" style="2"/>
    <col min="15355" max="15355" width="3.7109375" style="2" customWidth="1"/>
    <col min="15356" max="15356" width="96.85546875" style="2" customWidth="1"/>
    <col min="15357" max="15357" width="30.85546875" style="2" customWidth="1"/>
    <col min="15358" max="15358" width="12.5703125" style="2" customWidth="1"/>
    <col min="15359" max="15359" width="5.140625" style="2" customWidth="1"/>
    <col min="15360" max="15360" width="9.140625" style="2"/>
    <col min="15361" max="15361" width="4.85546875" style="2" customWidth="1"/>
    <col min="15362" max="15362" width="30.5703125" style="2" customWidth="1"/>
    <col min="15363" max="15363" width="33.85546875" style="2" customWidth="1"/>
    <col min="15364" max="15364" width="5.140625" style="2" customWidth="1"/>
    <col min="15365" max="15366" width="17.5703125" style="2" customWidth="1"/>
    <col min="15367" max="15610" width="9.140625" style="2"/>
    <col min="15611" max="15611" width="3.7109375" style="2" customWidth="1"/>
    <col min="15612" max="15612" width="96.85546875" style="2" customWidth="1"/>
    <col min="15613" max="15613" width="30.85546875" style="2" customWidth="1"/>
    <col min="15614" max="15614" width="12.5703125" style="2" customWidth="1"/>
    <col min="15615" max="15615" width="5.140625" style="2" customWidth="1"/>
    <col min="15616" max="15616" width="9.140625" style="2"/>
    <col min="15617" max="15617" width="4.85546875" style="2" customWidth="1"/>
    <col min="15618" max="15618" width="30.5703125" style="2" customWidth="1"/>
    <col min="15619" max="15619" width="33.85546875" style="2" customWidth="1"/>
    <col min="15620" max="15620" width="5.140625" style="2" customWidth="1"/>
    <col min="15621" max="15622" width="17.5703125" style="2" customWidth="1"/>
    <col min="15623" max="15866" width="9.140625" style="2"/>
    <col min="15867" max="15867" width="3.7109375" style="2" customWidth="1"/>
    <col min="15868" max="15868" width="96.85546875" style="2" customWidth="1"/>
    <col min="15869" max="15869" width="30.85546875" style="2" customWidth="1"/>
    <col min="15870" max="15870" width="12.5703125" style="2" customWidth="1"/>
    <col min="15871" max="15871" width="5.140625" style="2" customWidth="1"/>
    <col min="15872" max="15872" width="9.140625" style="2"/>
    <col min="15873" max="15873" width="4.85546875" style="2" customWidth="1"/>
    <col min="15874" max="15874" width="30.5703125" style="2" customWidth="1"/>
    <col min="15875" max="15875" width="33.85546875" style="2" customWidth="1"/>
    <col min="15876" max="15876" width="5.140625" style="2" customWidth="1"/>
    <col min="15877" max="15878" width="17.5703125" style="2" customWidth="1"/>
    <col min="15879" max="16122" width="9.140625" style="2"/>
    <col min="16123" max="16123" width="3.7109375" style="2" customWidth="1"/>
    <col min="16124" max="16124" width="96.85546875" style="2" customWidth="1"/>
    <col min="16125" max="16125" width="30.85546875" style="2" customWidth="1"/>
    <col min="16126" max="16126" width="12.5703125" style="2" customWidth="1"/>
    <col min="16127" max="16127" width="5.140625" style="2" customWidth="1"/>
    <col min="16128" max="16128" width="9.140625" style="2"/>
    <col min="16129" max="16129" width="4.85546875" style="2" customWidth="1"/>
    <col min="16130" max="16130" width="30.5703125" style="2" customWidth="1"/>
    <col min="16131" max="16131" width="33.85546875" style="2" customWidth="1"/>
    <col min="16132" max="16132" width="5.140625" style="2" customWidth="1"/>
    <col min="16133" max="16134" width="17.5703125" style="2" customWidth="1"/>
    <col min="16135" max="16384" width="9.140625" style="2"/>
  </cols>
  <sheetData>
    <row r="1" spans="1:4" ht="48" customHeight="1" x14ac:dyDescent="0.2">
      <c r="A1" s="3"/>
      <c r="B1" s="163" t="s">
        <v>227</v>
      </c>
      <c r="C1" s="163"/>
      <c r="D1" s="163"/>
    </row>
    <row r="2" spans="1:4" x14ac:dyDescent="0.2">
      <c r="A2" s="3"/>
      <c r="B2" s="4" t="s">
        <v>1</v>
      </c>
      <c r="C2" s="5">
        <v>45317</v>
      </c>
    </row>
    <row r="3" spans="1:4" x14ac:dyDescent="0.2">
      <c r="A3" s="3"/>
      <c r="B3" s="117" t="s">
        <v>2</v>
      </c>
      <c r="C3" s="7"/>
    </row>
    <row r="4" spans="1:4" ht="25.5" x14ac:dyDescent="0.2">
      <c r="A4" s="8"/>
      <c r="B4" s="9" t="str">
        <f>[14]И1!D13</f>
        <v>Субъект Российской Федерации</v>
      </c>
      <c r="C4" s="10" t="str">
        <f>[14]И1!E13</f>
        <v>Новосибирская область</v>
      </c>
      <c r="D4" s="9"/>
    </row>
    <row r="5" spans="1:4" ht="48.6" customHeight="1" x14ac:dyDescent="0.2">
      <c r="A5" s="8"/>
      <c r="B5" s="9" t="str">
        <f>[14]И1!D14</f>
        <v>Тип муниципального образования (выберите из списка)</v>
      </c>
      <c r="C5" s="10" t="str">
        <f>[14]И1!E14</f>
        <v>село Морозово, Искитимский муниципальный район</v>
      </c>
      <c r="D5" s="9"/>
    </row>
    <row r="6" spans="1:4" x14ac:dyDescent="0.2">
      <c r="A6" s="8"/>
      <c r="B6" s="9" t="str">
        <f>IF([14]И1!E15="","",[14]И1!D15)</f>
        <v/>
      </c>
      <c r="C6" s="7" t="str">
        <f>IF([14]И1!E15="","",[14]И1!E15)</f>
        <v/>
      </c>
      <c r="D6" s="9"/>
    </row>
    <row r="7" spans="1:4" x14ac:dyDescent="0.2">
      <c r="A7" s="8"/>
      <c r="B7" s="9" t="str">
        <f>[14]И1!D16</f>
        <v>Код ОКТМО</v>
      </c>
      <c r="C7" s="11" t="str">
        <f>[14]И1!E16</f>
        <v xml:space="preserve"> (50615418101)</v>
      </c>
      <c r="D7" s="9"/>
    </row>
    <row r="8" spans="1:4" x14ac:dyDescent="0.2">
      <c r="A8" s="8"/>
      <c r="B8" s="12" t="str">
        <f>[14]И1!D17</f>
        <v>Система теплоснабжения</v>
      </c>
      <c r="C8" s="13">
        <f>[14]И1!E17</f>
        <v>0</v>
      </c>
      <c r="D8" s="9"/>
    </row>
    <row r="9" spans="1:4" x14ac:dyDescent="0.2">
      <c r="A9" s="8"/>
      <c r="B9" s="9" t="str">
        <f>[14]И1!D8</f>
        <v>Период регулирования (i)-й</v>
      </c>
      <c r="C9" s="14">
        <f>[14]И1!E8</f>
        <v>2024</v>
      </c>
      <c r="D9" s="9"/>
    </row>
    <row r="10" spans="1:4" x14ac:dyDescent="0.2">
      <c r="A10" s="8"/>
      <c r="B10" s="9" t="str">
        <f>[14]И1!D9</f>
        <v>Период регулирования (i-1)-й</v>
      </c>
      <c r="C10" s="14">
        <f>[14]И1!E9</f>
        <v>2023</v>
      </c>
      <c r="D10" s="9"/>
    </row>
    <row r="11" spans="1:4" x14ac:dyDescent="0.2">
      <c r="A11" s="8"/>
      <c r="B11" s="9" t="str">
        <f>[14]И1!D10</f>
        <v>Период регулирования (i-2)-й</v>
      </c>
      <c r="C11" s="14">
        <f>[14]И1!E10</f>
        <v>2022</v>
      </c>
      <c r="D11" s="9"/>
    </row>
    <row r="12" spans="1:4" x14ac:dyDescent="0.2">
      <c r="A12" s="8"/>
      <c r="B12" s="9" t="str">
        <f>[14]И1!D11</f>
        <v>Базовый год (б)</v>
      </c>
      <c r="C12" s="14">
        <f>[14]И1!E11</f>
        <v>2019</v>
      </c>
      <c r="D12" s="9"/>
    </row>
    <row r="13" spans="1:4" x14ac:dyDescent="0.2">
      <c r="A13" s="8"/>
      <c r="B13" s="9" t="str">
        <f>[14]И1!D18</f>
        <v>Вид топлива, использование которого преобладает в системе теплоснабжения</v>
      </c>
      <c r="C13" s="15" t="str">
        <f>[14]И1!E18</f>
        <v>Газ</v>
      </c>
      <c r="D13" s="9"/>
    </row>
    <row r="14" spans="1:4" ht="26.25" customHeight="1" thickBot="1" x14ac:dyDescent="0.25">
      <c r="A14" s="167" t="s">
        <v>3</v>
      </c>
      <c r="B14" s="167"/>
      <c r="C14" s="167"/>
    </row>
    <row r="15" spans="1:4" x14ac:dyDescent="0.2">
      <c r="A15" s="16" t="s">
        <v>4</v>
      </c>
      <c r="B15" s="30" t="s">
        <v>5</v>
      </c>
      <c r="C15" s="118" t="s">
        <v>6</v>
      </c>
    </row>
    <row r="16" spans="1:4" x14ac:dyDescent="0.2">
      <c r="A16" s="19">
        <v>1</v>
      </c>
      <c r="B16" s="119">
        <v>2</v>
      </c>
      <c r="C16" s="120">
        <v>3</v>
      </c>
    </row>
    <row r="17" spans="1:4" x14ac:dyDescent="0.2">
      <c r="A17" s="22">
        <v>1</v>
      </c>
      <c r="B17" s="23" t="s">
        <v>7</v>
      </c>
      <c r="C17" s="24">
        <f>SUM(C18:C23)</f>
        <v>2939.204068798766</v>
      </c>
    </row>
    <row r="18" spans="1:4" ht="42.75" x14ac:dyDescent="0.2">
      <c r="A18" s="22" t="s">
        <v>8</v>
      </c>
      <c r="B18" s="25" t="s">
        <v>9</v>
      </c>
      <c r="C18" s="26">
        <f>[14]С1!F12</f>
        <v>994.35037159416254</v>
      </c>
    </row>
    <row r="19" spans="1:4" ht="42.75" x14ac:dyDescent="0.2">
      <c r="A19" s="22" t="s">
        <v>10</v>
      </c>
      <c r="B19" s="25" t="s">
        <v>11</v>
      </c>
      <c r="C19" s="26">
        <f>[14]С2!F12</f>
        <v>1338.5714783459885</v>
      </c>
    </row>
    <row r="20" spans="1:4" ht="30" x14ac:dyDescent="0.2">
      <c r="A20" s="22" t="s">
        <v>12</v>
      </c>
      <c r="B20" s="25" t="s">
        <v>13</v>
      </c>
      <c r="C20" s="26">
        <f>[14]С3!F12</f>
        <v>317.98065232680995</v>
      </c>
    </row>
    <row r="21" spans="1:4" ht="42.75" x14ac:dyDescent="0.2">
      <c r="A21" s="22" t="s">
        <v>14</v>
      </c>
      <c r="B21" s="25" t="s">
        <v>228</v>
      </c>
      <c r="C21" s="26">
        <f>[14]С4!F12</f>
        <v>230.67011420241766</v>
      </c>
    </row>
    <row r="22" spans="1:4" ht="33" customHeight="1" x14ac:dyDescent="0.2">
      <c r="A22" s="22" t="s">
        <v>16</v>
      </c>
      <c r="B22" s="25" t="s">
        <v>229</v>
      </c>
      <c r="C22" s="26">
        <f>[14]С5!F12</f>
        <v>57.631452329387571</v>
      </c>
    </row>
    <row r="23" spans="1:4" ht="45.75" customHeight="1" thickBot="1" x14ac:dyDescent="0.25">
      <c r="A23" s="27" t="s">
        <v>18</v>
      </c>
      <c r="B23" s="140" t="s">
        <v>230</v>
      </c>
      <c r="C23" s="28">
        <f>[14]С6!F12</f>
        <v>0</v>
      </c>
    </row>
    <row r="24" spans="1:4" ht="13.5" thickBot="1" x14ac:dyDescent="0.25">
      <c r="A24" s="3"/>
      <c r="C24" s="7"/>
    </row>
    <row r="25" spans="1:4" x14ac:dyDescent="0.2">
      <c r="A25" s="16" t="s">
        <v>4</v>
      </c>
      <c r="B25" s="29" t="s">
        <v>5</v>
      </c>
      <c r="C25" s="30" t="s">
        <v>6</v>
      </c>
      <c r="D25" s="143" t="s">
        <v>259</v>
      </c>
    </row>
    <row r="26" spans="1:4" x14ac:dyDescent="0.2">
      <c r="A26" s="19">
        <v>1</v>
      </c>
      <c r="B26" s="31">
        <v>2</v>
      </c>
      <c r="C26" s="32">
        <v>3</v>
      </c>
      <c r="D26" s="144">
        <v>4</v>
      </c>
    </row>
    <row r="27" spans="1:4" ht="30" customHeight="1" x14ac:dyDescent="0.2">
      <c r="A27" s="22">
        <v>1</v>
      </c>
      <c r="B27" s="164" t="s">
        <v>20</v>
      </c>
      <c r="C27" s="164"/>
      <c r="D27" s="169"/>
    </row>
    <row r="28" spans="1:4" ht="25.5" x14ac:dyDescent="0.2">
      <c r="A28" s="22" t="s">
        <v>8</v>
      </c>
      <c r="B28" s="33" t="s">
        <v>231</v>
      </c>
      <c r="C28" s="34">
        <f>[14]С1.1!E16</f>
        <v>7900</v>
      </c>
      <c r="D28" s="145" t="str">
        <f>[14]С1.1!F16</f>
        <v>Приказ ФАС России от 02.06.2021 №545/21</v>
      </c>
    </row>
    <row r="29" spans="1:4" ht="102" x14ac:dyDescent="0.2">
      <c r="A29" s="22" t="s">
        <v>10</v>
      </c>
      <c r="B29" s="33" t="s">
        <v>232</v>
      </c>
      <c r="C29" s="34">
        <f>[14]С1.1!E32</f>
        <v>5751.37</v>
      </c>
      <c r="D29" s="145" t="str">
        <f>IF([14]С1.1!E24=[14]С1.1!I9,[14]С1.1!I9,IF([14]С1.1!E24=[14]С1.1!I10,[14]С1.1!I10,IF([14]С1.1!E24=[14]С1.1!I11,[14]С1.3!G9,IF([14]С1.1!E24=[14]С1.1!I12,[14]С1.1!F30,IF([14]С1.1!E24=[14]С1.1!I13,[14]С1.1!F31,"")))))</f>
        <v>цены (тарифы), подлежащие государственному регулированию, действовавшие на день окончания (i-2)-го расчетного периода в системе теплоснабжения</v>
      </c>
    </row>
    <row r="30" spans="1:4" ht="38.25" x14ac:dyDescent="0.2">
      <c r="A30" s="22" t="s">
        <v>233</v>
      </c>
      <c r="B30" s="33" t="s">
        <v>234</v>
      </c>
      <c r="C30" s="85" t="str">
        <f>[14]С1.1!E25</f>
        <v>ООО "Газпром газораспределение Томск"</v>
      </c>
      <c r="D30" s="145">
        <f>[14]С1.1!F25</f>
        <v>0</v>
      </c>
    </row>
    <row r="31" spans="1:4" ht="38.25" x14ac:dyDescent="0.2">
      <c r="A31" s="22" t="s">
        <v>235</v>
      </c>
      <c r="B31" s="33" t="str">
        <f>[14]С1.1!D26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4">
        <f>[14]С1.1!E26</f>
        <v>4699.5</v>
      </c>
      <c r="D31" s="145" t="str">
        <f>[14]С1.1!F26</f>
        <v>Приказ ФАС России от 02.06.2021 №545/21</v>
      </c>
    </row>
    <row r="32" spans="1:4" ht="25.5" x14ac:dyDescent="0.2">
      <c r="A32" s="22" t="s">
        <v>236</v>
      </c>
      <c r="B32" s="33" t="str">
        <f>[14]С1.1!D27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4">
        <f>[14]С1.1!E27</f>
        <v>795.43</v>
      </c>
      <c r="D32" s="145" t="str">
        <f>[14]С1.1!F27</f>
        <v>Приказ ФАС России от 13.01.2020 №15/20</v>
      </c>
    </row>
    <row r="33" spans="1:4" ht="25.5" x14ac:dyDescent="0.2">
      <c r="A33" s="22" t="s">
        <v>237</v>
      </c>
      <c r="B33" s="33" t="str">
        <f>[14]С1.1!D28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4">
        <f>[14]С1.1!E28</f>
        <v>136.54</v>
      </c>
      <c r="D33" s="145" t="str">
        <f>[14]С1.1!F28</f>
        <v>Приказ ФАС России от 27.05.2016 №682/16</v>
      </c>
    </row>
    <row r="34" spans="1:4" ht="51" x14ac:dyDescent="0.2">
      <c r="A34" s="22" t="s">
        <v>238</v>
      </c>
      <c r="B34" s="33" t="str">
        <f>[14]С1.1!D29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4">
        <f>[14]С1.1!E29</f>
        <v>119.9</v>
      </c>
      <c r="D34" s="145" t="str">
        <f>[14]С1.1!F29</f>
        <v>Приказ департамента по тарифам Новосибирской области от 22.12.2020 №650-Г</v>
      </c>
    </row>
    <row r="35" spans="1:4" ht="369.75" x14ac:dyDescent="0.2">
      <c r="A35" s="22" t="s">
        <v>12</v>
      </c>
      <c r="B35" s="33" t="s">
        <v>23</v>
      </c>
      <c r="C35" s="35">
        <f>[14]С1.1!E20</f>
        <v>8.5000000000000006E-2</v>
      </c>
      <c r="D35" s="145" t="str">
        <f>[14]С1.1!F20</f>
        <v xml:space="preserve"> Прогноз социально-экономического развития Российской Федерации на 2023 год и на плановый период 2024 и 2025 годов (размещен на официальном сайте Министерства экономического развития Российской Федерации (далее − Минэкономразвития России) 28.09.2022): файл в формате PDF, таблица «Прогнозируемые изменения цен (тарифов) на продукцию (услуги) компаний инфраструктурного сектора на 2023-2025 гг.,%, показатель «Газ – индексация оптовых цен для всех категорий потребителей, исключая население»
с 1 июля 2022 - 5%, 
с 1 декабря 2022 - 8,5%</v>
      </c>
    </row>
    <row r="36" spans="1:4" ht="306" x14ac:dyDescent="0.2">
      <c r="A36" s="22" t="s">
        <v>14</v>
      </c>
      <c r="B36" s="33" t="s">
        <v>24</v>
      </c>
      <c r="C36" s="35">
        <f>[14]С1.1!E21</f>
        <v>0.112</v>
      </c>
      <c r="D36" s="145" t="str">
        <f>[14]С1.1!F21</f>
        <v xml:space="preserve">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PDF, таблица «Прогнозируемые изменения цен (тарифов) на продукцию (услуги) компаний инфраструктурного сектора на 2023-2025 гг.,%, показатель «Газ – индексация оптовых цен для всех категорий потребителей, исключая население»
</v>
      </c>
    </row>
    <row r="37" spans="1:4" ht="30" x14ac:dyDescent="0.2">
      <c r="A37" s="22" t="s">
        <v>16</v>
      </c>
      <c r="B37" s="36" t="s">
        <v>239</v>
      </c>
      <c r="C37" s="121">
        <f>[14]С1!F13</f>
        <v>156.1</v>
      </c>
      <c r="D37" s="145" t="s">
        <v>260</v>
      </c>
    </row>
    <row r="38" spans="1:4" x14ac:dyDescent="0.2">
      <c r="A38" s="22" t="s">
        <v>18</v>
      </c>
      <c r="B38" s="36" t="s">
        <v>26</v>
      </c>
      <c r="C38" s="38">
        <f>[14]С1!F16</f>
        <v>7000</v>
      </c>
      <c r="D38" s="147" t="s">
        <v>261</v>
      </c>
    </row>
    <row r="39" spans="1:4" ht="14.25" x14ac:dyDescent="0.2">
      <c r="A39" s="122" t="s">
        <v>27</v>
      </c>
      <c r="B39" s="39" t="s">
        <v>240</v>
      </c>
      <c r="C39" s="40">
        <f>[14]С1!F17</f>
        <v>1.1285714285714286</v>
      </c>
      <c r="D39" s="145"/>
    </row>
    <row r="40" spans="1:4" ht="15.75" x14ac:dyDescent="0.2">
      <c r="A40" s="123" t="s">
        <v>29</v>
      </c>
      <c r="B40" s="42" t="s">
        <v>30</v>
      </c>
      <c r="C40" s="40">
        <f>[14]С1!F20</f>
        <v>22.307053372799995</v>
      </c>
      <c r="D40" s="145"/>
    </row>
    <row r="41" spans="1:4" ht="15.75" x14ac:dyDescent="0.2">
      <c r="A41" s="123" t="s">
        <v>31</v>
      </c>
      <c r="B41" s="43" t="s">
        <v>32</v>
      </c>
      <c r="C41" s="40">
        <f>[14]С1!F21</f>
        <v>21.531904799999996</v>
      </c>
      <c r="D41" s="145"/>
    </row>
    <row r="42" spans="1:4" ht="14.25" x14ac:dyDescent="0.2">
      <c r="A42" s="123" t="s">
        <v>33</v>
      </c>
      <c r="B42" s="44" t="s">
        <v>34</v>
      </c>
      <c r="C42" s="40">
        <f>[14]С1!F22</f>
        <v>1.036</v>
      </c>
      <c r="D42" s="145" t="s">
        <v>262</v>
      </c>
    </row>
    <row r="43" spans="1:4" ht="53.25" thickBot="1" x14ac:dyDescent="0.25">
      <c r="A43" s="27" t="s">
        <v>35</v>
      </c>
      <c r="B43" s="45" t="s">
        <v>36</v>
      </c>
      <c r="C43" s="46" t="str">
        <f>[14]С1!F23</f>
        <v>-</v>
      </c>
      <c r="D43" s="148" t="s">
        <v>263</v>
      </c>
    </row>
    <row r="44" spans="1:4" ht="13.5" thickBot="1" x14ac:dyDescent="0.25">
      <c r="A44" s="47"/>
      <c r="B44" s="75"/>
      <c r="C44" s="15"/>
      <c r="D44" s="160"/>
    </row>
    <row r="45" spans="1:4" ht="30" customHeight="1" x14ac:dyDescent="0.2">
      <c r="A45" s="50" t="s">
        <v>37</v>
      </c>
      <c r="B45" s="165" t="s">
        <v>38</v>
      </c>
      <c r="C45" s="165"/>
      <c r="D45" s="170"/>
    </row>
    <row r="46" spans="1:4" ht="25.5" x14ac:dyDescent="0.2">
      <c r="A46" s="22" t="s">
        <v>39</v>
      </c>
      <c r="B46" s="36" t="s">
        <v>40</v>
      </c>
      <c r="C46" s="51" t="str">
        <f>[14]С2.1!E12</f>
        <v>V</v>
      </c>
      <c r="D46" s="145" t="s">
        <v>264</v>
      </c>
    </row>
    <row r="47" spans="1:4" ht="331.5" x14ac:dyDescent="0.2">
      <c r="A47" s="22" t="s">
        <v>41</v>
      </c>
      <c r="B47" s="33" t="s">
        <v>42</v>
      </c>
      <c r="C47" s="51" t="str">
        <f>[14]С2.1!E13</f>
        <v>6 и менее баллов</v>
      </c>
      <c r="D47" s="145" t="str">
        <f>[14]С2.1!F13</f>
        <v xml:space="preserve"> Приложение А (обязательное) "Общее сейсмическое районирование территории Российской Федерации ОСР-2015. Список населенных пунктов Российской Федерации, расположенных в сейсмических районах, с указанием расчетной сейсмической интенсивности в баллах шкалы MSK-64 для средних грунтовых условий и трех степеней сейсмической опасности - A (10%), B (5%), C (1%) в течение 50 лет" к своду правил "СП 14.13330.2018 Строительство в сейсмических районах. Актуализир. редакция СНиП II-7-81".</v>
      </c>
    </row>
    <row r="48" spans="1:4" ht="204" x14ac:dyDescent="0.2">
      <c r="A48" s="22" t="s">
        <v>43</v>
      </c>
      <c r="B48" s="33" t="s">
        <v>241</v>
      </c>
      <c r="C48" s="51" t="str">
        <f>[14]С2.1!E14</f>
        <v>от 200 до 500</v>
      </c>
      <c r="D48" s="145" t="str">
        <f>[14]С2.1!F14</f>
        <v>Карта Российской Федерации в масштабе, позволяющем определить расстояние на транспортировку основных средств котельной, определяется как расстояние от границы системы теплоснабжения до границы ближайшего административного центра субъекта РФ с железнодорожным сообщением</v>
      </c>
    </row>
    <row r="49" spans="1:4" ht="25.5" x14ac:dyDescent="0.2">
      <c r="A49" s="22" t="s">
        <v>45</v>
      </c>
      <c r="B49" s="33" t="s">
        <v>242</v>
      </c>
      <c r="C49" s="52" t="str">
        <f>[14]С2.1!E15</f>
        <v>нет</v>
      </c>
      <c r="D49" s="145">
        <f>[14]С2.1!F15</f>
        <v>0</v>
      </c>
    </row>
    <row r="50" spans="1:4" ht="30" x14ac:dyDescent="0.2">
      <c r="A50" s="22" t="s">
        <v>47</v>
      </c>
      <c r="B50" s="33" t="s">
        <v>48</v>
      </c>
      <c r="C50" s="34">
        <f>[14]С2!F18</f>
        <v>35106.652004551666</v>
      </c>
      <c r="D50" s="145"/>
    </row>
    <row r="51" spans="1:4" ht="30" x14ac:dyDescent="0.2">
      <c r="A51" s="22" t="s">
        <v>49</v>
      </c>
      <c r="B51" s="53" t="s">
        <v>50</v>
      </c>
      <c r="C51" s="34">
        <f>IF([14]С2!F19&gt;0,[14]С2!F19,[14]С2!F20)</f>
        <v>23441.524932855718</v>
      </c>
      <c r="D51" s="145"/>
    </row>
    <row r="52" spans="1:4" ht="140.25" x14ac:dyDescent="0.2">
      <c r="A52" s="22" t="s">
        <v>51</v>
      </c>
      <c r="B52" s="54" t="s">
        <v>52</v>
      </c>
      <c r="C52" s="34">
        <f>[14]С2.1!E20</f>
        <v>-38</v>
      </c>
      <c r="D52" s="145" t="str">
        <f>CONCATENATE([14]С2.1!F20,"  ",[14]С2.1!F21)</f>
        <v>Свод правил СП 131.13330.2020 "СНиП 23-01-99* Строительная климатология" "Температура воздуха наиболее холодной пятидневки с обеспеченностью 0,92"  Значение принято по ближайшему населенному пункту</v>
      </c>
    </row>
    <row r="53" spans="1:4" ht="25.5" x14ac:dyDescent="0.2">
      <c r="A53" s="22" t="s">
        <v>53</v>
      </c>
      <c r="B53" s="54" t="s">
        <v>54</v>
      </c>
      <c r="C53" s="34" t="str">
        <f>[14]С2.1!E23</f>
        <v>нет</v>
      </c>
      <c r="D53" s="150" t="str">
        <f>IF([14]С2.1!F23="","",[14]С2.1!F23)</f>
        <v/>
      </c>
    </row>
    <row r="54" spans="1:4" ht="38.25" x14ac:dyDescent="0.2">
      <c r="A54" s="22" t="s">
        <v>55</v>
      </c>
      <c r="B54" s="55" t="s">
        <v>56</v>
      </c>
      <c r="C54" s="34">
        <f>[14]С2.2!E10</f>
        <v>1287</v>
      </c>
      <c r="D54" s="145" t="s">
        <v>265</v>
      </c>
    </row>
    <row r="55" spans="1:4" ht="25.5" x14ac:dyDescent="0.2">
      <c r="A55" s="22" t="s">
        <v>57</v>
      </c>
      <c r="B55" s="56" t="s">
        <v>58</v>
      </c>
      <c r="C55" s="34">
        <f>[14]С2.2!E12</f>
        <v>5.97</v>
      </c>
      <c r="D55" s="145" t="s">
        <v>266</v>
      </c>
    </row>
    <row r="56" spans="1:4" ht="52.5" x14ac:dyDescent="0.2">
      <c r="A56" s="22" t="s">
        <v>59</v>
      </c>
      <c r="B56" s="57" t="s">
        <v>60</v>
      </c>
      <c r="C56" s="34">
        <f>[14]С2.2!E13</f>
        <v>1</v>
      </c>
      <c r="D56" s="147" t="s">
        <v>261</v>
      </c>
    </row>
    <row r="57" spans="1:4" ht="27.75" x14ac:dyDescent="0.2">
      <c r="A57" s="22" t="s">
        <v>61</v>
      </c>
      <c r="B57" s="56" t="s">
        <v>62</v>
      </c>
      <c r="C57" s="34">
        <f>[14]С2.2!E14</f>
        <v>12104</v>
      </c>
      <c r="D57" s="145" t="s">
        <v>265</v>
      </c>
    </row>
    <row r="58" spans="1:4" ht="89.25" x14ac:dyDescent="0.2">
      <c r="A58" s="22" t="s">
        <v>63</v>
      </c>
      <c r="B58" s="57" t="s">
        <v>64</v>
      </c>
      <c r="C58" s="35">
        <f>[14]С2.2!E15</f>
        <v>4.8000000000000001E-2</v>
      </c>
      <c r="D58" s="145" t="s">
        <v>267</v>
      </c>
    </row>
    <row r="59" spans="1:4" ht="89.25" x14ac:dyDescent="0.2">
      <c r="A59" s="22" t="s">
        <v>65</v>
      </c>
      <c r="B59" s="57" t="s">
        <v>66</v>
      </c>
      <c r="C59" s="124">
        <f>[14]С2.2!E16</f>
        <v>1</v>
      </c>
      <c r="D59" s="145" t="s">
        <v>268</v>
      </c>
    </row>
    <row r="60" spans="1:4" ht="15.75" x14ac:dyDescent="0.2">
      <c r="A60" s="22" t="s">
        <v>67</v>
      </c>
      <c r="B60" s="58" t="s">
        <v>68</v>
      </c>
      <c r="C60" s="34">
        <f>[14]С2!F21</f>
        <v>1</v>
      </c>
      <c r="D60" s="145" t="s">
        <v>269</v>
      </c>
    </row>
    <row r="61" spans="1:4" ht="30" x14ac:dyDescent="0.2">
      <c r="A61" s="59" t="s">
        <v>69</v>
      </c>
      <c r="B61" s="33" t="s">
        <v>243</v>
      </c>
      <c r="C61" s="34">
        <f>[14]С2!F13</f>
        <v>105136.23090983224</v>
      </c>
      <c r="D61" s="145"/>
    </row>
    <row r="62" spans="1:4" ht="30" x14ac:dyDescent="0.2">
      <c r="A62" s="59" t="s">
        <v>71</v>
      </c>
      <c r="B62" s="60" t="s">
        <v>244</v>
      </c>
      <c r="C62" s="34">
        <f>[14]С2!F14</f>
        <v>64899</v>
      </c>
      <c r="D62" s="145" t="s">
        <v>260</v>
      </c>
    </row>
    <row r="63" spans="1:4" ht="15.75" x14ac:dyDescent="0.2">
      <c r="A63" s="59" t="s">
        <v>73</v>
      </c>
      <c r="B63" s="60" t="s">
        <v>74</v>
      </c>
      <c r="C63" s="40">
        <f>[14]С2!F15</f>
        <v>1.071</v>
      </c>
      <c r="D63" s="145" t="s">
        <v>270</v>
      </c>
    </row>
    <row r="64" spans="1:4" ht="15.75" x14ac:dyDescent="0.2">
      <c r="A64" s="59" t="s">
        <v>75</v>
      </c>
      <c r="B64" s="60" t="s">
        <v>76</v>
      </c>
      <c r="C64" s="125">
        <f>[14]С2!F16</f>
        <v>1</v>
      </c>
      <c r="D64" s="145" t="s">
        <v>269</v>
      </c>
    </row>
    <row r="65" spans="1:4" ht="17.25" x14ac:dyDescent="0.2">
      <c r="A65" s="59" t="s">
        <v>77</v>
      </c>
      <c r="B65" s="60" t="s">
        <v>78</v>
      </c>
      <c r="C65" s="126">
        <f>[14]С2!F17</f>
        <v>1.01</v>
      </c>
      <c r="D65" s="145" t="s">
        <v>271</v>
      </c>
    </row>
    <row r="66" spans="1:4" s="63" customFormat="1" ht="14.25" x14ac:dyDescent="0.2">
      <c r="A66" s="59" t="s">
        <v>79</v>
      </c>
      <c r="B66" s="61" t="s">
        <v>80</v>
      </c>
      <c r="C66" s="62">
        <f>[14]С2!F35</f>
        <v>10</v>
      </c>
      <c r="D66" s="145" t="s">
        <v>272</v>
      </c>
    </row>
    <row r="67" spans="1:4" ht="30" x14ac:dyDescent="0.2">
      <c r="A67" s="59" t="s">
        <v>81</v>
      </c>
      <c r="B67" s="64" t="s">
        <v>82</v>
      </c>
      <c r="C67" s="34">
        <f>[14]С2!F28</f>
        <v>331.04604307653443</v>
      </c>
      <c r="D67" s="145"/>
    </row>
    <row r="68" spans="1:4" ht="242.25" x14ac:dyDescent="0.2">
      <c r="A68" s="59" t="s">
        <v>83</v>
      </c>
      <c r="B68" s="53" t="s">
        <v>245</v>
      </c>
      <c r="C68" s="40">
        <f>[14]С2!F29</f>
        <v>0.44209422600000003</v>
      </c>
      <c r="D68" s="145" t="str">
        <f>[14]С2.4!F12</f>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
    </row>
    <row r="69" spans="1:4" ht="17.25" x14ac:dyDescent="0.2">
      <c r="A69" s="59" t="s">
        <v>85</v>
      </c>
      <c r="B69" s="58" t="s">
        <v>246</v>
      </c>
      <c r="C69" s="62">
        <f>[14]С2!F30</f>
        <v>500</v>
      </c>
      <c r="D69" s="145" t="s">
        <v>260</v>
      </c>
    </row>
    <row r="70" spans="1:4" ht="42.75" x14ac:dyDescent="0.2">
      <c r="A70" s="59" t="s">
        <v>87</v>
      </c>
      <c r="B70" s="33" t="s">
        <v>247</v>
      </c>
      <c r="C70" s="34">
        <f>[14]С2!F22</f>
        <v>39638.324046481182</v>
      </c>
      <c r="D70" s="145"/>
    </row>
    <row r="71" spans="1:4" ht="30" x14ac:dyDescent="0.2">
      <c r="A71" s="59" t="s">
        <v>89</v>
      </c>
      <c r="B71" s="60" t="s">
        <v>248</v>
      </c>
      <c r="C71" s="34">
        <f>[14]С2!F23</f>
        <v>21</v>
      </c>
      <c r="D71" s="145" t="s">
        <v>273</v>
      </c>
    </row>
    <row r="72" spans="1:4" ht="30" x14ac:dyDescent="0.2">
      <c r="A72" s="59" t="s">
        <v>91</v>
      </c>
      <c r="B72" s="53" t="s">
        <v>92</v>
      </c>
      <c r="C72" s="34">
        <f>[14]С2.1!E28</f>
        <v>14036.09995</v>
      </c>
      <c r="D72" s="145"/>
    </row>
    <row r="73" spans="1:4" ht="38.25" x14ac:dyDescent="0.2">
      <c r="A73" s="59" t="s">
        <v>93</v>
      </c>
      <c r="B73" s="65" t="s">
        <v>94</v>
      </c>
      <c r="C73" s="52">
        <f>[14]С2.3!E21</f>
        <v>0</v>
      </c>
      <c r="D73" s="145">
        <f>[14]С2.3!F21</f>
        <v>0</v>
      </c>
    </row>
    <row r="74" spans="1:4" ht="25.5" x14ac:dyDescent="0.2">
      <c r="A74" s="59" t="s">
        <v>95</v>
      </c>
      <c r="B74" s="66" t="s">
        <v>96</v>
      </c>
      <c r="C74" s="67">
        <f>[14]С2.3!E11</f>
        <v>5.45</v>
      </c>
      <c r="D74" s="145" t="s">
        <v>274</v>
      </c>
    </row>
    <row r="75" spans="1:4" ht="25.5" x14ac:dyDescent="0.2">
      <c r="A75" s="59" t="s">
        <v>97</v>
      </c>
      <c r="B75" s="66" t="s">
        <v>98</v>
      </c>
      <c r="C75" s="62">
        <f>[14]С2.3!E13</f>
        <v>300</v>
      </c>
      <c r="D75" s="145" t="s">
        <v>274</v>
      </c>
    </row>
    <row r="76" spans="1:4" ht="25.5" x14ac:dyDescent="0.2">
      <c r="A76" s="59" t="s">
        <v>99</v>
      </c>
      <c r="B76" s="65" t="s">
        <v>100</v>
      </c>
      <c r="C76" s="68">
        <f>IF([14]С2.3!E22&gt;0,[14]С2.3!E22,[14]С2.3!E14)</f>
        <v>61211</v>
      </c>
      <c r="D76" s="145" t="str">
        <f>IF(C76=[14]С2.3!E14,"Таблица ТЭП (IV)",[14]С2.3!F22)</f>
        <v>Таблица ТЭП (IV)</v>
      </c>
    </row>
    <row r="77" spans="1:4" ht="38.25" x14ac:dyDescent="0.2">
      <c r="A77" s="59" t="s">
        <v>101</v>
      </c>
      <c r="B77" s="65" t="s">
        <v>102</v>
      </c>
      <c r="C77" s="68">
        <f>IF([14]С2.3!E23&gt;0,[14]С2.3!E23,[14]С2.3!E15)</f>
        <v>45675</v>
      </c>
      <c r="D77" s="145" t="str">
        <f>IF(C77=[14]С2.3!E15,"Таблица ТЭП (IV)",[14]С2.3!F23)</f>
        <v>Таблица ТЭП (IV)</v>
      </c>
    </row>
    <row r="78" spans="1:4" ht="30" x14ac:dyDescent="0.2">
      <c r="A78" s="59" t="s">
        <v>103</v>
      </c>
      <c r="B78" s="53" t="s">
        <v>104</v>
      </c>
      <c r="C78" s="34">
        <f>[14]С2.1!E29</f>
        <v>9518.3274000000001</v>
      </c>
      <c r="D78" s="145"/>
    </row>
    <row r="79" spans="1:4" ht="38.25" x14ac:dyDescent="0.2">
      <c r="A79" s="59" t="s">
        <v>105</v>
      </c>
      <c r="B79" s="65" t="s">
        <v>106</v>
      </c>
      <c r="C79" s="52">
        <f>[14]С2.3!E25</f>
        <v>0</v>
      </c>
      <c r="D79" s="145">
        <f>[14]С2.3!F25</f>
        <v>0</v>
      </c>
    </row>
    <row r="80" spans="1:4" ht="25.5" x14ac:dyDescent="0.2">
      <c r="A80" s="59" t="s">
        <v>107</v>
      </c>
      <c r="B80" s="66" t="s">
        <v>108</v>
      </c>
      <c r="C80" s="67">
        <f>[14]С2.3!E12</f>
        <v>0.2</v>
      </c>
      <c r="D80" s="145" t="s">
        <v>274</v>
      </c>
    </row>
    <row r="81" spans="1:4" ht="25.5" x14ac:dyDescent="0.2">
      <c r="A81" s="59" t="s">
        <v>109</v>
      </c>
      <c r="B81" s="66" t="s">
        <v>98</v>
      </c>
      <c r="C81" s="62">
        <f>[14]С2.3!E13</f>
        <v>300</v>
      </c>
      <c r="D81" s="145" t="s">
        <v>274</v>
      </c>
    </row>
    <row r="82" spans="1:4" ht="25.5" x14ac:dyDescent="0.2">
      <c r="A82" s="59" t="s">
        <v>110</v>
      </c>
      <c r="B82" s="69" t="s">
        <v>111</v>
      </c>
      <c r="C82" s="68">
        <f>IF([14]С2.3!E26&gt;0,[14]С2.3!E26,[14]С2.3!E16)</f>
        <v>65637</v>
      </c>
      <c r="D82" s="145" t="str">
        <f>IF(C82=[14]С2.3!E16,"Таблица ТЭП (IV)",[14]С2.3!F26)</f>
        <v>Таблица ТЭП (IV)</v>
      </c>
    </row>
    <row r="83" spans="1:4" ht="38.25" x14ac:dyDescent="0.2">
      <c r="A83" s="59" t="s">
        <v>112</v>
      </c>
      <c r="B83" s="69" t="s">
        <v>113</v>
      </c>
      <c r="C83" s="68">
        <f>IF([14]С2.3!E27&gt;0,[14]С2.3!E27,[14]С2.3!E17)</f>
        <v>31684</v>
      </c>
      <c r="D83" s="145" t="str">
        <f>IF(C83=[14]С2.3!E17,"Таблица ТЭП (IV)",[14]С2.3!F27)</f>
        <v>Таблица ТЭП (IV)</v>
      </c>
    </row>
    <row r="84" spans="1:4" ht="30" x14ac:dyDescent="0.2">
      <c r="A84" s="59" t="s">
        <v>249</v>
      </c>
      <c r="B84" s="60" t="s">
        <v>250</v>
      </c>
      <c r="C84" s="68">
        <f>IF([14]С2.1!E19&gt;0,[14]С2.1!E19,[14]С2!F26)</f>
        <v>2892</v>
      </c>
      <c r="D84" s="145" t="str">
        <f>IF([14]С2.1!E19&gt;0,[14]С2.1!F19,"Таблица ТЭП (V)")</f>
        <v>Таблица ТЭП (V)</v>
      </c>
    </row>
    <row r="85" spans="1:4" ht="17.25" x14ac:dyDescent="0.2">
      <c r="A85" s="59" t="s">
        <v>114</v>
      </c>
      <c r="B85" s="33" t="s">
        <v>115</v>
      </c>
      <c r="C85" s="35">
        <f>[14]С2!F31</f>
        <v>9.5962865259740182E-2</v>
      </c>
      <c r="D85" s="151"/>
    </row>
    <row r="86" spans="1:4" ht="38.25" x14ac:dyDescent="0.2">
      <c r="A86" s="59" t="s">
        <v>116</v>
      </c>
      <c r="B86" s="53" t="s">
        <v>117</v>
      </c>
      <c r="C86" s="70">
        <f>[14]С2!F32</f>
        <v>8.4029304029304031E-2</v>
      </c>
      <c r="D86" s="145" t="str">
        <f>[14]С2.6!G11</f>
        <v>Информация с официального сайта Банка России</v>
      </c>
    </row>
    <row r="87" spans="1:4" ht="17.25" x14ac:dyDescent="0.2">
      <c r="A87" s="59" t="s">
        <v>118</v>
      </c>
      <c r="B87" s="71" t="s">
        <v>119</v>
      </c>
      <c r="C87" s="35">
        <f>[14]С2!F33</f>
        <v>0.13880000000000001</v>
      </c>
      <c r="D87" s="145" t="s">
        <v>272</v>
      </c>
    </row>
    <row r="88" spans="1:4" s="63" customFormat="1" ht="18" thickBot="1" x14ac:dyDescent="0.25">
      <c r="A88" s="72" t="s">
        <v>120</v>
      </c>
      <c r="B88" s="73" t="s">
        <v>121</v>
      </c>
      <c r="C88" s="74">
        <f>[14]С2!F34</f>
        <v>0.12640000000000001</v>
      </c>
      <c r="D88" s="148" t="s">
        <v>272</v>
      </c>
    </row>
    <row r="89" spans="1:4" ht="13.5" thickBot="1" x14ac:dyDescent="0.25">
      <c r="A89" s="47"/>
      <c r="B89" s="75"/>
      <c r="C89" s="15"/>
      <c r="D89" s="160"/>
    </row>
    <row r="90" spans="1:4" s="63" customFormat="1" ht="30" customHeight="1" x14ac:dyDescent="0.2">
      <c r="A90" s="76" t="s">
        <v>122</v>
      </c>
      <c r="B90" s="165" t="s">
        <v>123</v>
      </c>
      <c r="C90" s="165"/>
      <c r="D90" s="170"/>
    </row>
    <row r="91" spans="1:4" s="63" customFormat="1" ht="30" x14ac:dyDescent="0.2">
      <c r="A91" s="77" t="s">
        <v>124</v>
      </c>
      <c r="B91" s="33" t="s">
        <v>125</v>
      </c>
      <c r="C91" s="34">
        <f>[14]С3!F14</f>
        <v>4207.4782939208517</v>
      </c>
      <c r="D91" s="145"/>
    </row>
    <row r="92" spans="1:4" s="63" customFormat="1" ht="42.75" x14ac:dyDescent="0.2">
      <c r="A92" s="77" t="s">
        <v>126</v>
      </c>
      <c r="B92" s="53" t="s">
        <v>127</v>
      </c>
      <c r="C92" s="78">
        <f>[14]С3!F15</f>
        <v>0.2</v>
      </c>
      <c r="D92" s="145" t="str">
        <f>[14]С3.1!F12</f>
        <v xml:space="preserve">Налоговый кодекс Российской Федерации </v>
      </c>
    </row>
    <row r="93" spans="1:4" s="63" customFormat="1" ht="14.25" x14ac:dyDescent="0.2">
      <c r="A93" s="77" t="s">
        <v>128</v>
      </c>
      <c r="B93" s="79" t="s">
        <v>129</v>
      </c>
      <c r="C93" s="62">
        <f>[14]С3!F18</f>
        <v>15</v>
      </c>
      <c r="D93" s="145" t="s">
        <v>272</v>
      </c>
    </row>
    <row r="94" spans="1:4" s="63" customFormat="1" ht="17.25" x14ac:dyDescent="0.2">
      <c r="A94" s="77" t="s">
        <v>130</v>
      </c>
      <c r="B94" s="33" t="s">
        <v>131</v>
      </c>
      <c r="C94" s="34">
        <f>[14]С3!F19</f>
        <v>2638.2577020926874</v>
      </c>
      <c r="D94" s="145"/>
    </row>
    <row r="95" spans="1:4" s="63" customFormat="1" ht="55.5" x14ac:dyDescent="0.2">
      <c r="A95" s="77" t="s">
        <v>132</v>
      </c>
      <c r="B95" s="53" t="s">
        <v>133</v>
      </c>
      <c r="C95" s="80">
        <f>[14]С3!F20</f>
        <v>2.1999999999999999E-2</v>
      </c>
      <c r="D95" s="145" t="str">
        <f>[14]С3.1!F13</f>
        <v xml:space="preserve">Налоговый кодекс Российской Федерации </v>
      </c>
    </row>
    <row r="96" spans="1:4" s="63" customFormat="1" ht="14.25" x14ac:dyDescent="0.2">
      <c r="A96" s="77" t="s">
        <v>134</v>
      </c>
      <c r="B96" s="58" t="s">
        <v>80</v>
      </c>
      <c r="C96" s="62">
        <f>[14]С3!F21</f>
        <v>10</v>
      </c>
      <c r="D96" s="145" t="s">
        <v>272</v>
      </c>
    </row>
    <row r="97" spans="1:4" s="63" customFormat="1" ht="17.25" x14ac:dyDescent="0.2">
      <c r="A97" s="77" t="s">
        <v>135</v>
      </c>
      <c r="B97" s="33" t="s">
        <v>136</v>
      </c>
      <c r="C97" s="34">
        <f>[14]С3!F22</f>
        <v>0.99313812922960332</v>
      </c>
      <c r="D97" s="145"/>
    </row>
    <row r="98" spans="1:4" s="63" customFormat="1" ht="55.5" x14ac:dyDescent="0.2">
      <c r="A98" s="77" t="s">
        <v>137</v>
      </c>
      <c r="B98" s="53" t="s">
        <v>138</v>
      </c>
      <c r="C98" s="80">
        <f>[14]С3!F23</f>
        <v>3.0000000000000001E-3</v>
      </c>
      <c r="D98" s="145">
        <f>[14]С3.1!F14</f>
        <v>0</v>
      </c>
    </row>
    <row r="99" spans="1:4" s="63" customFormat="1" ht="30.75" thickBot="1" x14ac:dyDescent="0.25">
      <c r="A99" s="81" t="s">
        <v>139</v>
      </c>
      <c r="B99" s="82" t="s">
        <v>82</v>
      </c>
      <c r="C99" s="83">
        <f>[14]С3!F24</f>
        <v>331.04604307653443</v>
      </c>
      <c r="D99" s="148"/>
    </row>
    <row r="100" spans="1:4" ht="13.5" thickBot="1" x14ac:dyDescent="0.25">
      <c r="A100" s="47"/>
      <c r="B100" s="75"/>
      <c r="C100" s="15"/>
      <c r="D100" s="160"/>
    </row>
    <row r="101" spans="1:4" ht="30" customHeight="1" x14ac:dyDescent="0.2">
      <c r="A101" s="84" t="s">
        <v>141</v>
      </c>
      <c r="B101" s="165" t="s">
        <v>142</v>
      </c>
      <c r="C101" s="165"/>
      <c r="D101" s="170"/>
    </row>
    <row r="102" spans="1:4" ht="30" x14ac:dyDescent="0.2">
      <c r="A102" s="59" t="s">
        <v>143</v>
      </c>
      <c r="B102" s="33" t="s">
        <v>251</v>
      </c>
      <c r="C102" s="34">
        <f>[14]С4!F16</f>
        <v>832.33500000000004</v>
      </c>
      <c r="D102" s="145"/>
    </row>
    <row r="103" spans="1:4" ht="30" x14ac:dyDescent="0.2">
      <c r="A103" s="59" t="s">
        <v>145</v>
      </c>
      <c r="B103" s="58" t="s">
        <v>252</v>
      </c>
      <c r="C103" s="34">
        <f>[14]С4!F17</f>
        <v>43385</v>
      </c>
      <c r="D103" s="145" t="s">
        <v>260</v>
      </c>
    </row>
    <row r="104" spans="1:4" ht="17.25" x14ac:dyDescent="0.2">
      <c r="A104" s="59" t="s">
        <v>147</v>
      </c>
      <c r="B104" s="58" t="s">
        <v>148</v>
      </c>
      <c r="C104" s="40">
        <f>[14]С4!F18</f>
        <v>1.4999999999999999E-2</v>
      </c>
      <c r="D104" s="145" t="s">
        <v>260</v>
      </c>
    </row>
    <row r="105" spans="1:4" ht="30" x14ac:dyDescent="0.2">
      <c r="A105" s="59" t="s">
        <v>149</v>
      </c>
      <c r="B105" s="58" t="s">
        <v>150</v>
      </c>
      <c r="C105" s="34">
        <f>[14]С4!F19</f>
        <v>12104</v>
      </c>
      <c r="D105" s="145" t="s">
        <v>275</v>
      </c>
    </row>
    <row r="106" spans="1:4" ht="31.5" x14ac:dyDescent="0.2">
      <c r="A106" s="59" t="s">
        <v>151</v>
      </c>
      <c r="B106" s="58" t="s">
        <v>152</v>
      </c>
      <c r="C106" s="40">
        <f>[14]С4!F20</f>
        <v>1.4999999999999999E-2</v>
      </c>
      <c r="D106" s="145" t="s">
        <v>275</v>
      </c>
    </row>
    <row r="107" spans="1:4" ht="30" x14ac:dyDescent="0.2">
      <c r="A107" s="59" t="s">
        <v>153</v>
      </c>
      <c r="B107" s="33" t="s">
        <v>253</v>
      </c>
      <c r="C107" s="34">
        <f>[14]С4!F21</f>
        <v>1221.9019409821399</v>
      </c>
      <c r="D107" s="145"/>
    </row>
    <row r="108" spans="1:4" ht="45.6" customHeight="1" x14ac:dyDescent="0.2">
      <c r="A108" s="59" t="s">
        <v>155</v>
      </c>
      <c r="B108" s="53" t="s">
        <v>156</v>
      </c>
      <c r="C108" s="85" t="str">
        <f>IF([14]С4.2!F8="да",[14]С4.2!D21,[14]С4.2!D15)</f>
        <v>АО "Новосибирскэнергосбыт"</v>
      </c>
      <c r="D108" s="145"/>
    </row>
    <row r="109" spans="1:4" ht="68.25" customHeight="1" x14ac:dyDescent="0.2">
      <c r="A109" s="59" t="s">
        <v>157</v>
      </c>
      <c r="B109" s="53" t="s">
        <v>158</v>
      </c>
      <c r="C109" s="34">
        <f>[14]С4!F22</f>
        <v>3.6112641666666665</v>
      </c>
      <c r="D109" s="145" t="str">
        <f>IF([14]С4.2!F8="да",[14]С4.2!E21,[14]С4.2!E15)</f>
        <v>https://www.nskes.ru/dlya-biznesa/tarify-i-oplata/nereguliruemye-tseny/</v>
      </c>
    </row>
    <row r="110" spans="1:4" ht="30" x14ac:dyDescent="0.2">
      <c r="A110" s="59" t="s">
        <v>159</v>
      </c>
      <c r="B110" s="58" t="s">
        <v>254</v>
      </c>
      <c r="C110" s="62">
        <f>[14]С4!F23</f>
        <v>110</v>
      </c>
      <c r="D110" s="145" t="s">
        <v>273</v>
      </c>
    </row>
    <row r="111" spans="1:4" ht="14.25" x14ac:dyDescent="0.2">
      <c r="A111" s="59" t="s">
        <v>161</v>
      </c>
      <c r="B111" s="53" t="s">
        <v>162</v>
      </c>
      <c r="C111" s="34">
        <f>[14]С4!F24</f>
        <v>8497.1999999999989</v>
      </c>
      <c r="D111" s="145" t="s">
        <v>260</v>
      </c>
    </row>
    <row r="112" spans="1:4" ht="14.25" x14ac:dyDescent="0.2">
      <c r="A112" s="59" t="s">
        <v>163</v>
      </c>
      <c r="B112" s="58" t="s">
        <v>164</v>
      </c>
      <c r="C112" s="40">
        <f>[14]С4!F25</f>
        <v>0.36199999999999999</v>
      </c>
      <c r="D112" s="145" t="s">
        <v>276</v>
      </c>
    </row>
    <row r="113" spans="1:4" ht="17.25" x14ac:dyDescent="0.2">
      <c r="A113" s="59" t="s">
        <v>165</v>
      </c>
      <c r="B113" s="33" t="s">
        <v>166</v>
      </c>
      <c r="C113" s="34">
        <f>[14]С4!F26</f>
        <v>40.123830000000005</v>
      </c>
      <c r="D113" s="145"/>
    </row>
    <row r="114" spans="1:4" ht="25.5" x14ac:dyDescent="0.2">
      <c r="A114" s="59" t="s">
        <v>167</v>
      </c>
      <c r="B114" s="53" t="s">
        <v>94</v>
      </c>
      <c r="C114" s="85">
        <f>[14]С4.3!E16</f>
        <v>0</v>
      </c>
      <c r="D114" s="145">
        <f>[14]С4.3!F16</f>
        <v>0</v>
      </c>
    </row>
    <row r="115" spans="1:4" ht="25.5" x14ac:dyDescent="0.2">
      <c r="A115" s="59" t="s">
        <v>168</v>
      </c>
      <c r="B115" s="53" t="s">
        <v>169</v>
      </c>
      <c r="C115" s="34">
        <f>[14]С4.3!E17</f>
        <v>18.059999999999999</v>
      </c>
      <c r="D115" s="150">
        <f>[14]С4.3!F17</f>
        <v>0</v>
      </c>
    </row>
    <row r="116" spans="1:4" ht="38.25" x14ac:dyDescent="0.2">
      <c r="A116" s="59" t="s">
        <v>170</v>
      </c>
      <c r="B116" s="53" t="s">
        <v>106</v>
      </c>
      <c r="C116" s="85">
        <f>[14]С4.3!E18</f>
        <v>0</v>
      </c>
      <c r="D116" s="145">
        <f>[14]С4.3!F18</f>
        <v>0</v>
      </c>
    </row>
    <row r="117" spans="1:4" x14ac:dyDescent="0.2">
      <c r="A117" s="59" t="s">
        <v>171</v>
      </c>
      <c r="B117" s="53" t="s">
        <v>172</v>
      </c>
      <c r="C117" s="34">
        <f>[14]С4.3!E19</f>
        <v>71.67</v>
      </c>
      <c r="D117" s="150">
        <f>[14]С4.3!F19</f>
        <v>0</v>
      </c>
    </row>
    <row r="118" spans="1:4" x14ac:dyDescent="0.2">
      <c r="A118" s="59" t="s">
        <v>173</v>
      </c>
      <c r="B118" s="58" t="s">
        <v>174</v>
      </c>
      <c r="C118" s="62">
        <f>[14]С4.3!E11</f>
        <v>1871</v>
      </c>
      <c r="D118" s="145" t="s">
        <v>260</v>
      </c>
    </row>
    <row r="119" spans="1:4" x14ac:dyDescent="0.2">
      <c r="A119" s="59" t="s">
        <v>175</v>
      </c>
      <c r="B119" s="58" t="s">
        <v>176</v>
      </c>
      <c r="C119" s="52">
        <f>[14]С4.3!E12</f>
        <v>61</v>
      </c>
      <c r="D119" s="145" t="s">
        <v>260</v>
      </c>
    </row>
    <row r="120" spans="1:4" x14ac:dyDescent="0.2">
      <c r="A120" s="59" t="s">
        <v>177</v>
      </c>
      <c r="B120" s="58" t="s">
        <v>178</v>
      </c>
      <c r="C120" s="52">
        <f>[14]С4.3!E13</f>
        <v>73</v>
      </c>
      <c r="D120" s="145" t="s">
        <v>260</v>
      </c>
    </row>
    <row r="121" spans="1:4" ht="30" x14ac:dyDescent="0.2">
      <c r="A121" s="59" t="s">
        <v>179</v>
      </c>
      <c r="B121" s="33" t="s">
        <v>255</v>
      </c>
      <c r="C121" s="34">
        <f>[14]С4!F27</f>
        <v>904.62444244124072</v>
      </c>
      <c r="D121" s="145"/>
    </row>
    <row r="122" spans="1:4" ht="25.5" x14ac:dyDescent="0.2">
      <c r="A122" s="59" t="s">
        <v>181</v>
      </c>
      <c r="B122" s="53" t="s">
        <v>256</v>
      </c>
      <c r="C122" s="34">
        <f>[14]С4!F28</f>
        <v>694.79603874135228</v>
      </c>
      <c r="D122" s="150"/>
    </row>
    <row r="123" spans="1:4" ht="42.75" x14ac:dyDescent="0.2">
      <c r="A123" s="59" t="s">
        <v>183</v>
      </c>
      <c r="B123" s="53" t="s">
        <v>184</v>
      </c>
      <c r="C123" s="34">
        <f>[14]С4!F29</f>
        <v>209.82840369988838</v>
      </c>
      <c r="D123" s="145"/>
    </row>
    <row r="124" spans="1:4" ht="30.75" thickBot="1" x14ac:dyDescent="0.25">
      <c r="A124" s="72" t="s">
        <v>185</v>
      </c>
      <c r="B124" s="90" t="s">
        <v>186</v>
      </c>
      <c r="C124" s="83">
        <f>[14]С4!F30</f>
        <v>475.40681839948314</v>
      </c>
      <c r="D124" s="148"/>
    </row>
    <row r="125" spans="1:4" s="89" customFormat="1" ht="13.5" thickBot="1" x14ac:dyDescent="0.25">
      <c r="A125" s="47"/>
      <c r="B125" s="75"/>
      <c r="C125" s="15"/>
      <c r="D125" s="160"/>
    </row>
    <row r="126" spans="1:4" s="63" customFormat="1" ht="30" customHeight="1" x14ac:dyDescent="0.2">
      <c r="A126" s="76" t="s">
        <v>195</v>
      </c>
      <c r="B126" s="165" t="s">
        <v>196</v>
      </c>
      <c r="C126" s="165"/>
      <c r="D126" s="170"/>
    </row>
    <row r="127" spans="1:4" ht="30.6" customHeight="1" thickBot="1" x14ac:dyDescent="0.25">
      <c r="A127" s="27" t="s">
        <v>197</v>
      </c>
      <c r="B127" s="90" t="s">
        <v>198</v>
      </c>
      <c r="C127" s="83">
        <f>[14]С5!F17</f>
        <v>0.02</v>
      </c>
      <c r="D127" s="155" t="s">
        <v>261</v>
      </c>
    </row>
    <row r="128" spans="1:4" s="89" customFormat="1" ht="13.5" thickBot="1" x14ac:dyDescent="0.25">
      <c r="A128" s="47"/>
      <c r="B128" s="75"/>
      <c r="C128" s="15"/>
      <c r="D128" s="160"/>
    </row>
    <row r="129" spans="1:5" ht="42.75" customHeight="1" x14ac:dyDescent="0.2">
      <c r="A129" s="84" t="s">
        <v>199</v>
      </c>
      <c r="B129" s="165" t="s">
        <v>200</v>
      </c>
      <c r="C129" s="165"/>
      <c r="D129" s="170"/>
    </row>
    <row r="130" spans="1:5" ht="68.25" x14ac:dyDescent="0.2">
      <c r="A130" s="59" t="s">
        <v>201</v>
      </c>
      <c r="B130" s="91" t="s">
        <v>202</v>
      </c>
      <c r="C130" s="34" t="str">
        <f>IF([14]С6.1!E11="нет",[14]С6!F13,"")</f>
        <v/>
      </c>
      <c r="D130" s="145"/>
    </row>
    <row r="131" spans="1:5" ht="42.75" x14ac:dyDescent="0.2">
      <c r="A131" s="59" t="s">
        <v>204</v>
      </c>
      <c r="B131" s="86" t="s">
        <v>205</v>
      </c>
      <c r="C131" s="92" t="str">
        <f>IF([14]С6.1!E12="нет",[14]С6.1!E17,"")</f>
        <v/>
      </c>
      <c r="D131" s="145" t="str">
        <f>IF([14]С6.1!E12="нет",[14]С6.1!F17,"")</f>
        <v/>
      </c>
    </row>
    <row r="132" spans="1:5" ht="68.25" x14ac:dyDescent="0.2">
      <c r="A132" s="59" t="s">
        <v>206</v>
      </c>
      <c r="B132" s="91" t="s">
        <v>207</v>
      </c>
      <c r="C132" s="127" t="str">
        <f>IF([14]С6.1!E18="нет",[14]С6!F19,"")</f>
        <v/>
      </c>
      <c r="D132" s="147"/>
    </row>
    <row r="133" spans="1:5" ht="55.5" x14ac:dyDescent="0.2">
      <c r="A133" s="59" t="s">
        <v>208</v>
      </c>
      <c r="B133" s="86" t="s">
        <v>209</v>
      </c>
      <c r="C133" s="35" t="str">
        <f>IF([14]С6.1!E18="нет",[14]С6.1!E19,"")</f>
        <v/>
      </c>
      <c r="D133" s="145" t="str">
        <f>IF([14]С6.1!E18="нет",[14]С6.1!F19,"")</f>
        <v/>
      </c>
    </row>
    <row r="134" spans="1:5" ht="61.5" customHeight="1" x14ac:dyDescent="0.2">
      <c r="A134" s="59" t="s">
        <v>210</v>
      </c>
      <c r="B134" s="86" t="s">
        <v>257</v>
      </c>
      <c r="C134" s="35" t="str">
        <f>IF([14]С6.1!E18="нет",[14]С6.1!E22,"")</f>
        <v/>
      </c>
      <c r="D134" s="145" t="str">
        <f>IF([14]С6.1!E18="нет",[14]С6.1!F22,"")</f>
        <v/>
      </c>
    </row>
    <row r="135" spans="1:5" ht="69" thickBot="1" x14ac:dyDescent="0.25">
      <c r="A135" s="72" t="s">
        <v>212</v>
      </c>
      <c r="B135" s="98" t="s">
        <v>213</v>
      </c>
      <c r="C135" s="74" t="str">
        <f>IF([14]С6.1!E18="нет",[14]С6.1!E23,"")</f>
        <v/>
      </c>
      <c r="D135" s="148" t="str">
        <f>IF([14]С6.1!E18="нет",[14]С6.1!F23,"")</f>
        <v/>
      </c>
    </row>
    <row r="136" spans="1:5" s="89" customFormat="1" ht="13.5" thickBot="1" x14ac:dyDescent="0.25">
      <c r="A136" s="47"/>
      <c r="B136" s="75"/>
      <c r="C136" s="15"/>
      <c r="D136" s="160"/>
    </row>
    <row r="137" spans="1:5" ht="15.75" x14ac:dyDescent="0.2">
      <c r="A137" s="84" t="s">
        <v>214</v>
      </c>
      <c r="B137" s="99" t="s">
        <v>215</v>
      </c>
      <c r="C137" s="100">
        <f>[14]С2!F39</f>
        <v>21.531904799999996</v>
      </c>
      <c r="D137" s="157"/>
    </row>
    <row r="138" spans="1:5" ht="14.25" x14ac:dyDescent="0.2">
      <c r="A138" s="59" t="s">
        <v>216</v>
      </c>
      <c r="B138" s="58" t="s">
        <v>217</v>
      </c>
      <c r="C138" s="34">
        <f>[14]С2!F40</f>
        <v>7</v>
      </c>
      <c r="D138" s="145" t="s">
        <v>260</v>
      </c>
    </row>
    <row r="139" spans="1:5" ht="17.25" x14ac:dyDescent="0.2">
      <c r="A139" s="59" t="s">
        <v>218</v>
      </c>
      <c r="B139" s="58" t="s">
        <v>219</v>
      </c>
      <c r="C139" s="34">
        <f>[14]С2!F42</f>
        <v>0.97</v>
      </c>
      <c r="D139" s="145" t="s">
        <v>260</v>
      </c>
    </row>
    <row r="140" spans="1:5" ht="15" thickBot="1" x14ac:dyDescent="0.25">
      <c r="A140" s="72" t="s">
        <v>220</v>
      </c>
      <c r="B140" s="73" t="s">
        <v>221</v>
      </c>
      <c r="C140" s="46">
        <f>[14]С2!F44</f>
        <v>0.36199999999999999</v>
      </c>
      <c r="D140" s="148" t="s">
        <v>276</v>
      </c>
    </row>
    <row r="141" spans="1:5" s="89" customFormat="1" ht="13.5" thickBot="1" x14ac:dyDescent="0.25">
      <c r="A141" s="47"/>
      <c r="B141" s="75"/>
      <c r="C141" s="15"/>
      <c r="D141" s="160"/>
    </row>
    <row r="142" spans="1:5" ht="409.5" x14ac:dyDescent="0.2">
      <c r="A142" s="84" t="s">
        <v>222</v>
      </c>
      <c r="B142" s="103" t="s">
        <v>258</v>
      </c>
      <c r="C142" s="128">
        <f>[14]С2!F37</f>
        <v>1.4976266307379205</v>
      </c>
      <c r="D142" s="157" t="str">
        <f>[14]С2.5!D15</f>
        <v>на 2020: Прогноз социально-экономического развития Российской Федерации на 2022 год и на плановый период 2023 и 2024 годов (размещен на официальном сайте Минэкономразвития России 30.09.2021): файл в формате Microsoft Excel «12. Дефляторы базовый», таблица «Прогноз индексов цен производителей и индексов-дефляторов по видам экономической деятельности, в % г/г (Базовый вариант)», отрасль «Промышленность (BСDE)», (показатель «ИЦП»)
на 2021-2023 годы: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отрасль «Промышленность (BСDE)», (показатель «ИЦП»)</v>
      </c>
      <c r="E142" s="89"/>
    </row>
    <row r="143" spans="1:5" ht="17.25" customHeight="1" thickBot="1" x14ac:dyDescent="0.25">
      <c r="A143" s="72" t="s">
        <v>224</v>
      </c>
      <c r="B143" s="161" t="s">
        <v>225</v>
      </c>
      <c r="C143" s="161"/>
      <c r="D143" s="168"/>
      <c r="E143" s="89"/>
    </row>
    <row r="144" spans="1:5" x14ac:dyDescent="0.2">
      <c r="A144" s="105"/>
      <c r="B144" s="129" t="s">
        <v>226</v>
      </c>
      <c r="C144" s="130"/>
      <c r="D144" s="9"/>
    </row>
    <row r="145" spans="1:4" x14ac:dyDescent="0.2">
      <c r="A145" s="105"/>
      <c r="B145" s="131">
        <v>2020</v>
      </c>
      <c r="C145" s="132">
        <f>[14]С2.5!$E$11</f>
        <v>-2.9000000000000026E-2</v>
      </c>
      <c r="D145" s="9"/>
    </row>
    <row r="146" spans="1:4" x14ac:dyDescent="0.2">
      <c r="B146" s="131">
        <f>B145+1</f>
        <v>2021</v>
      </c>
      <c r="C146" s="133">
        <f>[14]С2.5!$F$11</f>
        <v>0.245</v>
      </c>
    </row>
    <row r="147" spans="1:4" x14ac:dyDescent="0.2">
      <c r="B147" s="131">
        <f t="shared" ref="B147:B210" si="0">B146+1</f>
        <v>2022</v>
      </c>
      <c r="C147" s="134">
        <f>[14]С2.5!$G$11</f>
        <v>0.114</v>
      </c>
    </row>
    <row r="148" spans="1:4" x14ac:dyDescent="0.2">
      <c r="B148" s="110">
        <f t="shared" si="0"/>
        <v>2023</v>
      </c>
      <c r="C148" s="135">
        <f>[14]С2.5!$H$11</f>
        <v>2.4E-2</v>
      </c>
    </row>
    <row r="149" spans="1:4" ht="13.5" thickBot="1" x14ac:dyDescent="0.25">
      <c r="B149" s="110">
        <f t="shared" si="0"/>
        <v>2024</v>
      </c>
      <c r="C149" s="135">
        <f>[14]С2.5!$I$11</f>
        <v>8.5999999999999993E-2</v>
      </c>
    </row>
    <row r="150" spans="1:4" ht="13.5" hidden="1" thickBot="1" x14ac:dyDescent="0.25">
      <c r="B150" s="110">
        <f t="shared" si="0"/>
        <v>2025</v>
      </c>
      <c r="C150" s="135">
        <f>[14]С2.5!$J$11</f>
        <v>0</v>
      </c>
    </row>
    <row r="151" spans="1:4" ht="13.5" hidden="1" thickBot="1" x14ac:dyDescent="0.25">
      <c r="B151" s="110">
        <f t="shared" si="0"/>
        <v>2026</v>
      </c>
      <c r="C151" s="135">
        <f>[14]С2.5!$K$11</f>
        <v>0</v>
      </c>
    </row>
    <row r="152" spans="1:4" ht="13.5" hidden="1" thickBot="1" x14ac:dyDescent="0.25">
      <c r="B152" s="110">
        <f t="shared" si="0"/>
        <v>2027</v>
      </c>
      <c r="C152" s="135">
        <f>[14]С2.5!$L$11</f>
        <v>0</v>
      </c>
    </row>
    <row r="153" spans="1:4" ht="13.5" hidden="1" thickBot="1" x14ac:dyDescent="0.25">
      <c r="B153" s="110">
        <f t="shared" si="0"/>
        <v>2028</v>
      </c>
      <c r="C153" s="135">
        <f>[14]С2.5!$M$11</f>
        <v>0</v>
      </c>
    </row>
    <row r="154" spans="1:4" ht="13.5" hidden="1" thickBot="1" x14ac:dyDescent="0.25">
      <c r="B154" s="110">
        <f t="shared" si="0"/>
        <v>2029</v>
      </c>
      <c r="C154" s="135">
        <f>[14]С2.5!$N$11</f>
        <v>0</v>
      </c>
    </row>
    <row r="155" spans="1:4" ht="13.5" hidden="1" thickBot="1" x14ac:dyDescent="0.25">
      <c r="B155" s="110">
        <f t="shared" si="0"/>
        <v>2030</v>
      </c>
      <c r="C155" s="135">
        <f>[14]С2.5!$O$11</f>
        <v>0</v>
      </c>
    </row>
    <row r="156" spans="1:4" ht="13.5" hidden="1" thickBot="1" x14ac:dyDescent="0.25">
      <c r="B156" s="110">
        <f t="shared" si="0"/>
        <v>2031</v>
      </c>
      <c r="C156" s="135">
        <f>[14]С2.5!$P$11</f>
        <v>0</v>
      </c>
    </row>
    <row r="157" spans="1:4" ht="13.5" hidden="1" thickBot="1" x14ac:dyDescent="0.25">
      <c r="B157" s="110">
        <f t="shared" si="0"/>
        <v>2032</v>
      </c>
      <c r="C157" s="135">
        <f>[14]С2.5!$Q$11</f>
        <v>0</v>
      </c>
    </row>
    <row r="158" spans="1:4" ht="13.5" hidden="1" thickBot="1" x14ac:dyDescent="0.25">
      <c r="B158" s="110">
        <f t="shared" si="0"/>
        <v>2033</v>
      </c>
      <c r="C158" s="135">
        <f>[14]С2.5!$R$11</f>
        <v>0</v>
      </c>
    </row>
    <row r="159" spans="1:4" ht="13.5" hidden="1" thickBot="1" x14ac:dyDescent="0.25">
      <c r="B159" s="110">
        <f t="shared" si="0"/>
        <v>2034</v>
      </c>
      <c r="C159" s="135">
        <f>[14]С2.5!$S$11</f>
        <v>0</v>
      </c>
    </row>
    <row r="160" spans="1:4" ht="13.5" hidden="1" thickBot="1" x14ac:dyDescent="0.25">
      <c r="B160" s="110">
        <f t="shared" si="0"/>
        <v>2035</v>
      </c>
      <c r="C160" s="135">
        <f>[14]С2.5!$T$11</f>
        <v>0</v>
      </c>
    </row>
    <row r="161" spans="2:3" s="2" customFormat="1" ht="13.5" hidden="1" thickBot="1" x14ac:dyDescent="0.25">
      <c r="B161" s="110">
        <f t="shared" si="0"/>
        <v>2036</v>
      </c>
      <c r="C161" s="135">
        <f>[14]С2.5!$U$11</f>
        <v>0</v>
      </c>
    </row>
    <row r="162" spans="2:3" s="2" customFormat="1" ht="13.5" hidden="1" thickBot="1" x14ac:dyDescent="0.25">
      <c r="B162" s="110">
        <f t="shared" si="0"/>
        <v>2037</v>
      </c>
      <c r="C162" s="135">
        <f>[14]С2.5!$V$11</f>
        <v>0</v>
      </c>
    </row>
    <row r="163" spans="2:3" s="2" customFormat="1" ht="13.5" hidden="1" thickBot="1" x14ac:dyDescent="0.25">
      <c r="B163" s="110">
        <f t="shared" si="0"/>
        <v>2038</v>
      </c>
      <c r="C163" s="135">
        <f>[14]С2.5!$W$11</f>
        <v>0</v>
      </c>
    </row>
    <row r="164" spans="2:3" s="2" customFormat="1" ht="13.5" hidden="1" thickBot="1" x14ac:dyDescent="0.25">
      <c r="B164" s="110">
        <f t="shared" si="0"/>
        <v>2039</v>
      </c>
      <c r="C164" s="135">
        <f>[14]С2.5!$X$11</f>
        <v>0</v>
      </c>
    </row>
    <row r="165" spans="2:3" s="2" customFormat="1" ht="13.5" hidden="1" thickBot="1" x14ac:dyDescent="0.25">
      <c r="B165" s="110">
        <f t="shared" si="0"/>
        <v>2040</v>
      </c>
      <c r="C165" s="135">
        <f>[14]С2.5!$Y$11</f>
        <v>0</v>
      </c>
    </row>
    <row r="166" spans="2:3" s="2" customFormat="1" ht="13.5" hidden="1" thickBot="1" x14ac:dyDescent="0.25">
      <c r="B166" s="110">
        <f t="shared" si="0"/>
        <v>2041</v>
      </c>
      <c r="C166" s="135">
        <f>[14]С2.5!$Z$11</f>
        <v>0</v>
      </c>
    </row>
    <row r="167" spans="2:3" s="2" customFormat="1" ht="13.5" hidden="1" thickBot="1" x14ac:dyDescent="0.25">
      <c r="B167" s="110">
        <f t="shared" si="0"/>
        <v>2042</v>
      </c>
      <c r="C167" s="135">
        <f>[14]С2.5!$AA$11</f>
        <v>0</v>
      </c>
    </row>
    <row r="168" spans="2:3" s="2" customFormat="1" ht="13.5" hidden="1" thickBot="1" x14ac:dyDescent="0.25">
      <c r="B168" s="110">
        <f t="shared" si="0"/>
        <v>2043</v>
      </c>
      <c r="C168" s="135">
        <f>[14]С2.5!$AB$11</f>
        <v>0</v>
      </c>
    </row>
    <row r="169" spans="2:3" s="2" customFormat="1" ht="13.5" hidden="1" thickBot="1" x14ac:dyDescent="0.25">
      <c r="B169" s="110">
        <f t="shared" si="0"/>
        <v>2044</v>
      </c>
      <c r="C169" s="135">
        <f>[14]С2.5!$AC$11</f>
        <v>0</v>
      </c>
    </row>
    <row r="170" spans="2:3" s="2" customFormat="1" ht="13.5" hidden="1" thickBot="1" x14ac:dyDescent="0.25">
      <c r="B170" s="110">
        <f t="shared" si="0"/>
        <v>2045</v>
      </c>
      <c r="C170" s="135">
        <f>[14]С2.5!$AD$11</f>
        <v>0</v>
      </c>
    </row>
    <row r="171" spans="2:3" s="2" customFormat="1" ht="13.5" hidden="1" thickBot="1" x14ac:dyDescent="0.25">
      <c r="B171" s="110">
        <f t="shared" si="0"/>
        <v>2046</v>
      </c>
      <c r="C171" s="135">
        <f>[14]С2.5!$AE$11</f>
        <v>0</v>
      </c>
    </row>
    <row r="172" spans="2:3" s="2" customFormat="1" ht="13.5" hidden="1" thickBot="1" x14ac:dyDescent="0.25">
      <c r="B172" s="110">
        <f t="shared" si="0"/>
        <v>2047</v>
      </c>
      <c r="C172" s="135">
        <f>[14]С2.5!$AF$11</f>
        <v>0</v>
      </c>
    </row>
    <row r="173" spans="2:3" s="2" customFormat="1" ht="13.5" hidden="1" thickBot="1" x14ac:dyDescent="0.25">
      <c r="B173" s="110">
        <f t="shared" si="0"/>
        <v>2048</v>
      </c>
      <c r="C173" s="135">
        <f>[14]С2.5!$AG$11</f>
        <v>0</v>
      </c>
    </row>
    <row r="174" spans="2:3" s="2" customFormat="1" ht="13.5" hidden="1" thickBot="1" x14ac:dyDescent="0.25">
      <c r="B174" s="110">
        <f t="shared" si="0"/>
        <v>2049</v>
      </c>
      <c r="C174" s="135">
        <f>[14]С2.5!$AH$11</f>
        <v>0</v>
      </c>
    </row>
    <row r="175" spans="2:3" s="2" customFormat="1" ht="13.5" hidden="1" thickBot="1" x14ac:dyDescent="0.25">
      <c r="B175" s="110">
        <f t="shared" si="0"/>
        <v>2050</v>
      </c>
      <c r="C175" s="135">
        <f>[14]С2.5!$AI$11</f>
        <v>0</v>
      </c>
    </row>
    <row r="176" spans="2:3" s="2" customFormat="1" ht="13.5" hidden="1" thickBot="1" x14ac:dyDescent="0.25">
      <c r="B176" s="110">
        <f t="shared" si="0"/>
        <v>2051</v>
      </c>
      <c r="C176" s="135">
        <f>[14]С2.5!$AJ$11</f>
        <v>0</v>
      </c>
    </row>
    <row r="177" spans="2:3" s="2" customFormat="1" ht="13.5" hidden="1" thickBot="1" x14ac:dyDescent="0.25">
      <c r="B177" s="110">
        <f t="shared" si="0"/>
        <v>2052</v>
      </c>
      <c r="C177" s="135">
        <f>[14]С2.5!$AK$11</f>
        <v>0</v>
      </c>
    </row>
    <row r="178" spans="2:3" s="2" customFormat="1" ht="13.5" hidden="1" thickBot="1" x14ac:dyDescent="0.25">
      <c r="B178" s="110">
        <f t="shared" si="0"/>
        <v>2053</v>
      </c>
      <c r="C178" s="135">
        <f>[14]С2.5!$AL$11</f>
        <v>0</v>
      </c>
    </row>
    <row r="179" spans="2:3" s="2" customFormat="1" ht="13.5" hidden="1" thickBot="1" x14ac:dyDescent="0.25">
      <c r="B179" s="110">
        <f t="shared" si="0"/>
        <v>2054</v>
      </c>
      <c r="C179" s="135">
        <f>[14]С2.5!$AM$11</f>
        <v>0</v>
      </c>
    </row>
    <row r="180" spans="2:3" s="2" customFormat="1" ht="13.5" hidden="1" thickBot="1" x14ac:dyDescent="0.25">
      <c r="B180" s="110">
        <f t="shared" si="0"/>
        <v>2055</v>
      </c>
      <c r="C180" s="135">
        <f>[14]С2.5!$AN$11</f>
        <v>0</v>
      </c>
    </row>
    <row r="181" spans="2:3" s="2" customFormat="1" ht="13.5" hidden="1" thickBot="1" x14ac:dyDescent="0.25">
      <c r="B181" s="110">
        <f t="shared" si="0"/>
        <v>2056</v>
      </c>
      <c r="C181" s="135">
        <f>[14]С2.5!$AO$11</f>
        <v>0</v>
      </c>
    </row>
    <row r="182" spans="2:3" s="2" customFormat="1" ht="13.5" hidden="1" thickBot="1" x14ac:dyDescent="0.25">
      <c r="B182" s="110">
        <f t="shared" si="0"/>
        <v>2057</v>
      </c>
      <c r="C182" s="135">
        <f>[14]С2.5!$AP$11</f>
        <v>0</v>
      </c>
    </row>
    <row r="183" spans="2:3" s="2" customFormat="1" ht="13.5" hidden="1" thickBot="1" x14ac:dyDescent="0.25">
      <c r="B183" s="110">
        <f t="shared" si="0"/>
        <v>2058</v>
      </c>
      <c r="C183" s="135">
        <f>[14]С2.5!$AQ$11</f>
        <v>0</v>
      </c>
    </row>
    <row r="184" spans="2:3" s="2" customFormat="1" ht="13.5" hidden="1" thickBot="1" x14ac:dyDescent="0.25">
      <c r="B184" s="110">
        <f t="shared" si="0"/>
        <v>2059</v>
      </c>
      <c r="C184" s="135">
        <f>[14]С2.5!$AR$11</f>
        <v>0</v>
      </c>
    </row>
    <row r="185" spans="2:3" s="2" customFormat="1" ht="13.5" hidden="1" thickBot="1" x14ac:dyDescent="0.25">
      <c r="B185" s="110">
        <f t="shared" si="0"/>
        <v>2060</v>
      </c>
      <c r="C185" s="135">
        <f>[14]С2.5!$AS$11</f>
        <v>0</v>
      </c>
    </row>
    <row r="186" spans="2:3" s="2" customFormat="1" ht="13.5" hidden="1" thickBot="1" x14ac:dyDescent="0.25">
      <c r="B186" s="110">
        <f t="shared" si="0"/>
        <v>2061</v>
      </c>
      <c r="C186" s="135">
        <f>[14]С2.5!$AT$11</f>
        <v>0</v>
      </c>
    </row>
    <row r="187" spans="2:3" s="2" customFormat="1" ht="13.5" hidden="1" thickBot="1" x14ac:dyDescent="0.25">
      <c r="B187" s="110">
        <f t="shared" si="0"/>
        <v>2062</v>
      </c>
      <c r="C187" s="135">
        <f>[14]С2.5!$AU$11</f>
        <v>0</v>
      </c>
    </row>
    <row r="188" spans="2:3" s="2" customFormat="1" ht="13.5" hidden="1" thickBot="1" x14ac:dyDescent="0.25">
      <c r="B188" s="110">
        <f t="shared" si="0"/>
        <v>2063</v>
      </c>
      <c r="C188" s="135">
        <f>[14]С2.5!$AV$11</f>
        <v>0</v>
      </c>
    </row>
    <row r="189" spans="2:3" s="2" customFormat="1" ht="13.5" hidden="1" thickBot="1" x14ac:dyDescent="0.25">
      <c r="B189" s="110">
        <f t="shared" si="0"/>
        <v>2064</v>
      </c>
      <c r="C189" s="135">
        <f>[14]С2.5!$AW$11</f>
        <v>0</v>
      </c>
    </row>
    <row r="190" spans="2:3" s="2" customFormat="1" ht="13.5" hidden="1" thickBot="1" x14ac:dyDescent="0.25">
      <c r="B190" s="110">
        <f t="shared" si="0"/>
        <v>2065</v>
      </c>
      <c r="C190" s="135">
        <f>[14]С2.5!$AX$11</f>
        <v>0</v>
      </c>
    </row>
    <row r="191" spans="2:3" s="2" customFormat="1" ht="13.5" hidden="1" thickBot="1" x14ac:dyDescent="0.25">
      <c r="B191" s="110">
        <f t="shared" si="0"/>
        <v>2066</v>
      </c>
      <c r="C191" s="135">
        <f>[14]С2.5!$AY$11</f>
        <v>0</v>
      </c>
    </row>
    <row r="192" spans="2:3" s="2" customFormat="1" ht="13.5" hidden="1" thickBot="1" x14ac:dyDescent="0.25">
      <c r="B192" s="110">
        <f t="shared" si="0"/>
        <v>2067</v>
      </c>
      <c r="C192" s="135">
        <f>[14]С2.5!$AZ$11</f>
        <v>0</v>
      </c>
    </row>
    <row r="193" spans="2:3" s="2" customFormat="1" ht="13.5" hidden="1" thickBot="1" x14ac:dyDescent="0.25">
      <c r="B193" s="110">
        <f t="shared" si="0"/>
        <v>2068</v>
      </c>
      <c r="C193" s="135">
        <f>[14]С2.5!$BA$11</f>
        <v>0</v>
      </c>
    </row>
    <row r="194" spans="2:3" s="2" customFormat="1" ht="13.5" hidden="1" thickBot="1" x14ac:dyDescent="0.25">
      <c r="B194" s="110">
        <f t="shared" si="0"/>
        <v>2069</v>
      </c>
      <c r="C194" s="135">
        <f>[14]С2.5!$BB$11</f>
        <v>0</v>
      </c>
    </row>
    <row r="195" spans="2:3" s="2" customFormat="1" ht="13.5" hidden="1" thickBot="1" x14ac:dyDescent="0.25">
      <c r="B195" s="110">
        <f t="shared" si="0"/>
        <v>2070</v>
      </c>
      <c r="C195" s="135">
        <f>[14]С2.5!$BC$11</f>
        <v>0</v>
      </c>
    </row>
    <row r="196" spans="2:3" s="2" customFormat="1" ht="13.5" hidden="1" thickBot="1" x14ac:dyDescent="0.25">
      <c r="B196" s="110">
        <f t="shared" si="0"/>
        <v>2071</v>
      </c>
      <c r="C196" s="135">
        <f>[14]С2.5!$BD$11</f>
        <v>0</v>
      </c>
    </row>
    <row r="197" spans="2:3" s="2" customFormat="1" ht="13.5" hidden="1" thickBot="1" x14ac:dyDescent="0.25">
      <c r="B197" s="110">
        <f t="shared" si="0"/>
        <v>2072</v>
      </c>
      <c r="C197" s="135">
        <f>[14]С2.5!$BE$11</f>
        <v>0</v>
      </c>
    </row>
    <row r="198" spans="2:3" s="2" customFormat="1" ht="13.5" hidden="1" thickBot="1" x14ac:dyDescent="0.25">
      <c r="B198" s="110">
        <f t="shared" si="0"/>
        <v>2073</v>
      </c>
      <c r="C198" s="135">
        <f>[14]С2.5!$BF$11</f>
        <v>0</v>
      </c>
    </row>
    <row r="199" spans="2:3" s="2" customFormat="1" ht="13.5" hidden="1" thickBot="1" x14ac:dyDescent="0.25">
      <c r="B199" s="110">
        <f t="shared" si="0"/>
        <v>2074</v>
      </c>
      <c r="C199" s="135">
        <f>[14]С2.5!$BG$11</f>
        <v>0</v>
      </c>
    </row>
    <row r="200" spans="2:3" s="2" customFormat="1" ht="13.5" hidden="1" thickBot="1" x14ac:dyDescent="0.25">
      <c r="B200" s="110">
        <f t="shared" si="0"/>
        <v>2075</v>
      </c>
      <c r="C200" s="135">
        <f>[14]С2.5!$BH$11</f>
        <v>0</v>
      </c>
    </row>
    <row r="201" spans="2:3" s="2" customFormat="1" ht="13.5" hidden="1" thickBot="1" x14ac:dyDescent="0.25">
      <c r="B201" s="110">
        <f t="shared" si="0"/>
        <v>2076</v>
      </c>
      <c r="C201" s="135">
        <f>[14]С2.5!$BI$11</f>
        <v>0</v>
      </c>
    </row>
    <row r="202" spans="2:3" s="2" customFormat="1" ht="13.5" hidden="1" thickBot="1" x14ac:dyDescent="0.25">
      <c r="B202" s="110">
        <f t="shared" si="0"/>
        <v>2077</v>
      </c>
      <c r="C202" s="135">
        <f>[14]С2.5!$BJ$11</f>
        <v>0</v>
      </c>
    </row>
    <row r="203" spans="2:3" s="2" customFormat="1" ht="13.5" hidden="1" thickBot="1" x14ac:dyDescent="0.25">
      <c r="B203" s="110">
        <f t="shared" si="0"/>
        <v>2078</v>
      </c>
      <c r="C203" s="135">
        <f>[14]С2.5!$BK$11</f>
        <v>0</v>
      </c>
    </row>
    <row r="204" spans="2:3" s="2" customFormat="1" ht="13.5" hidden="1" thickBot="1" x14ac:dyDescent="0.25">
      <c r="B204" s="110">
        <f t="shared" si="0"/>
        <v>2079</v>
      </c>
      <c r="C204" s="135">
        <f>[14]С2.5!$BL$11</f>
        <v>0</v>
      </c>
    </row>
    <row r="205" spans="2:3" s="2" customFormat="1" ht="13.5" hidden="1" thickBot="1" x14ac:dyDescent="0.25">
      <c r="B205" s="110">
        <f t="shared" si="0"/>
        <v>2080</v>
      </c>
      <c r="C205" s="135">
        <f>[14]С2.5!$BM$11</f>
        <v>0</v>
      </c>
    </row>
    <row r="206" spans="2:3" s="2" customFormat="1" ht="13.5" hidden="1" thickBot="1" x14ac:dyDescent="0.25">
      <c r="B206" s="110">
        <f t="shared" si="0"/>
        <v>2081</v>
      </c>
      <c r="C206" s="135">
        <f>[14]С2.5!$BN$11</f>
        <v>0</v>
      </c>
    </row>
    <row r="207" spans="2:3" s="2" customFormat="1" ht="13.5" hidden="1" thickBot="1" x14ac:dyDescent="0.25">
      <c r="B207" s="110">
        <f t="shared" si="0"/>
        <v>2082</v>
      </c>
      <c r="C207" s="135">
        <f>[14]С2.5!$BO$11</f>
        <v>0</v>
      </c>
    </row>
    <row r="208" spans="2:3" s="2" customFormat="1" ht="13.5" hidden="1" thickBot="1" x14ac:dyDescent="0.25">
      <c r="B208" s="110">
        <f t="shared" si="0"/>
        <v>2083</v>
      </c>
      <c r="C208" s="135">
        <f>[14]С2.5!$BP$11</f>
        <v>0</v>
      </c>
    </row>
    <row r="209" spans="2:3" s="2" customFormat="1" ht="13.5" hidden="1" thickBot="1" x14ac:dyDescent="0.25">
      <c r="B209" s="110">
        <f t="shared" si="0"/>
        <v>2084</v>
      </c>
      <c r="C209" s="135">
        <f>[14]С2.5!$BQ$11</f>
        <v>0</v>
      </c>
    </row>
    <row r="210" spans="2:3" s="2" customFormat="1" ht="13.5" hidden="1" thickBot="1" x14ac:dyDescent="0.25">
      <c r="B210" s="110">
        <f t="shared" si="0"/>
        <v>2085</v>
      </c>
      <c r="C210" s="135">
        <f>[14]С2.5!$BR$11</f>
        <v>0</v>
      </c>
    </row>
    <row r="211" spans="2:3" s="2" customFormat="1" ht="13.5" hidden="1" thickBot="1" x14ac:dyDescent="0.25">
      <c r="B211" s="110">
        <f t="shared" ref="B211:B224" si="1">B210+1</f>
        <v>2086</v>
      </c>
      <c r="C211" s="135">
        <f>[14]С2.5!$BS$11</f>
        <v>0</v>
      </c>
    </row>
    <row r="212" spans="2:3" s="2" customFormat="1" ht="13.5" hidden="1" thickBot="1" x14ac:dyDescent="0.25">
      <c r="B212" s="110">
        <f t="shared" si="1"/>
        <v>2087</v>
      </c>
      <c r="C212" s="135">
        <f>[14]С2.5!$BT$11</f>
        <v>0</v>
      </c>
    </row>
    <row r="213" spans="2:3" s="2" customFormat="1" ht="13.5" hidden="1" thickBot="1" x14ac:dyDescent="0.25">
      <c r="B213" s="110">
        <f t="shared" si="1"/>
        <v>2088</v>
      </c>
      <c r="C213" s="135">
        <f>[14]С2.5!$BU$11</f>
        <v>0</v>
      </c>
    </row>
    <row r="214" spans="2:3" s="2" customFormat="1" ht="13.5" hidden="1" thickBot="1" x14ac:dyDescent="0.25">
      <c r="B214" s="110">
        <f t="shared" si="1"/>
        <v>2089</v>
      </c>
      <c r="C214" s="135">
        <f>[14]С2.5!$BV$11</f>
        <v>0</v>
      </c>
    </row>
    <row r="215" spans="2:3" s="2" customFormat="1" ht="13.5" hidden="1" thickBot="1" x14ac:dyDescent="0.25">
      <c r="B215" s="110">
        <f t="shared" si="1"/>
        <v>2090</v>
      </c>
      <c r="C215" s="135">
        <f>[14]С2.5!$BW$11</f>
        <v>0</v>
      </c>
    </row>
    <row r="216" spans="2:3" s="2" customFormat="1" ht="13.5" hidden="1" thickBot="1" x14ac:dyDescent="0.25">
      <c r="B216" s="110">
        <f t="shared" si="1"/>
        <v>2091</v>
      </c>
      <c r="C216" s="135">
        <f>[14]С2.5!$BX$11</f>
        <v>0</v>
      </c>
    </row>
    <row r="217" spans="2:3" s="2" customFormat="1" ht="13.5" hidden="1" thickBot="1" x14ac:dyDescent="0.25">
      <c r="B217" s="110">
        <f t="shared" si="1"/>
        <v>2092</v>
      </c>
      <c r="C217" s="135">
        <f>[14]С2.5!$BY$11</f>
        <v>0</v>
      </c>
    </row>
    <row r="218" spans="2:3" s="2" customFormat="1" ht="13.5" hidden="1" thickBot="1" x14ac:dyDescent="0.25">
      <c r="B218" s="110">
        <f t="shared" si="1"/>
        <v>2093</v>
      </c>
      <c r="C218" s="135">
        <f>[14]С2.5!$BZ$11</f>
        <v>0</v>
      </c>
    </row>
    <row r="219" spans="2:3" s="2" customFormat="1" ht="13.5" hidden="1" thickBot="1" x14ac:dyDescent="0.25">
      <c r="B219" s="110">
        <f t="shared" si="1"/>
        <v>2094</v>
      </c>
      <c r="C219" s="135">
        <f>[14]С2.5!$CA$11</f>
        <v>0</v>
      </c>
    </row>
    <row r="220" spans="2:3" s="2" customFormat="1" ht="13.5" hidden="1" thickBot="1" x14ac:dyDescent="0.25">
      <c r="B220" s="110">
        <f t="shared" si="1"/>
        <v>2095</v>
      </c>
      <c r="C220" s="135">
        <f>[14]С2.5!$CB$11</f>
        <v>0</v>
      </c>
    </row>
    <row r="221" spans="2:3" s="2" customFormat="1" ht="13.5" hidden="1" thickBot="1" x14ac:dyDescent="0.25">
      <c r="B221" s="110">
        <f t="shared" si="1"/>
        <v>2096</v>
      </c>
      <c r="C221" s="135">
        <f>[14]С2.5!$CC$11</f>
        <v>0</v>
      </c>
    </row>
    <row r="222" spans="2:3" s="2" customFormat="1" ht="13.5" hidden="1" thickBot="1" x14ac:dyDescent="0.25">
      <c r="B222" s="110">
        <f t="shared" si="1"/>
        <v>2097</v>
      </c>
      <c r="C222" s="135">
        <f>[14]С2.5!$CD$11</f>
        <v>0</v>
      </c>
    </row>
    <row r="223" spans="2:3" s="2" customFormat="1" ht="13.5" hidden="1" thickBot="1" x14ac:dyDescent="0.25">
      <c r="B223" s="110">
        <f t="shared" si="1"/>
        <v>2098</v>
      </c>
      <c r="C223" s="135">
        <f>[14]С2.5!$CE$11</f>
        <v>0</v>
      </c>
    </row>
    <row r="224" spans="2:3" s="2" customFormat="1" ht="13.5" hidden="1" thickBot="1" x14ac:dyDescent="0.25">
      <c r="B224" s="110">
        <f t="shared" si="1"/>
        <v>2099</v>
      </c>
      <c r="C224" s="135">
        <f>[14]С2.5!$CF$11</f>
        <v>0</v>
      </c>
    </row>
    <row r="225" spans="2:3" s="2" customFormat="1" ht="13.5" hidden="1" thickBot="1" x14ac:dyDescent="0.25">
      <c r="B225" s="112">
        <f>B162+1</f>
        <v>2038</v>
      </c>
      <c r="C225" s="136" t="e">
        <f>[14]С2.5!#REF!</f>
        <v>#REF!</v>
      </c>
    </row>
    <row r="226" spans="2:3" s="2" customFormat="1" x14ac:dyDescent="0.2">
      <c r="B226" s="137"/>
      <c r="C226" s="138"/>
    </row>
  </sheetData>
  <mergeCells count="9">
    <mergeCell ref="B143:D143"/>
    <mergeCell ref="A14:C14"/>
    <mergeCell ref="B1:D1"/>
    <mergeCell ref="B27:D27"/>
    <mergeCell ref="B45:D45"/>
    <mergeCell ref="B90:D90"/>
    <mergeCell ref="B101:D101"/>
    <mergeCell ref="B126:D126"/>
    <mergeCell ref="B129:D129"/>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macro="[8]!Лист29.PrintBlock">
                <anchor moveWithCells="1" sizeWithCells="1">
                  <from>
                    <xdr:col>3</xdr:col>
                    <xdr:colOff>47625</xdr:colOff>
                    <xdr:row>0</xdr:row>
                    <xdr:rowOff>104775</xdr:rowOff>
                  </from>
                  <to>
                    <xdr:col>5</xdr:col>
                    <xdr:colOff>0</xdr:colOff>
                    <xdr:row>0</xdr:row>
                    <xdr:rowOff>352425</xdr:rowOff>
                  </to>
                </anchor>
              </controlPr>
            </control>
          </mc:Choice>
        </mc:AlternateContent>
        <mc:AlternateContent xmlns:mc="http://schemas.openxmlformats.org/markup-compatibility/2006">
          <mc:Choice Requires="x14">
            <control shapeId="10242" r:id="rId4" name="Button 2">
              <controlPr defaultSize="0" print="0" autoFill="0" autoPict="0" macro="[14]!Лист29.PrintBlock">
                <anchor moveWithCells="1" sizeWithCells="1">
                  <from>
                    <xdr:col>4</xdr:col>
                    <xdr:colOff>47625</xdr:colOff>
                    <xdr:row>0</xdr:row>
                    <xdr:rowOff>104775</xdr:rowOff>
                  </from>
                  <to>
                    <xdr:col>5</xdr:col>
                    <xdr:colOff>1095375</xdr:colOff>
                    <xdr:row>0</xdr:row>
                    <xdr:rowOff>352425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63" t="s">
        <v>0</v>
      </c>
      <c r="C1" s="163"/>
    </row>
    <row r="2" spans="1:3" x14ac:dyDescent="0.2">
      <c r="A2" s="3"/>
      <c r="B2" s="4" t="s">
        <v>1</v>
      </c>
      <c r="C2" s="5">
        <v>45317</v>
      </c>
    </row>
    <row r="3" spans="1:3" x14ac:dyDescent="0.2">
      <c r="A3" s="3"/>
      <c r="B3" s="6" t="s">
        <v>2</v>
      </c>
    </row>
    <row r="4" spans="1:3" ht="25.5" x14ac:dyDescent="0.2">
      <c r="A4" s="8"/>
      <c r="B4" s="9" t="str">
        <f>[15]И1!D13</f>
        <v>Субъект Российской Федерации</v>
      </c>
      <c r="C4" s="10" t="str">
        <f>[15]И1!E13</f>
        <v>Новосибирская область</v>
      </c>
    </row>
    <row r="5" spans="1:3" ht="46.9" customHeight="1" x14ac:dyDescent="0.2">
      <c r="A5" s="8"/>
      <c r="B5" s="9" t="str">
        <f>[15]И1!D14</f>
        <v>Тип муниципального образования (выберите из списка)</v>
      </c>
      <c r="C5" s="10" t="str">
        <f>[15]И1!E14</f>
        <v>село Преображенка, Искитимский муниципальный район</v>
      </c>
    </row>
    <row r="6" spans="1:3" x14ac:dyDescent="0.2">
      <c r="A6" s="8"/>
      <c r="B6" s="9" t="str">
        <f>IF([15]И1!E15="","",[15]И1!D15)</f>
        <v/>
      </c>
      <c r="C6" s="10" t="str">
        <f>IF([15]И1!E15="","",[15]И1!E15)</f>
        <v/>
      </c>
    </row>
    <row r="7" spans="1:3" x14ac:dyDescent="0.2">
      <c r="A7" s="8"/>
      <c r="B7" s="9" t="str">
        <f>[15]И1!D16</f>
        <v>Код ОКТМО</v>
      </c>
      <c r="C7" s="11" t="str">
        <f>[15]И1!E16</f>
        <v xml:space="preserve"> (50615419101)</v>
      </c>
    </row>
    <row r="8" spans="1:3" x14ac:dyDescent="0.2">
      <c r="A8" s="8"/>
      <c r="B8" s="12" t="str">
        <f>[15]И1!D17</f>
        <v>Система теплоснабжения</v>
      </c>
      <c r="C8" s="13">
        <f>[15]И1!E17</f>
        <v>0</v>
      </c>
    </row>
    <row r="9" spans="1:3" x14ac:dyDescent="0.2">
      <c r="A9" s="8"/>
      <c r="B9" s="9" t="str">
        <f>[15]И1!D8</f>
        <v>Период регулирования (i)-й</v>
      </c>
      <c r="C9" s="14">
        <f>[15]И1!E8</f>
        <v>2024</v>
      </c>
    </row>
    <row r="10" spans="1:3" x14ac:dyDescent="0.2">
      <c r="A10" s="8"/>
      <c r="B10" s="9" t="str">
        <f>[15]И1!D9</f>
        <v>Период регулирования (i-1)-й</v>
      </c>
      <c r="C10" s="14">
        <f>[15]И1!E9</f>
        <v>2023</v>
      </c>
    </row>
    <row r="11" spans="1:3" x14ac:dyDescent="0.2">
      <c r="A11" s="8"/>
      <c r="B11" s="9" t="str">
        <f>[15]И1!D10</f>
        <v>Период регулирования (i-2)-й</v>
      </c>
      <c r="C11" s="14">
        <f>[15]И1!E10</f>
        <v>2022</v>
      </c>
    </row>
    <row r="12" spans="1:3" x14ac:dyDescent="0.2">
      <c r="A12" s="8"/>
      <c r="B12" s="9" t="str">
        <f>[15]И1!D11</f>
        <v>Базовый год (б)</v>
      </c>
      <c r="C12" s="14">
        <f>[15]И1!E11</f>
        <v>2019</v>
      </c>
    </row>
    <row r="13" spans="1:3" ht="38.25" x14ac:dyDescent="0.2">
      <c r="A13" s="8"/>
      <c r="B13" s="9" t="str">
        <f>[15]И1!D18</f>
        <v>Вид топлива, использование которого преобладает в системе теплоснабжения</v>
      </c>
      <c r="C13" s="15" t="str">
        <f>[15]С1.1!E13</f>
        <v>уголь (вид угля не указан в топливном балансе)</v>
      </c>
    </row>
    <row r="14" spans="1:3" ht="31.7" customHeight="1" thickBot="1" x14ac:dyDescent="0.25">
      <c r="A14" s="162" t="s">
        <v>3</v>
      </c>
      <c r="B14" s="162"/>
      <c r="C14" s="16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3727.1519198280189</v>
      </c>
    </row>
    <row r="18" spans="1:3" ht="42.75" x14ac:dyDescent="0.2">
      <c r="A18" s="22" t="s">
        <v>8</v>
      </c>
      <c r="B18" s="25" t="s">
        <v>9</v>
      </c>
      <c r="C18" s="26">
        <f>[15]С1!F12</f>
        <v>734.04217101653171</v>
      </c>
    </row>
    <row r="19" spans="1:3" ht="42.75" x14ac:dyDescent="0.2">
      <c r="A19" s="22" t="s">
        <v>10</v>
      </c>
      <c r="B19" s="25" t="s">
        <v>11</v>
      </c>
      <c r="C19" s="26">
        <f>[15]С2!F12</f>
        <v>2000.3680279558928</v>
      </c>
    </row>
    <row r="20" spans="1:3" ht="30" x14ac:dyDescent="0.2">
      <c r="A20" s="22" t="s">
        <v>12</v>
      </c>
      <c r="B20" s="25" t="s">
        <v>13</v>
      </c>
      <c r="C20" s="26">
        <f>[15]С3!F12</f>
        <v>475.74490066496389</v>
      </c>
    </row>
    <row r="21" spans="1:3" ht="42.75" x14ac:dyDescent="0.2">
      <c r="A21" s="22" t="s">
        <v>14</v>
      </c>
      <c r="B21" s="25" t="s">
        <v>15</v>
      </c>
      <c r="C21" s="26">
        <f>[15]С4!F12</f>
        <v>443.91540999792414</v>
      </c>
    </row>
    <row r="22" spans="1:3" ht="30" x14ac:dyDescent="0.2">
      <c r="A22" s="22" t="s">
        <v>16</v>
      </c>
      <c r="B22" s="25" t="s">
        <v>17</v>
      </c>
      <c r="C22" s="26">
        <f>[15]С5!F12</f>
        <v>73.081410192706258</v>
      </c>
    </row>
    <row r="23" spans="1:3" ht="43.5" thickBot="1" x14ac:dyDescent="0.25">
      <c r="A23" s="27" t="s">
        <v>18</v>
      </c>
      <c r="B23" s="140" t="s">
        <v>19</v>
      </c>
      <c r="C23" s="28" t="str">
        <f>[15]С6!F12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64" t="s">
        <v>20</v>
      </c>
      <c r="C27" s="164"/>
    </row>
    <row r="28" spans="1:3" x14ac:dyDescent="0.2">
      <c r="A28" s="22" t="s">
        <v>8</v>
      </c>
      <c r="B28" s="33" t="s">
        <v>21</v>
      </c>
      <c r="C28" s="34">
        <f>[15]С1.1!E16</f>
        <v>5100</v>
      </c>
    </row>
    <row r="29" spans="1:3" ht="42.75" x14ac:dyDescent="0.2">
      <c r="A29" s="22" t="s">
        <v>10</v>
      </c>
      <c r="B29" s="33" t="s">
        <v>22</v>
      </c>
      <c r="C29" s="34">
        <f>[15]С1.1!E27</f>
        <v>3298.0833333333335</v>
      </c>
    </row>
    <row r="30" spans="1:3" ht="17.25" x14ac:dyDescent="0.2">
      <c r="A30" s="22" t="s">
        <v>12</v>
      </c>
      <c r="B30" s="33" t="s">
        <v>23</v>
      </c>
      <c r="C30" s="35">
        <f>[15]С1.1!E19</f>
        <v>-0.19900000000000001</v>
      </c>
    </row>
    <row r="31" spans="1:3" ht="17.25" x14ac:dyDescent="0.2">
      <c r="A31" s="22" t="s">
        <v>14</v>
      </c>
      <c r="B31" s="33" t="s">
        <v>24</v>
      </c>
      <c r="C31" s="35">
        <f>[15]С1.1!E20</f>
        <v>5.7000000000000002E-2</v>
      </c>
    </row>
    <row r="32" spans="1:3" ht="30" x14ac:dyDescent="0.2">
      <c r="A32" s="22" t="s">
        <v>16</v>
      </c>
      <c r="B32" s="36" t="s">
        <v>25</v>
      </c>
      <c r="C32" s="37">
        <f>[15]С1!F13</f>
        <v>176.4</v>
      </c>
    </row>
    <row r="33" spans="1:3" x14ac:dyDescent="0.2">
      <c r="A33" s="22" t="s">
        <v>18</v>
      </c>
      <c r="B33" s="36" t="s">
        <v>26</v>
      </c>
      <c r="C33" s="38">
        <f>[15]С1!F16</f>
        <v>7000</v>
      </c>
    </row>
    <row r="34" spans="1:3" ht="14.25" x14ac:dyDescent="0.2">
      <c r="A34" s="22" t="s">
        <v>27</v>
      </c>
      <c r="B34" s="39" t="s">
        <v>28</v>
      </c>
      <c r="C34" s="40">
        <f>[15]С1!F17</f>
        <v>0.72857142857142854</v>
      </c>
    </row>
    <row r="35" spans="1:3" ht="15.75" x14ac:dyDescent="0.2">
      <c r="A35" s="41" t="s">
        <v>29</v>
      </c>
      <c r="B35" s="42" t="s">
        <v>30</v>
      </c>
      <c r="C35" s="40">
        <f>[15]С1!F20</f>
        <v>21.588411179999994</v>
      </c>
    </row>
    <row r="36" spans="1:3" ht="15.75" x14ac:dyDescent="0.2">
      <c r="A36" s="41" t="s">
        <v>31</v>
      </c>
      <c r="B36" s="43" t="s">
        <v>32</v>
      </c>
      <c r="C36" s="40">
        <f>[15]С1!F21</f>
        <v>20.818139999999996</v>
      </c>
    </row>
    <row r="37" spans="1:3" ht="14.25" x14ac:dyDescent="0.2">
      <c r="A37" s="41" t="s">
        <v>33</v>
      </c>
      <c r="B37" s="44" t="s">
        <v>34</v>
      </c>
      <c r="C37" s="40">
        <f>[15]С1!F22</f>
        <v>1.0369999999999999</v>
      </c>
    </row>
    <row r="38" spans="1:3" ht="53.25" thickBot="1" x14ac:dyDescent="0.25">
      <c r="A38" s="27" t="s">
        <v>35</v>
      </c>
      <c r="B38" s="45" t="s">
        <v>36</v>
      </c>
      <c r="C38" s="46">
        <f>[15]С1!F23</f>
        <v>1.0469999999999999</v>
      </c>
    </row>
    <row r="39" spans="1:3" ht="13.5" thickBot="1" x14ac:dyDescent="0.25">
      <c r="A39" s="47"/>
      <c r="B39" s="48"/>
      <c r="C39" s="49"/>
    </row>
    <row r="40" spans="1:3" ht="30" customHeight="1" x14ac:dyDescent="0.2">
      <c r="A40" s="50" t="s">
        <v>37</v>
      </c>
      <c r="B40" s="165" t="s">
        <v>38</v>
      </c>
      <c r="C40" s="165"/>
    </row>
    <row r="41" spans="1:3" ht="25.5" x14ac:dyDescent="0.2">
      <c r="A41" s="22" t="s">
        <v>39</v>
      </c>
      <c r="B41" s="36" t="s">
        <v>40</v>
      </c>
      <c r="C41" s="51" t="str">
        <f>[15]С2.1!E12</f>
        <v>V</v>
      </c>
    </row>
    <row r="42" spans="1:3" ht="25.5" x14ac:dyDescent="0.2">
      <c r="A42" s="22" t="s">
        <v>41</v>
      </c>
      <c r="B42" s="33" t="s">
        <v>42</v>
      </c>
      <c r="C42" s="51" t="str">
        <f>[15]С2.1!E13</f>
        <v>6 и менее баллов</v>
      </c>
    </row>
    <row r="43" spans="1:3" ht="25.5" x14ac:dyDescent="0.2">
      <c r="A43" s="22" t="s">
        <v>43</v>
      </c>
      <c r="B43" s="33" t="s">
        <v>44</v>
      </c>
      <c r="C43" s="51" t="str">
        <f>[15]С2.1!E14</f>
        <v>от 200 до 500</v>
      </c>
    </row>
    <row r="44" spans="1:3" ht="25.5" x14ac:dyDescent="0.2">
      <c r="A44" s="22" t="s">
        <v>45</v>
      </c>
      <c r="B44" s="33" t="s">
        <v>46</v>
      </c>
      <c r="C44" s="52" t="str">
        <f>[15]С2.1!E15</f>
        <v>нет</v>
      </c>
    </row>
    <row r="45" spans="1:3" ht="30" x14ac:dyDescent="0.2">
      <c r="A45" s="22" t="s">
        <v>47</v>
      </c>
      <c r="B45" s="33" t="s">
        <v>48</v>
      </c>
      <c r="C45" s="34">
        <f>[15]С2!F18</f>
        <v>35106.652004551666</v>
      </c>
    </row>
    <row r="46" spans="1:3" ht="30" x14ac:dyDescent="0.2">
      <c r="A46" s="22" t="s">
        <v>49</v>
      </c>
      <c r="B46" s="53" t="s">
        <v>50</v>
      </c>
      <c r="C46" s="34">
        <f>IF([15]С2!F19&gt;0,[15]С2!F19,[15]С2!F20)</f>
        <v>23441.524932855718</v>
      </c>
    </row>
    <row r="47" spans="1:3" ht="25.5" x14ac:dyDescent="0.2">
      <c r="A47" s="22" t="s">
        <v>51</v>
      </c>
      <c r="B47" s="54" t="s">
        <v>52</v>
      </c>
      <c r="C47" s="34">
        <f>[15]С2.1!E19</f>
        <v>-38</v>
      </c>
    </row>
    <row r="48" spans="1:3" ht="25.5" x14ac:dyDescent="0.2">
      <c r="A48" s="22" t="s">
        <v>53</v>
      </c>
      <c r="B48" s="54" t="s">
        <v>54</v>
      </c>
      <c r="C48" s="34" t="str">
        <f>[15]С2.1!E22</f>
        <v>нет</v>
      </c>
    </row>
    <row r="49" spans="1:3" ht="38.25" x14ac:dyDescent="0.2">
      <c r="A49" s="22" t="s">
        <v>55</v>
      </c>
      <c r="B49" s="55" t="s">
        <v>56</v>
      </c>
      <c r="C49" s="34">
        <f>[15]С2.2!E10</f>
        <v>1287</v>
      </c>
    </row>
    <row r="50" spans="1:3" ht="25.5" x14ac:dyDescent="0.2">
      <c r="A50" s="22" t="s">
        <v>57</v>
      </c>
      <c r="B50" s="56" t="s">
        <v>58</v>
      </c>
      <c r="C50" s="34">
        <f>[15]С2.2!E12</f>
        <v>5.97</v>
      </c>
    </row>
    <row r="51" spans="1:3" ht="52.5" x14ac:dyDescent="0.2">
      <c r="A51" s="22" t="s">
        <v>59</v>
      </c>
      <c r="B51" s="57" t="s">
        <v>60</v>
      </c>
      <c r="C51" s="34">
        <f>[15]С2.2!E13</f>
        <v>1</v>
      </c>
    </row>
    <row r="52" spans="1:3" ht="27.75" x14ac:dyDescent="0.2">
      <c r="A52" s="22" t="s">
        <v>61</v>
      </c>
      <c r="B52" s="56" t="s">
        <v>62</v>
      </c>
      <c r="C52" s="34">
        <f>[15]С2.2!E14</f>
        <v>12104</v>
      </c>
    </row>
    <row r="53" spans="1:3" ht="25.5" x14ac:dyDescent="0.2">
      <c r="A53" s="22" t="s">
        <v>63</v>
      </c>
      <c r="B53" s="57" t="s">
        <v>64</v>
      </c>
      <c r="C53" s="35">
        <f>[15]С2.2!E15</f>
        <v>4.8000000000000001E-2</v>
      </c>
    </row>
    <row r="54" spans="1:3" x14ac:dyDescent="0.2">
      <c r="A54" s="22" t="s">
        <v>65</v>
      </c>
      <c r="B54" s="57" t="s">
        <v>66</v>
      </c>
      <c r="C54" s="34">
        <f>[15]С2.2!E16</f>
        <v>1</v>
      </c>
    </row>
    <row r="55" spans="1:3" ht="15.75" x14ac:dyDescent="0.2">
      <c r="A55" s="22" t="s">
        <v>67</v>
      </c>
      <c r="B55" s="58" t="s">
        <v>68</v>
      </c>
      <c r="C55" s="34">
        <f>[15]С2!F21</f>
        <v>1</v>
      </c>
    </row>
    <row r="56" spans="1:3" ht="30" x14ac:dyDescent="0.2">
      <c r="A56" s="59" t="s">
        <v>69</v>
      </c>
      <c r="B56" s="33" t="s">
        <v>70</v>
      </c>
      <c r="C56" s="34">
        <f>[15]С2!F13</f>
        <v>183796.83936385796</v>
      </c>
    </row>
    <row r="57" spans="1:3" ht="30" x14ac:dyDescent="0.2">
      <c r="A57" s="59" t="s">
        <v>71</v>
      </c>
      <c r="B57" s="58" t="s">
        <v>72</v>
      </c>
      <c r="C57" s="34">
        <f>[15]С2!F14</f>
        <v>113455</v>
      </c>
    </row>
    <row r="58" spans="1:3" ht="15.75" x14ac:dyDescent="0.2">
      <c r="A58" s="59" t="s">
        <v>73</v>
      </c>
      <c r="B58" s="60" t="s">
        <v>74</v>
      </c>
      <c r="C58" s="40">
        <f>[15]С2!F15</f>
        <v>1.071</v>
      </c>
    </row>
    <row r="59" spans="1:3" ht="15.75" x14ac:dyDescent="0.2">
      <c r="A59" s="59" t="s">
        <v>75</v>
      </c>
      <c r="B59" s="60" t="s">
        <v>76</v>
      </c>
      <c r="C59" s="40">
        <f>[15]С2!F16</f>
        <v>1</v>
      </c>
    </row>
    <row r="60" spans="1:3" ht="17.25" x14ac:dyDescent="0.2">
      <c r="A60" s="59" t="s">
        <v>77</v>
      </c>
      <c r="B60" s="58" t="s">
        <v>78</v>
      </c>
      <c r="C60" s="34">
        <f>[15]С2!F17</f>
        <v>1.01</v>
      </c>
    </row>
    <row r="61" spans="1:3" s="63" customFormat="1" ht="14.25" x14ac:dyDescent="0.2">
      <c r="A61" s="59" t="s">
        <v>79</v>
      </c>
      <c r="B61" s="61" t="s">
        <v>80</v>
      </c>
      <c r="C61" s="62">
        <f>[15]С2!F33</f>
        <v>10</v>
      </c>
    </row>
    <row r="62" spans="1:3" ht="30" x14ac:dyDescent="0.2">
      <c r="A62" s="59" t="s">
        <v>81</v>
      </c>
      <c r="B62" s="64" t="s">
        <v>82</v>
      </c>
      <c r="C62" s="34">
        <f>[15]С2!F26</f>
        <v>2780.7867618428891</v>
      </c>
    </row>
    <row r="63" spans="1:3" ht="17.25" x14ac:dyDescent="0.2">
      <c r="A63" s="59" t="s">
        <v>83</v>
      </c>
      <c r="B63" s="53" t="s">
        <v>84</v>
      </c>
      <c r="C63" s="34">
        <f>[15]С2!F27</f>
        <v>0.44209422600000003</v>
      </c>
    </row>
    <row r="64" spans="1:3" ht="17.25" x14ac:dyDescent="0.2">
      <c r="A64" s="59" t="s">
        <v>85</v>
      </c>
      <c r="B64" s="58" t="s">
        <v>86</v>
      </c>
      <c r="C64" s="62">
        <f>[15]С2!F28</f>
        <v>4200</v>
      </c>
    </row>
    <row r="65" spans="1:3" ht="42.75" x14ac:dyDescent="0.2">
      <c r="A65" s="59" t="s">
        <v>87</v>
      </c>
      <c r="B65" s="33" t="s">
        <v>88</v>
      </c>
      <c r="C65" s="34">
        <f>[15]С2!F22</f>
        <v>38698.422798410109</v>
      </c>
    </row>
    <row r="66" spans="1:3" ht="30" x14ac:dyDescent="0.2">
      <c r="A66" s="59" t="s">
        <v>89</v>
      </c>
      <c r="B66" s="60" t="s">
        <v>90</v>
      </c>
      <c r="C66" s="34">
        <f>[15]С2!F23</f>
        <v>1990</v>
      </c>
    </row>
    <row r="67" spans="1:3" ht="30" x14ac:dyDescent="0.2">
      <c r="A67" s="59" t="s">
        <v>91</v>
      </c>
      <c r="B67" s="53" t="s">
        <v>92</v>
      </c>
      <c r="C67" s="34">
        <f>[15]С2.1!E27</f>
        <v>14307.876789999998</v>
      </c>
    </row>
    <row r="68" spans="1:3" ht="38.25" x14ac:dyDescent="0.2">
      <c r="A68" s="59" t="s">
        <v>93</v>
      </c>
      <c r="B68" s="65" t="s">
        <v>94</v>
      </c>
      <c r="C68" s="52">
        <f>[15]С2.3!E21</f>
        <v>0</v>
      </c>
    </row>
    <row r="69" spans="1:3" ht="25.5" x14ac:dyDescent="0.2">
      <c r="A69" s="59" t="s">
        <v>95</v>
      </c>
      <c r="B69" s="66" t="s">
        <v>96</v>
      </c>
      <c r="C69" s="67">
        <f>[15]С2.3!E11</f>
        <v>9.89</v>
      </c>
    </row>
    <row r="70" spans="1:3" ht="25.5" x14ac:dyDescent="0.2">
      <c r="A70" s="59" t="s">
        <v>97</v>
      </c>
      <c r="B70" s="66" t="s">
        <v>98</v>
      </c>
      <c r="C70" s="62">
        <f>[15]С2.3!E13</f>
        <v>300</v>
      </c>
    </row>
    <row r="71" spans="1:3" ht="25.5" x14ac:dyDescent="0.2">
      <c r="A71" s="59" t="s">
        <v>99</v>
      </c>
      <c r="B71" s="65" t="s">
        <v>100</v>
      </c>
      <c r="C71" s="68">
        <f>IF([15]С2.3!E22&gt;0,[15]С2.3!E22,[15]С2.3!E14)</f>
        <v>61211</v>
      </c>
    </row>
    <row r="72" spans="1:3" ht="38.25" x14ac:dyDescent="0.2">
      <c r="A72" s="59" t="s">
        <v>101</v>
      </c>
      <c r="B72" s="65" t="s">
        <v>102</v>
      </c>
      <c r="C72" s="68">
        <f>IF([15]С2.3!E23&gt;0,[15]С2.3!E23,[15]С2.3!E15)</f>
        <v>45675</v>
      </c>
    </row>
    <row r="73" spans="1:3" ht="30" x14ac:dyDescent="0.2">
      <c r="A73" s="59" t="s">
        <v>103</v>
      </c>
      <c r="B73" s="53" t="s">
        <v>104</v>
      </c>
      <c r="C73" s="34">
        <f>[15]С2.1!E28</f>
        <v>9541.9567200000001</v>
      </c>
    </row>
    <row r="74" spans="1:3" ht="38.25" x14ac:dyDescent="0.2">
      <c r="A74" s="59" t="s">
        <v>105</v>
      </c>
      <c r="B74" s="65" t="s">
        <v>106</v>
      </c>
      <c r="C74" s="52">
        <f>[15]С2.3!E25</f>
        <v>0</v>
      </c>
    </row>
    <row r="75" spans="1:3" ht="25.5" x14ac:dyDescent="0.2">
      <c r="A75" s="59" t="s">
        <v>107</v>
      </c>
      <c r="B75" s="66" t="s">
        <v>108</v>
      </c>
      <c r="C75" s="67">
        <f>[15]С2.3!E12</f>
        <v>0.56000000000000005</v>
      </c>
    </row>
    <row r="76" spans="1:3" ht="25.5" x14ac:dyDescent="0.2">
      <c r="A76" s="59" t="s">
        <v>109</v>
      </c>
      <c r="B76" s="66" t="s">
        <v>98</v>
      </c>
      <c r="C76" s="62">
        <f>[15]С2.3!E13</f>
        <v>300</v>
      </c>
    </row>
    <row r="77" spans="1:3" ht="25.5" x14ac:dyDescent="0.2">
      <c r="A77" s="59" t="s">
        <v>110</v>
      </c>
      <c r="B77" s="69" t="s">
        <v>111</v>
      </c>
      <c r="C77" s="68">
        <f>IF([15]С2.3!E26&gt;0,[15]С2.3!E26,[15]С2.3!E16)</f>
        <v>65637</v>
      </c>
    </row>
    <row r="78" spans="1:3" ht="38.25" x14ac:dyDescent="0.2">
      <c r="A78" s="59" t="s">
        <v>112</v>
      </c>
      <c r="B78" s="69" t="s">
        <v>113</v>
      </c>
      <c r="C78" s="68">
        <f>IF([15]С2.3!E27&gt;0,[15]С2.3!E27,[15]С2.3!E17)</f>
        <v>31684</v>
      </c>
    </row>
    <row r="79" spans="1:3" ht="17.25" x14ac:dyDescent="0.2">
      <c r="A79" s="59" t="s">
        <v>114</v>
      </c>
      <c r="B79" s="33" t="s">
        <v>115</v>
      </c>
      <c r="C79" s="35">
        <f>[15]С2!F29</f>
        <v>9.5962865259740182E-2</v>
      </c>
    </row>
    <row r="80" spans="1:3" ht="30" x14ac:dyDescent="0.2">
      <c r="A80" s="59" t="s">
        <v>116</v>
      </c>
      <c r="B80" s="53" t="s">
        <v>117</v>
      </c>
      <c r="C80" s="70">
        <f>[15]С2!F30</f>
        <v>8.4029304029304031E-2</v>
      </c>
    </row>
    <row r="81" spans="1:3" ht="17.25" x14ac:dyDescent="0.2">
      <c r="A81" s="59" t="s">
        <v>118</v>
      </c>
      <c r="B81" s="71" t="s">
        <v>119</v>
      </c>
      <c r="C81" s="35">
        <f>[15]С2!F31</f>
        <v>0.13880000000000001</v>
      </c>
    </row>
    <row r="82" spans="1:3" s="63" customFormat="1" ht="18" thickBot="1" x14ac:dyDescent="0.25">
      <c r="A82" s="72" t="s">
        <v>120</v>
      </c>
      <c r="B82" s="73" t="s">
        <v>121</v>
      </c>
      <c r="C82" s="74">
        <f>[15]С2!F32</f>
        <v>0.12640000000000001</v>
      </c>
    </row>
    <row r="83" spans="1:3" ht="13.5" thickBot="1" x14ac:dyDescent="0.25">
      <c r="A83" s="47"/>
      <c r="B83" s="75"/>
      <c r="C83" s="15"/>
    </row>
    <row r="84" spans="1:3" s="63" customFormat="1" ht="30" customHeight="1" x14ac:dyDescent="0.2">
      <c r="A84" s="76" t="s">
        <v>122</v>
      </c>
      <c r="B84" s="165" t="s">
        <v>123</v>
      </c>
      <c r="C84" s="165"/>
    </row>
    <row r="85" spans="1:3" s="63" customFormat="1" ht="30" x14ac:dyDescent="0.2">
      <c r="A85" s="77" t="s">
        <v>124</v>
      </c>
      <c r="B85" s="33" t="s">
        <v>125</v>
      </c>
      <c r="C85" s="34">
        <f>[15]С3!F14</f>
        <v>6117.6201782637581</v>
      </c>
    </row>
    <row r="86" spans="1:3" s="63" customFormat="1" ht="42.75" x14ac:dyDescent="0.2">
      <c r="A86" s="77" t="s">
        <v>126</v>
      </c>
      <c r="B86" s="53" t="s">
        <v>127</v>
      </c>
      <c r="C86" s="78">
        <f>[15]С3!F15</f>
        <v>0.2</v>
      </c>
    </row>
    <row r="87" spans="1:3" s="63" customFormat="1" ht="14.25" x14ac:dyDescent="0.2">
      <c r="A87" s="77" t="s">
        <v>128</v>
      </c>
      <c r="B87" s="79" t="s">
        <v>129</v>
      </c>
      <c r="C87" s="62">
        <f>[15]С3!F18</f>
        <v>15</v>
      </c>
    </row>
    <row r="88" spans="1:3" s="63" customFormat="1" ht="17.25" x14ac:dyDescent="0.2">
      <c r="A88" s="77" t="s">
        <v>130</v>
      </c>
      <c r="B88" s="33" t="s">
        <v>131</v>
      </c>
      <c r="C88" s="34">
        <f>[15]С3!F19</f>
        <v>3778.1614077800232</v>
      </c>
    </row>
    <row r="89" spans="1:3" s="63" customFormat="1" ht="55.5" x14ac:dyDescent="0.2">
      <c r="A89" s="77" t="s">
        <v>132</v>
      </c>
      <c r="B89" s="53" t="s">
        <v>133</v>
      </c>
      <c r="C89" s="80">
        <f>[15]С3!F20</f>
        <v>2.1999999999999999E-2</v>
      </c>
    </row>
    <row r="90" spans="1:3" s="63" customFormat="1" ht="14.25" x14ac:dyDescent="0.2">
      <c r="A90" s="77" t="s">
        <v>134</v>
      </c>
      <c r="B90" s="58" t="s">
        <v>80</v>
      </c>
      <c r="C90" s="62">
        <f>[15]С3!F21</f>
        <v>10</v>
      </c>
    </row>
    <row r="91" spans="1:3" s="63" customFormat="1" ht="17.25" x14ac:dyDescent="0.2">
      <c r="A91" s="77" t="s">
        <v>135</v>
      </c>
      <c r="B91" s="33" t="s">
        <v>136</v>
      </c>
      <c r="C91" s="34">
        <f>[15]С3!F22</f>
        <v>8.3423602855286667</v>
      </c>
    </row>
    <row r="92" spans="1:3" s="63" customFormat="1" ht="55.5" x14ac:dyDescent="0.2">
      <c r="A92" s="77" t="s">
        <v>137</v>
      </c>
      <c r="B92" s="53" t="s">
        <v>138</v>
      </c>
      <c r="C92" s="80">
        <f>[15]С3!F23</f>
        <v>3.0000000000000001E-3</v>
      </c>
    </row>
    <row r="93" spans="1:3" s="63" customFormat="1" ht="27.75" thickBot="1" x14ac:dyDescent="0.25">
      <c r="A93" s="81" t="s">
        <v>139</v>
      </c>
      <c r="B93" s="82" t="s">
        <v>140</v>
      </c>
      <c r="C93" s="83">
        <f>[15]С3!F24</f>
        <v>2780.7867618428891</v>
      </c>
    </row>
    <row r="94" spans="1:3" ht="13.5" thickBot="1" x14ac:dyDescent="0.25">
      <c r="A94" s="47"/>
      <c r="B94" s="75"/>
      <c r="C94" s="15"/>
    </row>
    <row r="95" spans="1:3" ht="30" customHeight="1" x14ac:dyDescent="0.2">
      <c r="A95" s="84" t="s">
        <v>141</v>
      </c>
      <c r="B95" s="165" t="s">
        <v>142</v>
      </c>
      <c r="C95" s="165"/>
    </row>
    <row r="96" spans="1:3" ht="30" x14ac:dyDescent="0.2">
      <c r="A96" s="59" t="s">
        <v>143</v>
      </c>
      <c r="B96" s="33" t="s">
        <v>144</v>
      </c>
      <c r="C96" s="34">
        <f>[15]С4!F16</f>
        <v>1652.5</v>
      </c>
    </row>
    <row r="97" spans="1:3" ht="30" x14ac:dyDescent="0.2">
      <c r="A97" s="59" t="s">
        <v>145</v>
      </c>
      <c r="B97" s="58" t="s">
        <v>146</v>
      </c>
      <c r="C97" s="34">
        <f>[15]С4!F17</f>
        <v>73547</v>
      </c>
    </row>
    <row r="98" spans="1:3" ht="17.25" x14ac:dyDescent="0.2">
      <c r="A98" s="59" t="s">
        <v>147</v>
      </c>
      <c r="B98" s="58" t="s">
        <v>148</v>
      </c>
      <c r="C98" s="40">
        <f>[15]С4!F18</f>
        <v>0.02</v>
      </c>
    </row>
    <row r="99" spans="1:3" ht="30" x14ac:dyDescent="0.2">
      <c r="A99" s="59" t="s">
        <v>149</v>
      </c>
      <c r="B99" s="58" t="s">
        <v>150</v>
      </c>
      <c r="C99" s="34">
        <f>[15]С4!F19</f>
        <v>12104</v>
      </c>
    </row>
    <row r="100" spans="1:3" ht="31.5" x14ac:dyDescent="0.2">
      <c r="A100" s="59" t="s">
        <v>151</v>
      </c>
      <c r="B100" s="58" t="s">
        <v>152</v>
      </c>
      <c r="C100" s="40">
        <f>[15]С4!F20</f>
        <v>1.4999999999999999E-2</v>
      </c>
    </row>
    <row r="101" spans="1:3" ht="30" x14ac:dyDescent="0.2">
      <c r="A101" s="59" t="s">
        <v>153</v>
      </c>
      <c r="B101" s="33" t="s">
        <v>154</v>
      </c>
      <c r="C101" s="34">
        <f>[15]С4!F21</f>
        <v>1933.1949342509995</v>
      </c>
    </row>
    <row r="102" spans="1:3" ht="24" customHeight="1" x14ac:dyDescent="0.2">
      <c r="A102" s="59" t="s">
        <v>155</v>
      </c>
      <c r="B102" s="53" t="s">
        <v>156</v>
      </c>
      <c r="C102" s="85">
        <f>IF([15]С4.2!F8="да",[15]С4.2!D21,[15]С4.2!D15)</f>
        <v>0</v>
      </c>
    </row>
    <row r="103" spans="1:3" ht="68.25" x14ac:dyDescent="0.2">
      <c r="A103" s="59" t="s">
        <v>157</v>
      </c>
      <c r="B103" s="53" t="s">
        <v>158</v>
      </c>
      <c r="C103" s="34">
        <f>[15]С4!F22</f>
        <v>3.6112641666666665</v>
      </c>
    </row>
    <row r="104" spans="1:3" ht="30" x14ac:dyDescent="0.2">
      <c r="A104" s="59" t="s">
        <v>159</v>
      </c>
      <c r="B104" s="58" t="s">
        <v>160</v>
      </c>
      <c r="C104" s="34">
        <f>[15]С4!F23</f>
        <v>180</v>
      </c>
    </row>
    <row r="105" spans="1:3" ht="14.25" x14ac:dyDescent="0.2">
      <c r="A105" s="59" t="s">
        <v>161</v>
      </c>
      <c r="B105" s="53" t="s">
        <v>162</v>
      </c>
      <c r="C105" s="34">
        <f>[15]С4!F24</f>
        <v>8497.1999999999989</v>
      </c>
    </row>
    <row r="106" spans="1:3" ht="14.25" x14ac:dyDescent="0.2">
      <c r="A106" s="59" t="s">
        <v>163</v>
      </c>
      <c r="B106" s="58" t="s">
        <v>164</v>
      </c>
      <c r="C106" s="40">
        <f>[15]С4!F25</f>
        <v>0.35</v>
      </c>
    </row>
    <row r="107" spans="1:3" ht="17.25" x14ac:dyDescent="0.2">
      <c r="A107" s="59" t="s">
        <v>165</v>
      </c>
      <c r="B107" s="33" t="s">
        <v>166</v>
      </c>
      <c r="C107" s="34">
        <f>[15]С4!F26</f>
        <v>85.988129999999998</v>
      </c>
    </row>
    <row r="108" spans="1:3" ht="25.5" x14ac:dyDescent="0.2">
      <c r="A108" s="59" t="s">
        <v>167</v>
      </c>
      <c r="B108" s="53" t="s">
        <v>94</v>
      </c>
      <c r="C108" s="85">
        <f>[15]С4.3!E16</f>
        <v>0</v>
      </c>
    </row>
    <row r="109" spans="1:3" ht="25.5" x14ac:dyDescent="0.2">
      <c r="A109" s="59" t="s">
        <v>168</v>
      </c>
      <c r="B109" s="53" t="s">
        <v>169</v>
      </c>
      <c r="C109" s="34">
        <f>[15]С4.3!E17</f>
        <v>20.350000000000001</v>
      </c>
    </row>
    <row r="110" spans="1:3" ht="38.25" x14ac:dyDescent="0.2">
      <c r="A110" s="59" t="s">
        <v>170</v>
      </c>
      <c r="B110" s="53" t="s">
        <v>106</v>
      </c>
      <c r="C110" s="85">
        <f>[15]С4.3!E18</f>
        <v>0</v>
      </c>
    </row>
    <row r="111" spans="1:3" x14ac:dyDescent="0.2">
      <c r="A111" s="59" t="s">
        <v>171</v>
      </c>
      <c r="B111" s="53" t="s">
        <v>172</v>
      </c>
      <c r="C111" s="34">
        <f>[15]С4.3!E19</f>
        <v>71.67</v>
      </c>
    </row>
    <row r="112" spans="1:3" x14ac:dyDescent="0.2">
      <c r="A112" s="59" t="s">
        <v>173</v>
      </c>
      <c r="B112" s="58" t="s">
        <v>174</v>
      </c>
      <c r="C112" s="34">
        <f>[15]С4.3!E11</f>
        <v>1871</v>
      </c>
    </row>
    <row r="113" spans="1:3" x14ac:dyDescent="0.2">
      <c r="A113" s="59" t="s">
        <v>175</v>
      </c>
      <c r="B113" s="58" t="s">
        <v>176</v>
      </c>
      <c r="C113" s="52">
        <f>[15]С4.3!E12</f>
        <v>1636</v>
      </c>
    </row>
    <row r="114" spans="1:3" x14ac:dyDescent="0.2">
      <c r="A114" s="59" t="s">
        <v>177</v>
      </c>
      <c r="B114" s="58" t="s">
        <v>178</v>
      </c>
      <c r="C114" s="52">
        <f>[15]С4.3!E13</f>
        <v>204</v>
      </c>
    </row>
    <row r="115" spans="1:3" ht="30" x14ac:dyDescent="0.2">
      <c r="A115" s="59" t="s">
        <v>179</v>
      </c>
      <c r="B115" s="33" t="s">
        <v>180</v>
      </c>
      <c r="C115" s="34">
        <f>[15]С4!F27</f>
        <v>1291.2863994686898</v>
      </c>
    </row>
    <row r="116" spans="1:3" ht="25.5" x14ac:dyDescent="0.2">
      <c r="A116" s="59" t="s">
        <v>181</v>
      </c>
      <c r="B116" s="53" t="s">
        <v>182</v>
      </c>
      <c r="C116" s="34">
        <f>[15]С4!F28</f>
        <v>991.77142816335618</v>
      </c>
    </row>
    <row r="117" spans="1:3" ht="42.75" x14ac:dyDescent="0.2">
      <c r="A117" s="59" t="s">
        <v>183</v>
      </c>
      <c r="B117" s="53" t="s">
        <v>184</v>
      </c>
      <c r="C117" s="34">
        <f>[15]С4!F29</f>
        <v>299.51497130533357</v>
      </c>
    </row>
    <row r="118" spans="1:3" ht="30" x14ac:dyDescent="0.2">
      <c r="A118" s="59" t="s">
        <v>185</v>
      </c>
      <c r="B118" s="39" t="s">
        <v>186</v>
      </c>
      <c r="C118" s="34">
        <f>[15]С4!F30</f>
        <v>1808.8179170884805</v>
      </c>
    </row>
    <row r="119" spans="1:3" ht="42.75" x14ac:dyDescent="0.2">
      <c r="A119" s="59" t="s">
        <v>187</v>
      </c>
      <c r="B119" s="86" t="s">
        <v>188</v>
      </c>
      <c r="C119" s="34">
        <f>[15]С4!F33</f>
        <v>1086.7381687488269</v>
      </c>
    </row>
    <row r="120" spans="1:3" ht="30" x14ac:dyDescent="0.2">
      <c r="A120" s="59" t="s">
        <v>189</v>
      </c>
      <c r="B120" s="87" t="s">
        <v>190</v>
      </c>
      <c r="C120" s="34">
        <f>[15]С4!F35</f>
        <v>17.040680999999999</v>
      </c>
    </row>
    <row r="121" spans="1:3" ht="14.25" x14ac:dyDescent="0.2">
      <c r="A121" s="59" t="s">
        <v>191</v>
      </c>
      <c r="B121" s="56" t="s">
        <v>192</v>
      </c>
      <c r="C121" s="34">
        <f>[15]С4!F36</f>
        <v>14319.9</v>
      </c>
    </row>
    <row r="122" spans="1:3" ht="28.5" thickBot="1" x14ac:dyDescent="0.25">
      <c r="A122" s="72" t="s">
        <v>193</v>
      </c>
      <c r="B122" s="88" t="s">
        <v>194</v>
      </c>
      <c r="C122" s="83">
        <f>[15]С4!F37</f>
        <v>1.19</v>
      </c>
    </row>
    <row r="123" spans="1:3" s="89" customFormat="1" ht="13.5" thickBot="1" x14ac:dyDescent="0.25">
      <c r="A123" s="47"/>
      <c r="B123" s="75"/>
      <c r="C123" s="15"/>
    </row>
    <row r="124" spans="1:3" s="63" customFormat="1" ht="30" customHeight="1" x14ac:dyDescent="0.2">
      <c r="A124" s="76" t="s">
        <v>195</v>
      </c>
      <c r="B124" s="165" t="s">
        <v>196</v>
      </c>
      <c r="C124" s="165"/>
    </row>
    <row r="125" spans="1:3" ht="16.5" thickBot="1" x14ac:dyDescent="0.25">
      <c r="A125" s="27" t="s">
        <v>197</v>
      </c>
      <c r="B125" s="90" t="s">
        <v>198</v>
      </c>
      <c r="C125" s="83">
        <f>[15]С5!F17</f>
        <v>0.02</v>
      </c>
    </row>
    <row r="126" spans="1:3" s="89" customFormat="1" ht="13.5" thickBot="1" x14ac:dyDescent="0.25">
      <c r="A126" s="47"/>
      <c r="B126" s="75"/>
      <c r="C126" s="15"/>
    </row>
    <row r="127" spans="1:3" ht="42.75" customHeight="1" x14ac:dyDescent="0.2">
      <c r="A127" s="84" t="s">
        <v>199</v>
      </c>
      <c r="B127" s="166" t="s">
        <v>200</v>
      </c>
      <c r="C127" s="166"/>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[15]С2!F37</f>
        <v>20.818139999999996</v>
      </c>
    </row>
    <row r="136" spans="1:4" ht="14.25" x14ac:dyDescent="0.2">
      <c r="A136" s="59" t="s">
        <v>216</v>
      </c>
      <c r="B136" s="101" t="s">
        <v>217</v>
      </c>
      <c r="C136" s="34">
        <f>[15]С2!F38</f>
        <v>7</v>
      </c>
    </row>
    <row r="137" spans="1:4" ht="17.25" x14ac:dyDescent="0.2">
      <c r="A137" s="59" t="s">
        <v>218</v>
      </c>
      <c r="B137" s="101" t="s">
        <v>219</v>
      </c>
      <c r="C137" s="34">
        <f>[15]С2!F40</f>
        <v>0.97</v>
      </c>
    </row>
    <row r="138" spans="1:4" ht="15" thickBot="1" x14ac:dyDescent="0.25">
      <c r="A138" s="72" t="s">
        <v>220</v>
      </c>
      <c r="B138" s="102" t="s">
        <v>221</v>
      </c>
      <c r="C138" s="46">
        <f>[15]С2!F42</f>
        <v>0.35</v>
      </c>
    </row>
    <row r="139" spans="1:4" s="89" customFormat="1" ht="13.5" thickBot="1" x14ac:dyDescent="0.25">
      <c r="A139" s="47"/>
      <c r="B139" s="75"/>
      <c r="C139" s="15"/>
    </row>
    <row r="140" spans="1:4" ht="30" x14ac:dyDescent="0.2">
      <c r="A140" s="84" t="s">
        <v>222</v>
      </c>
      <c r="B140" s="103" t="s">
        <v>223</v>
      </c>
      <c r="C140" s="104">
        <f>[15]С2!F35</f>
        <v>1.4976266307379205</v>
      </c>
      <c r="D140" s="89"/>
    </row>
    <row r="141" spans="1:4" ht="22.7" customHeight="1" thickBot="1" x14ac:dyDescent="0.25">
      <c r="A141" s="72" t="s">
        <v>224</v>
      </c>
      <c r="B141" s="161" t="s">
        <v>225</v>
      </c>
      <c r="C141" s="161"/>
      <c r="D141" s="89"/>
    </row>
    <row r="142" spans="1:4" ht="13.5" thickBot="1" x14ac:dyDescent="0.25">
      <c r="A142" s="105"/>
      <c r="B142" s="106" t="s">
        <v>226</v>
      </c>
      <c r="C142" s="107"/>
      <c r="D142" s="89"/>
    </row>
    <row r="143" spans="1:4" x14ac:dyDescent="0.2">
      <c r="A143" s="105"/>
      <c r="B143" s="108">
        <v>2020</v>
      </c>
      <c r="C143" s="109">
        <f>[15]С2.5!$E$11</f>
        <v>-2.9000000000000026E-2</v>
      </c>
      <c r="D143" s="89"/>
    </row>
    <row r="144" spans="1:4" x14ac:dyDescent="0.2">
      <c r="A144" s="105"/>
      <c r="B144" s="110">
        <f>B143+1</f>
        <v>2021</v>
      </c>
      <c r="C144" s="111">
        <f>[15]С2.5!$F$11</f>
        <v>0.245</v>
      </c>
      <c r="D144" s="89"/>
    </row>
    <row r="145" spans="1:4" x14ac:dyDescent="0.2">
      <c r="A145" s="105"/>
      <c r="B145" s="110">
        <f t="shared" ref="B145:B208" si="0">B144+1</f>
        <v>2022</v>
      </c>
      <c r="C145" s="111">
        <f>[15]С2.5!$G$11</f>
        <v>0.114</v>
      </c>
      <c r="D145" s="89"/>
    </row>
    <row r="146" spans="1:4" ht="13.5" thickBot="1" x14ac:dyDescent="0.25">
      <c r="A146" s="105"/>
      <c r="B146" s="112">
        <f t="shared" si="0"/>
        <v>2023</v>
      </c>
      <c r="C146" s="113">
        <f>[15]С2.5!$H$11</f>
        <v>2.4E-2</v>
      </c>
      <c r="D146" s="89"/>
    </row>
    <row r="147" spans="1:4" x14ac:dyDescent="0.2">
      <c r="A147" s="105"/>
      <c r="B147" s="114">
        <f t="shared" si="0"/>
        <v>2024</v>
      </c>
      <c r="C147" s="115">
        <f>[15]С2.5!$I$11</f>
        <v>8.5999999999999993E-2</v>
      </c>
      <c r="D147" s="89"/>
    </row>
    <row r="148" spans="1:4" hidden="1" x14ac:dyDescent="0.2">
      <c r="A148" s="105"/>
      <c r="B148" s="110">
        <f t="shared" si="0"/>
        <v>2025</v>
      </c>
      <c r="C148" s="111">
        <f>[15]С2.5!$J$11</f>
        <v>0.21215960863291</v>
      </c>
      <c r="D148" s="89"/>
    </row>
    <row r="149" spans="1:4" hidden="1" x14ac:dyDescent="0.2">
      <c r="A149" s="105"/>
      <c r="B149" s="110">
        <f t="shared" si="0"/>
        <v>2026</v>
      </c>
      <c r="C149" s="111">
        <f>[15]С2.5!$K$11</f>
        <v>3.5813361771260002E-2</v>
      </c>
      <c r="D149" s="89"/>
    </row>
    <row r="150" spans="1:4" hidden="1" x14ac:dyDescent="0.2">
      <c r="A150" s="105"/>
      <c r="B150" s="110">
        <f t="shared" si="0"/>
        <v>2027</v>
      </c>
      <c r="C150" s="111">
        <f>[15]С2.5!$L$11</f>
        <v>3.2682303599220003E-2</v>
      </c>
      <c r="D150" s="89"/>
    </row>
    <row r="151" spans="1:4" hidden="1" x14ac:dyDescent="0.2">
      <c r="A151" s="105"/>
      <c r="B151" s="110">
        <f t="shared" si="0"/>
        <v>2028</v>
      </c>
      <c r="C151" s="111">
        <f>[15]С2.5!$M$11</f>
        <v>0</v>
      </c>
      <c r="D151" s="89"/>
    </row>
    <row r="152" spans="1:4" hidden="1" x14ac:dyDescent="0.2">
      <c r="A152" s="105"/>
      <c r="B152" s="110">
        <f t="shared" si="0"/>
        <v>2029</v>
      </c>
      <c r="C152" s="111">
        <f>[15]С2.5!$N$11</f>
        <v>0</v>
      </c>
      <c r="D152" s="89"/>
    </row>
    <row r="153" spans="1:4" hidden="1" x14ac:dyDescent="0.2">
      <c r="A153" s="105"/>
      <c r="B153" s="110">
        <f t="shared" si="0"/>
        <v>2030</v>
      </c>
      <c r="C153" s="111">
        <f>[15]С2.5!$O$11</f>
        <v>0</v>
      </c>
      <c r="D153" s="89"/>
    </row>
    <row r="154" spans="1:4" hidden="1" x14ac:dyDescent="0.2">
      <c r="A154" s="105"/>
      <c r="B154" s="110">
        <f t="shared" si="0"/>
        <v>2031</v>
      </c>
      <c r="C154" s="111">
        <f>[15]С2.5!$P$11</f>
        <v>0</v>
      </c>
      <c r="D154" s="89"/>
    </row>
    <row r="155" spans="1:4" hidden="1" x14ac:dyDescent="0.2">
      <c r="A155" s="89"/>
      <c r="B155" s="110">
        <f t="shared" si="0"/>
        <v>2032</v>
      </c>
      <c r="C155" s="111">
        <f>[15]С2.5!$Q$11</f>
        <v>0</v>
      </c>
      <c r="D155" s="89"/>
    </row>
    <row r="156" spans="1:4" hidden="1" x14ac:dyDescent="0.2">
      <c r="A156" s="89"/>
      <c r="B156" s="110">
        <f t="shared" si="0"/>
        <v>2033</v>
      </c>
      <c r="C156" s="111">
        <f>[15]С2.5!$R$11</f>
        <v>0</v>
      </c>
      <c r="D156" s="89"/>
    </row>
    <row r="157" spans="1:4" hidden="1" x14ac:dyDescent="0.2">
      <c r="B157" s="110">
        <f t="shared" si="0"/>
        <v>2034</v>
      </c>
      <c r="C157" s="111">
        <f>[15]С2.5!$S$11</f>
        <v>0</v>
      </c>
    </row>
    <row r="158" spans="1:4" hidden="1" x14ac:dyDescent="0.2">
      <c r="B158" s="110">
        <f t="shared" si="0"/>
        <v>2035</v>
      </c>
      <c r="C158" s="111">
        <f>[15]С2.5!$T$11</f>
        <v>0</v>
      </c>
    </row>
    <row r="159" spans="1:4" hidden="1" x14ac:dyDescent="0.2">
      <c r="B159" s="110">
        <f t="shared" si="0"/>
        <v>2036</v>
      </c>
      <c r="C159" s="111">
        <f>[15]С2.5!$U$11</f>
        <v>0</v>
      </c>
    </row>
    <row r="160" spans="1:4" hidden="1" x14ac:dyDescent="0.2">
      <c r="B160" s="110">
        <f t="shared" si="0"/>
        <v>2037</v>
      </c>
      <c r="C160" s="111">
        <f>[15]С2.5!$V$11</f>
        <v>0</v>
      </c>
    </row>
    <row r="161" spans="2:3" hidden="1" x14ac:dyDescent="0.2">
      <c r="B161" s="110">
        <f t="shared" si="0"/>
        <v>2038</v>
      </c>
      <c r="C161" s="111">
        <f>[15]С2.5!$W$11</f>
        <v>0</v>
      </c>
    </row>
    <row r="162" spans="2:3" hidden="1" x14ac:dyDescent="0.2">
      <c r="B162" s="110">
        <f t="shared" si="0"/>
        <v>2039</v>
      </c>
      <c r="C162" s="111">
        <f>[15]С2.5!$X$11</f>
        <v>0</v>
      </c>
    </row>
    <row r="163" spans="2:3" hidden="1" x14ac:dyDescent="0.2">
      <c r="B163" s="110">
        <f t="shared" si="0"/>
        <v>2040</v>
      </c>
      <c r="C163" s="111">
        <f>[15]С2.5!$Y$11</f>
        <v>0</v>
      </c>
    </row>
    <row r="164" spans="2:3" hidden="1" x14ac:dyDescent="0.2">
      <c r="B164" s="110">
        <f t="shared" si="0"/>
        <v>2041</v>
      </c>
      <c r="C164" s="111">
        <f>[15]С2.5!$Z$11</f>
        <v>0</v>
      </c>
    </row>
    <row r="165" spans="2:3" hidden="1" x14ac:dyDescent="0.2">
      <c r="B165" s="110">
        <f t="shared" si="0"/>
        <v>2042</v>
      </c>
      <c r="C165" s="111">
        <f>[15]С2.5!$AA$11</f>
        <v>0</v>
      </c>
    </row>
    <row r="166" spans="2:3" hidden="1" x14ac:dyDescent="0.2">
      <c r="B166" s="110">
        <f t="shared" si="0"/>
        <v>2043</v>
      </c>
      <c r="C166" s="111">
        <f>[15]С2.5!$AB$11</f>
        <v>0</v>
      </c>
    </row>
    <row r="167" spans="2:3" hidden="1" x14ac:dyDescent="0.2">
      <c r="B167" s="110">
        <f t="shared" si="0"/>
        <v>2044</v>
      </c>
      <c r="C167" s="111">
        <f>[15]С2.5!$AC$11</f>
        <v>0</v>
      </c>
    </row>
    <row r="168" spans="2:3" hidden="1" x14ac:dyDescent="0.2">
      <c r="B168" s="110">
        <f t="shared" si="0"/>
        <v>2045</v>
      </c>
      <c r="C168" s="111">
        <f>[15]С2.5!$AD$11</f>
        <v>0</v>
      </c>
    </row>
    <row r="169" spans="2:3" hidden="1" x14ac:dyDescent="0.2">
      <c r="B169" s="110">
        <f t="shared" si="0"/>
        <v>2046</v>
      </c>
      <c r="C169" s="111">
        <f>[15]С2.5!$AE$11</f>
        <v>0</v>
      </c>
    </row>
    <row r="170" spans="2:3" hidden="1" x14ac:dyDescent="0.2">
      <c r="B170" s="110">
        <f t="shared" si="0"/>
        <v>2047</v>
      </c>
      <c r="C170" s="111">
        <f>[15]С2.5!$AF$11</f>
        <v>0</v>
      </c>
    </row>
    <row r="171" spans="2:3" hidden="1" x14ac:dyDescent="0.2">
      <c r="B171" s="110">
        <f t="shared" si="0"/>
        <v>2048</v>
      </c>
      <c r="C171" s="111">
        <f>[15]С2.5!$AG$11</f>
        <v>0</v>
      </c>
    </row>
    <row r="172" spans="2:3" hidden="1" x14ac:dyDescent="0.2">
      <c r="B172" s="110">
        <f t="shared" si="0"/>
        <v>2049</v>
      </c>
      <c r="C172" s="111">
        <f>[15]С2.5!$AH$11</f>
        <v>0</v>
      </c>
    </row>
    <row r="173" spans="2:3" hidden="1" x14ac:dyDescent="0.2">
      <c r="B173" s="110">
        <f t="shared" si="0"/>
        <v>2050</v>
      </c>
      <c r="C173" s="111">
        <f>[15]С2.5!$AI$11</f>
        <v>0</v>
      </c>
    </row>
    <row r="174" spans="2:3" hidden="1" x14ac:dyDescent="0.2">
      <c r="B174" s="110">
        <f t="shared" si="0"/>
        <v>2051</v>
      </c>
      <c r="C174" s="111">
        <f>[15]С2.5!$AJ$11</f>
        <v>0</v>
      </c>
    </row>
    <row r="175" spans="2:3" hidden="1" x14ac:dyDescent="0.2">
      <c r="B175" s="110">
        <f t="shared" si="0"/>
        <v>2052</v>
      </c>
      <c r="C175" s="111">
        <f>[15]С2.5!$AK$11</f>
        <v>0</v>
      </c>
    </row>
    <row r="176" spans="2:3" hidden="1" x14ac:dyDescent="0.2">
      <c r="B176" s="110">
        <f t="shared" si="0"/>
        <v>2053</v>
      </c>
      <c r="C176" s="111">
        <f>[15]С2.5!$AL$11</f>
        <v>0</v>
      </c>
    </row>
    <row r="177" spans="2:3" hidden="1" x14ac:dyDescent="0.2">
      <c r="B177" s="110">
        <f t="shared" si="0"/>
        <v>2054</v>
      </c>
      <c r="C177" s="111">
        <f>[15]С2.5!$AM$11</f>
        <v>0</v>
      </c>
    </row>
    <row r="178" spans="2:3" hidden="1" x14ac:dyDescent="0.2">
      <c r="B178" s="110">
        <f t="shared" si="0"/>
        <v>2055</v>
      </c>
      <c r="C178" s="111">
        <f>[15]С2.5!$AN$11</f>
        <v>0</v>
      </c>
    </row>
    <row r="179" spans="2:3" hidden="1" x14ac:dyDescent="0.2">
      <c r="B179" s="110">
        <f t="shared" si="0"/>
        <v>2056</v>
      </c>
      <c r="C179" s="111">
        <f>[15]С2.5!$AO$11</f>
        <v>0</v>
      </c>
    </row>
    <row r="180" spans="2:3" hidden="1" x14ac:dyDescent="0.2">
      <c r="B180" s="110">
        <f t="shared" si="0"/>
        <v>2057</v>
      </c>
      <c r="C180" s="111">
        <f>[15]С2.5!$AP$11</f>
        <v>0</v>
      </c>
    </row>
    <row r="181" spans="2:3" hidden="1" x14ac:dyDescent="0.2">
      <c r="B181" s="110">
        <f t="shared" si="0"/>
        <v>2058</v>
      </c>
      <c r="C181" s="111">
        <f>[15]С2.5!$AQ$11</f>
        <v>0</v>
      </c>
    </row>
    <row r="182" spans="2:3" hidden="1" x14ac:dyDescent="0.2">
      <c r="B182" s="110">
        <f t="shared" si="0"/>
        <v>2059</v>
      </c>
      <c r="C182" s="111">
        <f>[15]С2.5!$AR$11</f>
        <v>0</v>
      </c>
    </row>
    <row r="183" spans="2:3" hidden="1" x14ac:dyDescent="0.2">
      <c r="B183" s="110">
        <f t="shared" si="0"/>
        <v>2060</v>
      </c>
      <c r="C183" s="111">
        <f>[15]С2.5!$AS$11</f>
        <v>0</v>
      </c>
    </row>
    <row r="184" spans="2:3" hidden="1" x14ac:dyDescent="0.2">
      <c r="B184" s="110">
        <f t="shared" si="0"/>
        <v>2061</v>
      </c>
      <c r="C184" s="111">
        <f>[15]С2.5!$AT$11</f>
        <v>0</v>
      </c>
    </row>
    <row r="185" spans="2:3" hidden="1" x14ac:dyDescent="0.2">
      <c r="B185" s="110">
        <f t="shared" si="0"/>
        <v>2062</v>
      </c>
      <c r="C185" s="111">
        <f>[15]С2.5!$AU$11</f>
        <v>0</v>
      </c>
    </row>
    <row r="186" spans="2:3" hidden="1" x14ac:dyDescent="0.2">
      <c r="B186" s="110">
        <f t="shared" si="0"/>
        <v>2063</v>
      </c>
      <c r="C186" s="111">
        <f>[15]С2.5!$AV$11</f>
        <v>0</v>
      </c>
    </row>
    <row r="187" spans="2:3" hidden="1" x14ac:dyDescent="0.2">
      <c r="B187" s="110">
        <f t="shared" si="0"/>
        <v>2064</v>
      </c>
      <c r="C187" s="111">
        <f>[15]С2.5!$AW$11</f>
        <v>0</v>
      </c>
    </row>
    <row r="188" spans="2:3" hidden="1" x14ac:dyDescent="0.2">
      <c r="B188" s="110">
        <f t="shared" si="0"/>
        <v>2065</v>
      </c>
      <c r="C188" s="111">
        <f>[15]С2.5!$AX$11</f>
        <v>0</v>
      </c>
    </row>
    <row r="189" spans="2:3" hidden="1" x14ac:dyDescent="0.2">
      <c r="B189" s="110">
        <f t="shared" si="0"/>
        <v>2066</v>
      </c>
      <c r="C189" s="111">
        <f>[15]С2.5!$AY$11</f>
        <v>0</v>
      </c>
    </row>
    <row r="190" spans="2:3" hidden="1" x14ac:dyDescent="0.2">
      <c r="B190" s="110">
        <f t="shared" si="0"/>
        <v>2067</v>
      </c>
      <c r="C190" s="111">
        <f>[15]С2.5!$AZ$11</f>
        <v>0</v>
      </c>
    </row>
    <row r="191" spans="2:3" hidden="1" x14ac:dyDescent="0.2">
      <c r="B191" s="110">
        <f t="shared" si="0"/>
        <v>2068</v>
      </c>
      <c r="C191" s="111">
        <f>[15]С2.5!$BA$11</f>
        <v>0</v>
      </c>
    </row>
    <row r="192" spans="2:3" hidden="1" x14ac:dyDescent="0.2">
      <c r="B192" s="110">
        <f t="shared" si="0"/>
        <v>2069</v>
      </c>
      <c r="C192" s="111">
        <f>[15]С2.5!$BB$11</f>
        <v>0</v>
      </c>
    </row>
    <row r="193" spans="2:3" hidden="1" x14ac:dyDescent="0.2">
      <c r="B193" s="110">
        <f t="shared" si="0"/>
        <v>2070</v>
      </c>
      <c r="C193" s="111">
        <f>[15]С2.5!$BC$11</f>
        <v>0</v>
      </c>
    </row>
    <row r="194" spans="2:3" hidden="1" x14ac:dyDescent="0.2">
      <c r="B194" s="110">
        <f t="shared" si="0"/>
        <v>2071</v>
      </c>
      <c r="C194" s="111">
        <f>[15]С2.5!$BD$11</f>
        <v>0</v>
      </c>
    </row>
    <row r="195" spans="2:3" hidden="1" x14ac:dyDescent="0.2">
      <c r="B195" s="110">
        <f t="shared" si="0"/>
        <v>2072</v>
      </c>
      <c r="C195" s="111">
        <f>[15]С2.5!$BE$11</f>
        <v>0</v>
      </c>
    </row>
    <row r="196" spans="2:3" hidden="1" x14ac:dyDescent="0.2">
      <c r="B196" s="110">
        <f t="shared" si="0"/>
        <v>2073</v>
      </c>
      <c r="C196" s="111">
        <f>[15]С2.5!$BF$11</f>
        <v>0</v>
      </c>
    </row>
    <row r="197" spans="2:3" hidden="1" x14ac:dyDescent="0.2">
      <c r="B197" s="110">
        <f t="shared" si="0"/>
        <v>2074</v>
      </c>
      <c r="C197" s="111">
        <f>[15]С2.5!$BG$11</f>
        <v>0</v>
      </c>
    </row>
    <row r="198" spans="2:3" hidden="1" x14ac:dyDescent="0.2">
      <c r="B198" s="110">
        <f t="shared" si="0"/>
        <v>2075</v>
      </c>
      <c r="C198" s="111">
        <f>[15]С2.5!$BH$11</f>
        <v>0</v>
      </c>
    </row>
    <row r="199" spans="2:3" hidden="1" x14ac:dyDescent="0.2">
      <c r="B199" s="110">
        <f t="shared" si="0"/>
        <v>2076</v>
      </c>
      <c r="C199" s="111">
        <f>[15]С2.5!$BI$11</f>
        <v>0</v>
      </c>
    </row>
    <row r="200" spans="2:3" hidden="1" x14ac:dyDescent="0.2">
      <c r="B200" s="110">
        <f t="shared" si="0"/>
        <v>2077</v>
      </c>
      <c r="C200" s="111">
        <f>[15]С2.5!$BJ$11</f>
        <v>0</v>
      </c>
    </row>
    <row r="201" spans="2:3" hidden="1" x14ac:dyDescent="0.2">
      <c r="B201" s="110">
        <f t="shared" si="0"/>
        <v>2078</v>
      </c>
      <c r="C201" s="111">
        <f>[15]С2.5!$BK$11</f>
        <v>0</v>
      </c>
    </row>
    <row r="202" spans="2:3" hidden="1" x14ac:dyDescent="0.2">
      <c r="B202" s="110">
        <f t="shared" si="0"/>
        <v>2079</v>
      </c>
      <c r="C202" s="111">
        <f>[15]С2.5!$BL$11</f>
        <v>0</v>
      </c>
    </row>
    <row r="203" spans="2:3" hidden="1" x14ac:dyDescent="0.2">
      <c r="B203" s="110">
        <f t="shared" si="0"/>
        <v>2080</v>
      </c>
      <c r="C203" s="111">
        <f>[15]С2.5!$BM$11</f>
        <v>0</v>
      </c>
    </row>
    <row r="204" spans="2:3" hidden="1" x14ac:dyDescent="0.2">
      <c r="B204" s="110">
        <f t="shared" si="0"/>
        <v>2081</v>
      </c>
      <c r="C204" s="111">
        <f>[15]С2.5!$BN$11</f>
        <v>0</v>
      </c>
    </row>
    <row r="205" spans="2:3" hidden="1" x14ac:dyDescent="0.2">
      <c r="B205" s="110">
        <f t="shared" si="0"/>
        <v>2082</v>
      </c>
      <c r="C205" s="111">
        <f>[15]С2.5!$BO$11</f>
        <v>0</v>
      </c>
    </row>
    <row r="206" spans="2:3" hidden="1" x14ac:dyDescent="0.2">
      <c r="B206" s="110">
        <f t="shared" si="0"/>
        <v>2083</v>
      </c>
      <c r="C206" s="111">
        <f>[15]С2.5!$BP$11</f>
        <v>0</v>
      </c>
    </row>
    <row r="207" spans="2:3" hidden="1" x14ac:dyDescent="0.2">
      <c r="B207" s="110">
        <f t="shared" si="0"/>
        <v>2084</v>
      </c>
      <c r="C207" s="111">
        <f>[15]С2.5!$BQ$11</f>
        <v>0</v>
      </c>
    </row>
    <row r="208" spans="2:3" hidden="1" x14ac:dyDescent="0.2">
      <c r="B208" s="110">
        <f t="shared" si="0"/>
        <v>2085</v>
      </c>
      <c r="C208" s="111">
        <f>[15]С2.5!$BR$11</f>
        <v>0</v>
      </c>
    </row>
    <row r="209" spans="2:3" hidden="1" x14ac:dyDescent="0.2">
      <c r="B209" s="110">
        <f t="shared" ref="B209:B223" si="1">B208+1</f>
        <v>2086</v>
      </c>
      <c r="C209" s="111">
        <f>[15]С2.5!$BS$11</f>
        <v>0</v>
      </c>
    </row>
    <row r="210" spans="2:3" hidden="1" x14ac:dyDescent="0.2">
      <c r="B210" s="110">
        <f t="shared" si="1"/>
        <v>2087</v>
      </c>
      <c r="C210" s="111">
        <f>[15]С2.5!$BT$11</f>
        <v>0</v>
      </c>
    </row>
    <row r="211" spans="2:3" hidden="1" x14ac:dyDescent="0.2">
      <c r="B211" s="110">
        <f t="shared" si="1"/>
        <v>2088</v>
      </c>
      <c r="C211" s="111">
        <f>[15]С2.5!$BU$11</f>
        <v>0</v>
      </c>
    </row>
    <row r="212" spans="2:3" hidden="1" x14ac:dyDescent="0.2">
      <c r="B212" s="110">
        <f t="shared" si="1"/>
        <v>2089</v>
      </c>
      <c r="C212" s="111">
        <f>[15]С2.5!$BV$11</f>
        <v>0</v>
      </c>
    </row>
    <row r="213" spans="2:3" hidden="1" x14ac:dyDescent="0.2">
      <c r="B213" s="110">
        <f t="shared" si="1"/>
        <v>2090</v>
      </c>
      <c r="C213" s="111">
        <f>[15]С2.5!$BW$11</f>
        <v>0</v>
      </c>
    </row>
    <row r="214" spans="2:3" hidden="1" x14ac:dyDescent="0.2">
      <c r="B214" s="110">
        <f t="shared" si="1"/>
        <v>2091</v>
      </c>
      <c r="C214" s="111">
        <f>[15]С2.5!$BX$11</f>
        <v>0</v>
      </c>
    </row>
    <row r="215" spans="2:3" hidden="1" x14ac:dyDescent="0.2">
      <c r="B215" s="110">
        <f t="shared" si="1"/>
        <v>2092</v>
      </c>
      <c r="C215" s="111">
        <f>[15]С2.5!$BY$11</f>
        <v>0</v>
      </c>
    </row>
    <row r="216" spans="2:3" hidden="1" x14ac:dyDescent="0.2">
      <c r="B216" s="110">
        <f t="shared" si="1"/>
        <v>2093</v>
      </c>
      <c r="C216" s="111">
        <f>[15]С2.5!$BZ$11</f>
        <v>0</v>
      </c>
    </row>
    <row r="217" spans="2:3" hidden="1" x14ac:dyDescent="0.2">
      <c r="B217" s="110">
        <f t="shared" si="1"/>
        <v>2094</v>
      </c>
      <c r="C217" s="111">
        <f>[15]С2.5!$CA$11</f>
        <v>0</v>
      </c>
    </row>
    <row r="218" spans="2:3" hidden="1" x14ac:dyDescent="0.2">
      <c r="B218" s="110">
        <f t="shared" si="1"/>
        <v>2095</v>
      </c>
      <c r="C218" s="111">
        <f>[15]С2.5!$CB$11</f>
        <v>0</v>
      </c>
    </row>
    <row r="219" spans="2:3" hidden="1" x14ac:dyDescent="0.2">
      <c r="B219" s="110">
        <f t="shared" si="1"/>
        <v>2096</v>
      </c>
      <c r="C219" s="111">
        <f>[15]С2.5!$CC$11</f>
        <v>0</v>
      </c>
    </row>
    <row r="220" spans="2:3" hidden="1" x14ac:dyDescent="0.2">
      <c r="B220" s="110">
        <f t="shared" si="1"/>
        <v>2097</v>
      </c>
      <c r="C220" s="111">
        <f>[15]С2.5!$CD$11</f>
        <v>0</v>
      </c>
    </row>
    <row r="221" spans="2:3" hidden="1" x14ac:dyDescent="0.2">
      <c r="B221" s="110">
        <f t="shared" si="1"/>
        <v>2098</v>
      </c>
      <c r="C221" s="111">
        <f>[15]С2.5!$CE$11</f>
        <v>0</v>
      </c>
    </row>
    <row r="222" spans="2:3" hidden="1" x14ac:dyDescent="0.2">
      <c r="B222" s="110">
        <f t="shared" si="1"/>
        <v>2099</v>
      </c>
      <c r="C222" s="111">
        <f>[15]С2.5!$CF$11</f>
        <v>0</v>
      </c>
    </row>
    <row r="223" spans="2:3" ht="13.5" hidden="1" thickBot="1" x14ac:dyDescent="0.25">
      <c r="B223" s="112">
        <f t="shared" si="1"/>
        <v>2100</v>
      </c>
      <c r="C223" s="113">
        <f>[15]С2.5!$CG$11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Button 1">
              <controlPr defaultSize="0" print="0" autoFill="0" autoPict="0" macro="[8]!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11266" r:id="rId4" name="Button 2">
              <controlPr defaultSize="0" print="0" autoFill="0" autoPict="0" macro="[15]!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26"/>
  <sheetViews>
    <sheetView workbookViewId="0">
      <selection activeCell="C2" sqref="C2"/>
    </sheetView>
  </sheetViews>
  <sheetFormatPr defaultRowHeight="12.75" x14ac:dyDescent="0.2"/>
  <cols>
    <col min="1" max="1" width="7.28515625" style="2" customWidth="1"/>
    <col min="2" max="2" width="100.7109375" style="2" customWidth="1"/>
    <col min="3" max="3" width="20.85546875" style="139" customWidth="1"/>
    <col min="4" max="4" width="22.85546875" style="159" customWidth="1"/>
    <col min="5" max="5" width="5.140625" style="2" customWidth="1"/>
    <col min="6" max="6" width="17.5703125" style="2" customWidth="1"/>
    <col min="7" max="159" width="9.140625" style="2"/>
    <col min="160" max="241" width="0" style="2" hidden="1" customWidth="1"/>
    <col min="242" max="250" width="9.140625" style="2"/>
    <col min="251" max="251" width="3.7109375" style="2" customWidth="1"/>
    <col min="252" max="252" width="96.85546875" style="2" customWidth="1"/>
    <col min="253" max="253" width="30.85546875" style="2" customWidth="1"/>
    <col min="254" max="254" width="12.5703125" style="2" customWidth="1"/>
    <col min="255" max="255" width="5.140625" style="2" customWidth="1"/>
    <col min="256" max="256" width="9.140625" style="2"/>
    <col min="257" max="257" width="4.85546875" style="2" customWidth="1"/>
    <col min="258" max="258" width="30.5703125" style="2" customWidth="1"/>
    <col min="259" max="259" width="33.85546875" style="2" customWidth="1"/>
    <col min="260" max="260" width="5.140625" style="2" customWidth="1"/>
    <col min="261" max="262" width="17.5703125" style="2" customWidth="1"/>
    <col min="263" max="506" width="9.140625" style="2"/>
    <col min="507" max="507" width="3.7109375" style="2" customWidth="1"/>
    <col min="508" max="508" width="96.85546875" style="2" customWidth="1"/>
    <col min="509" max="509" width="30.85546875" style="2" customWidth="1"/>
    <col min="510" max="510" width="12.5703125" style="2" customWidth="1"/>
    <col min="511" max="511" width="5.140625" style="2" customWidth="1"/>
    <col min="512" max="512" width="9.140625" style="2"/>
    <col min="513" max="513" width="4.85546875" style="2" customWidth="1"/>
    <col min="514" max="514" width="30.5703125" style="2" customWidth="1"/>
    <col min="515" max="515" width="33.85546875" style="2" customWidth="1"/>
    <col min="516" max="516" width="5.140625" style="2" customWidth="1"/>
    <col min="517" max="518" width="17.5703125" style="2" customWidth="1"/>
    <col min="519" max="762" width="9.140625" style="2"/>
    <col min="763" max="763" width="3.7109375" style="2" customWidth="1"/>
    <col min="764" max="764" width="96.85546875" style="2" customWidth="1"/>
    <col min="765" max="765" width="30.85546875" style="2" customWidth="1"/>
    <col min="766" max="766" width="12.5703125" style="2" customWidth="1"/>
    <col min="767" max="767" width="5.140625" style="2" customWidth="1"/>
    <col min="768" max="768" width="9.140625" style="2"/>
    <col min="769" max="769" width="4.85546875" style="2" customWidth="1"/>
    <col min="770" max="770" width="30.5703125" style="2" customWidth="1"/>
    <col min="771" max="771" width="33.85546875" style="2" customWidth="1"/>
    <col min="772" max="772" width="5.140625" style="2" customWidth="1"/>
    <col min="773" max="774" width="17.5703125" style="2" customWidth="1"/>
    <col min="775" max="1018" width="9.140625" style="2"/>
    <col min="1019" max="1019" width="3.7109375" style="2" customWidth="1"/>
    <col min="1020" max="1020" width="96.85546875" style="2" customWidth="1"/>
    <col min="1021" max="1021" width="30.85546875" style="2" customWidth="1"/>
    <col min="1022" max="1022" width="12.5703125" style="2" customWidth="1"/>
    <col min="1023" max="1023" width="5.140625" style="2" customWidth="1"/>
    <col min="1024" max="1024" width="9.140625" style="2"/>
    <col min="1025" max="1025" width="4.85546875" style="2" customWidth="1"/>
    <col min="1026" max="1026" width="30.5703125" style="2" customWidth="1"/>
    <col min="1027" max="1027" width="33.85546875" style="2" customWidth="1"/>
    <col min="1028" max="1028" width="5.140625" style="2" customWidth="1"/>
    <col min="1029" max="1030" width="17.5703125" style="2" customWidth="1"/>
    <col min="1031" max="1274" width="9.140625" style="2"/>
    <col min="1275" max="1275" width="3.7109375" style="2" customWidth="1"/>
    <col min="1276" max="1276" width="96.85546875" style="2" customWidth="1"/>
    <col min="1277" max="1277" width="30.85546875" style="2" customWidth="1"/>
    <col min="1278" max="1278" width="12.5703125" style="2" customWidth="1"/>
    <col min="1279" max="1279" width="5.140625" style="2" customWidth="1"/>
    <col min="1280" max="1280" width="9.140625" style="2"/>
    <col min="1281" max="1281" width="4.85546875" style="2" customWidth="1"/>
    <col min="1282" max="1282" width="30.5703125" style="2" customWidth="1"/>
    <col min="1283" max="1283" width="33.85546875" style="2" customWidth="1"/>
    <col min="1284" max="1284" width="5.140625" style="2" customWidth="1"/>
    <col min="1285" max="1286" width="17.5703125" style="2" customWidth="1"/>
    <col min="1287" max="1530" width="9.140625" style="2"/>
    <col min="1531" max="1531" width="3.7109375" style="2" customWidth="1"/>
    <col min="1532" max="1532" width="96.85546875" style="2" customWidth="1"/>
    <col min="1533" max="1533" width="30.85546875" style="2" customWidth="1"/>
    <col min="1534" max="1534" width="12.5703125" style="2" customWidth="1"/>
    <col min="1535" max="1535" width="5.140625" style="2" customWidth="1"/>
    <col min="1536" max="1536" width="9.140625" style="2"/>
    <col min="1537" max="1537" width="4.85546875" style="2" customWidth="1"/>
    <col min="1538" max="1538" width="30.5703125" style="2" customWidth="1"/>
    <col min="1539" max="1539" width="33.85546875" style="2" customWidth="1"/>
    <col min="1540" max="1540" width="5.140625" style="2" customWidth="1"/>
    <col min="1541" max="1542" width="17.5703125" style="2" customWidth="1"/>
    <col min="1543" max="1786" width="9.140625" style="2"/>
    <col min="1787" max="1787" width="3.7109375" style="2" customWidth="1"/>
    <col min="1788" max="1788" width="96.85546875" style="2" customWidth="1"/>
    <col min="1789" max="1789" width="30.85546875" style="2" customWidth="1"/>
    <col min="1790" max="1790" width="12.5703125" style="2" customWidth="1"/>
    <col min="1791" max="1791" width="5.140625" style="2" customWidth="1"/>
    <col min="1792" max="1792" width="9.140625" style="2"/>
    <col min="1793" max="1793" width="4.85546875" style="2" customWidth="1"/>
    <col min="1794" max="1794" width="30.5703125" style="2" customWidth="1"/>
    <col min="1795" max="1795" width="33.85546875" style="2" customWidth="1"/>
    <col min="1796" max="1796" width="5.140625" style="2" customWidth="1"/>
    <col min="1797" max="1798" width="17.5703125" style="2" customWidth="1"/>
    <col min="1799" max="2042" width="9.140625" style="2"/>
    <col min="2043" max="2043" width="3.7109375" style="2" customWidth="1"/>
    <col min="2044" max="2044" width="96.85546875" style="2" customWidth="1"/>
    <col min="2045" max="2045" width="30.85546875" style="2" customWidth="1"/>
    <col min="2046" max="2046" width="12.5703125" style="2" customWidth="1"/>
    <col min="2047" max="2047" width="5.140625" style="2" customWidth="1"/>
    <col min="2048" max="2048" width="9.140625" style="2"/>
    <col min="2049" max="2049" width="4.85546875" style="2" customWidth="1"/>
    <col min="2050" max="2050" width="30.5703125" style="2" customWidth="1"/>
    <col min="2051" max="2051" width="33.85546875" style="2" customWidth="1"/>
    <col min="2052" max="2052" width="5.140625" style="2" customWidth="1"/>
    <col min="2053" max="2054" width="17.5703125" style="2" customWidth="1"/>
    <col min="2055" max="2298" width="9.140625" style="2"/>
    <col min="2299" max="2299" width="3.7109375" style="2" customWidth="1"/>
    <col min="2300" max="2300" width="96.85546875" style="2" customWidth="1"/>
    <col min="2301" max="2301" width="30.85546875" style="2" customWidth="1"/>
    <col min="2302" max="2302" width="12.5703125" style="2" customWidth="1"/>
    <col min="2303" max="2303" width="5.140625" style="2" customWidth="1"/>
    <col min="2304" max="2304" width="9.140625" style="2"/>
    <col min="2305" max="2305" width="4.85546875" style="2" customWidth="1"/>
    <col min="2306" max="2306" width="30.5703125" style="2" customWidth="1"/>
    <col min="2307" max="2307" width="33.85546875" style="2" customWidth="1"/>
    <col min="2308" max="2308" width="5.140625" style="2" customWidth="1"/>
    <col min="2309" max="2310" width="17.5703125" style="2" customWidth="1"/>
    <col min="2311" max="2554" width="9.140625" style="2"/>
    <col min="2555" max="2555" width="3.7109375" style="2" customWidth="1"/>
    <col min="2556" max="2556" width="96.85546875" style="2" customWidth="1"/>
    <col min="2557" max="2557" width="30.85546875" style="2" customWidth="1"/>
    <col min="2558" max="2558" width="12.5703125" style="2" customWidth="1"/>
    <col min="2559" max="2559" width="5.140625" style="2" customWidth="1"/>
    <col min="2560" max="2560" width="9.140625" style="2"/>
    <col min="2561" max="2561" width="4.85546875" style="2" customWidth="1"/>
    <col min="2562" max="2562" width="30.5703125" style="2" customWidth="1"/>
    <col min="2563" max="2563" width="33.85546875" style="2" customWidth="1"/>
    <col min="2564" max="2564" width="5.140625" style="2" customWidth="1"/>
    <col min="2565" max="2566" width="17.5703125" style="2" customWidth="1"/>
    <col min="2567" max="2810" width="9.140625" style="2"/>
    <col min="2811" max="2811" width="3.7109375" style="2" customWidth="1"/>
    <col min="2812" max="2812" width="96.85546875" style="2" customWidth="1"/>
    <col min="2813" max="2813" width="30.85546875" style="2" customWidth="1"/>
    <col min="2814" max="2814" width="12.5703125" style="2" customWidth="1"/>
    <col min="2815" max="2815" width="5.140625" style="2" customWidth="1"/>
    <col min="2816" max="2816" width="9.140625" style="2"/>
    <col min="2817" max="2817" width="4.85546875" style="2" customWidth="1"/>
    <col min="2818" max="2818" width="30.5703125" style="2" customWidth="1"/>
    <col min="2819" max="2819" width="33.85546875" style="2" customWidth="1"/>
    <col min="2820" max="2820" width="5.140625" style="2" customWidth="1"/>
    <col min="2821" max="2822" width="17.5703125" style="2" customWidth="1"/>
    <col min="2823" max="3066" width="9.140625" style="2"/>
    <col min="3067" max="3067" width="3.7109375" style="2" customWidth="1"/>
    <col min="3068" max="3068" width="96.85546875" style="2" customWidth="1"/>
    <col min="3069" max="3069" width="30.85546875" style="2" customWidth="1"/>
    <col min="3070" max="3070" width="12.5703125" style="2" customWidth="1"/>
    <col min="3071" max="3071" width="5.140625" style="2" customWidth="1"/>
    <col min="3072" max="3072" width="9.140625" style="2"/>
    <col min="3073" max="3073" width="4.85546875" style="2" customWidth="1"/>
    <col min="3074" max="3074" width="30.5703125" style="2" customWidth="1"/>
    <col min="3075" max="3075" width="33.85546875" style="2" customWidth="1"/>
    <col min="3076" max="3076" width="5.140625" style="2" customWidth="1"/>
    <col min="3077" max="3078" width="17.5703125" style="2" customWidth="1"/>
    <col min="3079" max="3322" width="9.140625" style="2"/>
    <col min="3323" max="3323" width="3.7109375" style="2" customWidth="1"/>
    <col min="3324" max="3324" width="96.85546875" style="2" customWidth="1"/>
    <col min="3325" max="3325" width="30.85546875" style="2" customWidth="1"/>
    <col min="3326" max="3326" width="12.5703125" style="2" customWidth="1"/>
    <col min="3327" max="3327" width="5.140625" style="2" customWidth="1"/>
    <col min="3328" max="3328" width="9.140625" style="2"/>
    <col min="3329" max="3329" width="4.85546875" style="2" customWidth="1"/>
    <col min="3330" max="3330" width="30.5703125" style="2" customWidth="1"/>
    <col min="3331" max="3331" width="33.85546875" style="2" customWidth="1"/>
    <col min="3332" max="3332" width="5.140625" style="2" customWidth="1"/>
    <col min="3333" max="3334" width="17.5703125" style="2" customWidth="1"/>
    <col min="3335" max="3578" width="9.140625" style="2"/>
    <col min="3579" max="3579" width="3.7109375" style="2" customWidth="1"/>
    <col min="3580" max="3580" width="96.85546875" style="2" customWidth="1"/>
    <col min="3581" max="3581" width="30.85546875" style="2" customWidth="1"/>
    <col min="3582" max="3582" width="12.5703125" style="2" customWidth="1"/>
    <col min="3583" max="3583" width="5.140625" style="2" customWidth="1"/>
    <col min="3584" max="3584" width="9.140625" style="2"/>
    <col min="3585" max="3585" width="4.85546875" style="2" customWidth="1"/>
    <col min="3586" max="3586" width="30.5703125" style="2" customWidth="1"/>
    <col min="3587" max="3587" width="33.85546875" style="2" customWidth="1"/>
    <col min="3588" max="3588" width="5.140625" style="2" customWidth="1"/>
    <col min="3589" max="3590" width="17.5703125" style="2" customWidth="1"/>
    <col min="3591" max="3834" width="9.140625" style="2"/>
    <col min="3835" max="3835" width="3.7109375" style="2" customWidth="1"/>
    <col min="3836" max="3836" width="96.85546875" style="2" customWidth="1"/>
    <col min="3837" max="3837" width="30.85546875" style="2" customWidth="1"/>
    <col min="3838" max="3838" width="12.5703125" style="2" customWidth="1"/>
    <col min="3839" max="3839" width="5.140625" style="2" customWidth="1"/>
    <col min="3840" max="3840" width="9.140625" style="2"/>
    <col min="3841" max="3841" width="4.85546875" style="2" customWidth="1"/>
    <col min="3842" max="3842" width="30.5703125" style="2" customWidth="1"/>
    <col min="3843" max="3843" width="33.85546875" style="2" customWidth="1"/>
    <col min="3844" max="3844" width="5.140625" style="2" customWidth="1"/>
    <col min="3845" max="3846" width="17.5703125" style="2" customWidth="1"/>
    <col min="3847" max="4090" width="9.140625" style="2"/>
    <col min="4091" max="4091" width="3.7109375" style="2" customWidth="1"/>
    <col min="4092" max="4092" width="96.85546875" style="2" customWidth="1"/>
    <col min="4093" max="4093" width="30.85546875" style="2" customWidth="1"/>
    <col min="4094" max="4094" width="12.5703125" style="2" customWidth="1"/>
    <col min="4095" max="4095" width="5.140625" style="2" customWidth="1"/>
    <col min="4096" max="4096" width="9.140625" style="2"/>
    <col min="4097" max="4097" width="4.85546875" style="2" customWidth="1"/>
    <col min="4098" max="4098" width="30.5703125" style="2" customWidth="1"/>
    <col min="4099" max="4099" width="33.85546875" style="2" customWidth="1"/>
    <col min="4100" max="4100" width="5.140625" style="2" customWidth="1"/>
    <col min="4101" max="4102" width="17.5703125" style="2" customWidth="1"/>
    <col min="4103" max="4346" width="9.140625" style="2"/>
    <col min="4347" max="4347" width="3.7109375" style="2" customWidth="1"/>
    <col min="4348" max="4348" width="96.85546875" style="2" customWidth="1"/>
    <col min="4349" max="4349" width="30.85546875" style="2" customWidth="1"/>
    <col min="4350" max="4350" width="12.5703125" style="2" customWidth="1"/>
    <col min="4351" max="4351" width="5.140625" style="2" customWidth="1"/>
    <col min="4352" max="4352" width="9.140625" style="2"/>
    <col min="4353" max="4353" width="4.85546875" style="2" customWidth="1"/>
    <col min="4354" max="4354" width="30.5703125" style="2" customWidth="1"/>
    <col min="4355" max="4355" width="33.85546875" style="2" customWidth="1"/>
    <col min="4356" max="4356" width="5.140625" style="2" customWidth="1"/>
    <col min="4357" max="4358" width="17.5703125" style="2" customWidth="1"/>
    <col min="4359" max="4602" width="9.140625" style="2"/>
    <col min="4603" max="4603" width="3.7109375" style="2" customWidth="1"/>
    <col min="4604" max="4604" width="96.85546875" style="2" customWidth="1"/>
    <col min="4605" max="4605" width="30.85546875" style="2" customWidth="1"/>
    <col min="4606" max="4606" width="12.5703125" style="2" customWidth="1"/>
    <col min="4607" max="4607" width="5.140625" style="2" customWidth="1"/>
    <col min="4608" max="4608" width="9.140625" style="2"/>
    <col min="4609" max="4609" width="4.85546875" style="2" customWidth="1"/>
    <col min="4610" max="4610" width="30.5703125" style="2" customWidth="1"/>
    <col min="4611" max="4611" width="33.85546875" style="2" customWidth="1"/>
    <col min="4612" max="4612" width="5.140625" style="2" customWidth="1"/>
    <col min="4613" max="4614" width="17.5703125" style="2" customWidth="1"/>
    <col min="4615" max="4858" width="9.140625" style="2"/>
    <col min="4859" max="4859" width="3.7109375" style="2" customWidth="1"/>
    <col min="4860" max="4860" width="96.85546875" style="2" customWidth="1"/>
    <col min="4861" max="4861" width="30.85546875" style="2" customWidth="1"/>
    <col min="4862" max="4862" width="12.5703125" style="2" customWidth="1"/>
    <col min="4863" max="4863" width="5.140625" style="2" customWidth="1"/>
    <col min="4864" max="4864" width="9.140625" style="2"/>
    <col min="4865" max="4865" width="4.85546875" style="2" customWidth="1"/>
    <col min="4866" max="4866" width="30.5703125" style="2" customWidth="1"/>
    <col min="4867" max="4867" width="33.85546875" style="2" customWidth="1"/>
    <col min="4868" max="4868" width="5.140625" style="2" customWidth="1"/>
    <col min="4869" max="4870" width="17.5703125" style="2" customWidth="1"/>
    <col min="4871" max="5114" width="9.140625" style="2"/>
    <col min="5115" max="5115" width="3.7109375" style="2" customWidth="1"/>
    <col min="5116" max="5116" width="96.85546875" style="2" customWidth="1"/>
    <col min="5117" max="5117" width="30.85546875" style="2" customWidth="1"/>
    <col min="5118" max="5118" width="12.5703125" style="2" customWidth="1"/>
    <col min="5119" max="5119" width="5.140625" style="2" customWidth="1"/>
    <col min="5120" max="5120" width="9.140625" style="2"/>
    <col min="5121" max="5121" width="4.85546875" style="2" customWidth="1"/>
    <col min="5122" max="5122" width="30.5703125" style="2" customWidth="1"/>
    <col min="5123" max="5123" width="33.85546875" style="2" customWidth="1"/>
    <col min="5124" max="5124" width="5.140625" style="2" customWidth="1"/>
    <col min="5125" max="5126" width="17.5703125" style="2" customWidth="1"/>
    <col min="5127" max="5370" width="9.140625" style="2"/>
    <col min="5371" max="5371" width="3.7109375" style="2" customWidth="1"/>
    <col min="5372" max="5372" width="96.85546875" style="2" customWidth="1"/>
    <col min="5373" max="5373" width="30.85546875" style="2" customWidth="1"/>
    <col min="5374" max="5374" width="12.5703125" style="2" customWidth="1"/>
    <col min="5375" max="5375" width="5.140625" style="2" customWidth="1"/>
    <col min="5376" max="5376" width="9.140625" style="2"/>
    <col min="5377" max="5377" width="4.85546875" style="2" customWidth="1"/>
    <col min="5378" max="5378" width="30.5703125" style="2" customWidth="1"/>
    <col min="5379" max="5379" width="33.85546875" style="2" customWidth="1"/>
    <col min="5380" max="5380" width="5.140625" style="2" customWidth="1"/>
    <col min="5381" max="5382" width="17.5703125" style="2" customWidth="1"/>
    <col min="5383" max="5626" width="9.140625" style="2"/>
    <col min="5627" max="5627" width="3.7109375" style="2" customWidth="1"/>
    <col min="5628" max="5628" width="96.85546875" style="2" customWidth="1"/>
    <col min="5629" max="5629" width="30.85546875" style="2" customWidth="1"/>
    <col min="5630" max="5630" width="12.5703125" style="2" customWidth="1"/>
    <col min="5631" max="5631" width="5.140625" style="2" customWidth="1"/>
    <col min="5632" max="5632" width="9.140625" style="2"/>
    <col min="5633" max="5633" width="4.85546875" style="2" customWidth="1"/>
    <col min="5634" max="5634" width="30.5703125" style="2" customWidth="1"/>
    <col min="5635" max="5635" width="33.85546875" style="2" customWidth="1"/>
    <col min="5636" max="5636" width="5.140625" style="2" customWidth="1"/>
    <col min="5637" max="5638" width="17.5703125" style="2" customWidth="1"/>
    <col min="5639" max="5882" width="9.140625" style="2"/>
    <col min="5883" max="5883" width="3.7109375" style="2" customWidth="1"/>
    <col min="5884" max="5884" width="96.85546875" style="2" customWidth="1"/>
    <col min="5885" max="5885" width="30.85546875" style="2" customWidth="1"/>
    <col min="5886" max="5886" width="12.5703125" style="2" customWidth="1"/>
    <col min="5887" max="5887" width="5.140625" style="2" customWidth="1"/>
    <col min="5888" max="5888" width="9.140625" style="2"/>
    <col min="5889" max="5889" width="4.85546875" style="2" customWidth="1"/>
    <col min="5890" max="5890" width="30.5703125" style="2" customWidth="1"/>
    <col min="5891" max="5891" width="33.85546875" style="2" customWidth="1"/>
    <col min="5892" max="5892" width="5.140625" style="2" customWidth="1"/>
    <col min="5893" max="5894" width="17.5703125" style="2" customWidth="1"/>
    <col min="5895" max="6138" width="9.140625" style="2"/>
    <col min="6139" max="6139" width="3.7109375" style="2" customWidth="1"/>
    <col min="6140" max="6140" width="96.85546875" style="2" customWidth="1"/>
    <col min="6141" max="6141" width="30.85546875" style="2" customWidth="1"/>
    <col min="6142" max="6142" width="12.5703125" style="2" customWidth="1"/>
    <col min="6143" max="6143" width="5.140625" style="2" customWidth="1"/>
    <col min="6144" max="6144" width="9.140625" style="2"/>
    <col min="6145" max="6145" width="4.85546875" style="2" customWidth="1"/>
    <col min="6146" max="6146" width="30.5703125" style="2" customWidth="1"/>
    <col min="6147" max="6147" width="33.85546875" style="2" customWidth="1"/>
    <col min="6148" max="6148" width="5.140625" style="2" customWidth="1"/>
    <col min="6149" max="6150" width="17.5703125" style="2" customWidth="1"/>
    <col min="6151" max="6394" width="9.140625" style="2"/>
    <col min="6395" max="6395" width="3.7109375" style="2" customWidth="1"/>
    <col min="6396" max="6396" width="96.85546875" style="2" customWidth="1"/>
    <col min="6397" max="6397" width="30.85546875" style="2" customWidth="1"/>
    <col min="6398" max="6398" width="12.5703125" style="2" customWidth="1"/>
    <col min="6399" max="6399" width="5.140625" style="2" customWidth="1"/>
    <col min="6400" max="6400" width="9.140625" style="2"/>
    <col min="6401" max="6401" width="4.85546875" style="2" customWidth="1"/>
    <col min="6402" max="6402" width="30.5703125" style="2" customWidth="1"/>
    <col min="6403" max="6403" width="33.85546875" style="2" customWidth="1"/>
    <col min="6404" max="6404" width="5.140625" style="2" customWidth="1"/>
    <col min="6405" max="6406" width="17.5703125" style="2" customWidth="1"/>
    <col min="6407" max="6650" width="9.140625" style="2"/>
    <col min="6651" max="6651" width="3.7109375" style="2" customWidth="1"/>
    <col min="6652" max="6652" width="96.85546875" style="2" customWidth="1"/>
    <col min="6653" max="6653" width="30.85546875" style="2" customWidth="1"/>
    <col min="6654" max="6654" width="12.5703125" style="2" customWidth="1"/>
    <col min="6655" max="6655" width="5.140625" style="2" customWidth="1"/>
    <col min="6656" max="6656" width="9.140625" style="2"/>
    <col min="6657" max="6657" width="4.85546875" style="2" customWidth="1"/>
    <col min="6658" max="6658" width="30.5703125" style="2" customWidth="1"/>
    <col min="6659" max="6659" width="33.85546875" style="2" customWidth="1"/>
    <col min="6660" max="6660" width="5.140625" style="2" customWidth="1"/>
    <col min="6661" max="6662" width="17.5703125" style="2" customWidth="1"/>
    <col min="6663" max="6906" width="9.140625" style="2"/>
    <col min="6907" max="6907" width="3.7109375" style="2" customWidth="1"/>
    <col min="6908" max="6908" width="96.85546875" style="2" customWidth="1"/>
    <col min="6909" max="6909" width="30.85546875" style="2" customWidth="1"/>
    <col min="6910" max="6910" width="12.5703125" style="2" customWidth="1"/>
    <col min="6911" max="6911" width="5.140625" style="2" customWidth="1"/>
    <col min="6912" max="6912" width="9.140625" style="2"/>
    <col min="6913" max="6913" width="4.85546875" style="2" customWidth="1"/>
    <col min="6914" max="6914" width="30.5703125" style="2" customWidth="1"/>
    <col min="6915" max="6915" width="33.85546875" style="2" customWidth="1"/>
    <col min="6916" max="6916" width="5.140625" style="2" customWidth="1"/>
    <col min="6917" max="6918" width="17.5703125" style="2" customWidth="1"/>
    <col min="6919" max="7162" width="9.140625" style="2"/>
    <col min="7163" max="7163" width="3.7109375" style="2" customWidth="1"/>
    <col min="7164" max="7164" width="96.85546875" style="2" customWidth="1"/>
    <col min="7165" max="7165" width="30.85546875" style="2" customWidth="1"/>
    <col min="7166" max="7166" width="12.5703125" style="2" customWidth="1"/>
    <col min="7167" max="7167" width="5.140625" style="2" customWidth="1"/>
    <col min="7168" max="7168" width="9.140625" style="2"/>
    <col min="7169" max="7169" width="4.85546875" style="2" customWidth="1"/>
    <col min="7170" max="7170" width="30.5703125" style="2" customWidth="1"/>
    <col min="7171" max="7171" width="33.85546875" style="2" customWidth="1"/>
    <col min="7172" max="7172" width="5.140625" style="2" customWidth="1"/>
    <col min="7173" max="7174" width="17.5703125" style="2" customWidth="1"/>
    <col min="7175" max="7418" width="9.140625" style="2"/>
    <col min="7419" max="7419" width="3.7109375" style="2" customWidth="1"/>
    <col min="7420" max="7420" width="96.85546875" style="2" customWidth="1"/>
    <col min="7421" max="7421" width="30.85546875" style="2" customWidth="1"/>
    <col min="7422" max="7422" width="12.5703125" style="2" customWidth="1"/>
    <col min="7423" max="7423" width="5.140625" style="2" customWidth="1"/>
    <col min="7424" max="7424" width="9.140625" style="2"/>
    <col min="7425" max="7425" width="4.85546875" style="2" customWidth="1"/>
    <col min="7426" max="7426" width="30.5703125" style="2" customWidth="1"/>
    <col min="7427" max="7427" width="33.85546875" style="2" customWidth="1"/>
    <col min="7428" max="7428" width="5.140625" style="2" customWidth="1"/>
    <col min="7429" max="7430" width="17.5703125" style="2" customWidth="1"/>
    <col min="7431" max="7674" width="9.140625" style="2"/>
    <col min="7675" max="7675" width="3.7109375" style="2" customWidth="1"/>
    <col min="7676" max="7676" width="96.85546875" style="2" customWidth="1"/>
    <col min="7677" max="7677" width="30.85546875" style="2" customWidth="1"/>
    <col min="7678" max="7678" width="12.5703125" style="2" customWidth="1"/>
    <col min="7679" max="7679" width="5.140625" style="2" customWidth="1"/>
    <col min="7680" max="7680" width="9.140625" style="2"/>
    <col min="7681" max="7681" width="4.85546875" style="2" customWidth="1"/>
    <col min="7682" max="7682" width="30.5703125" style="2" customWidth="1"/>
    <col min="7683" max="7683" width="33.85546875" style="2" customWidth="1"/>
    <col min="7684" max="7684" width="5.140625" style="2" customWidth="1"/>
    <col min="7685" max="7686" width="17.5703125" style="2" customWidth="1"/>
    <col min="7687" max="7930" width="9.140625" style="2"/>
    <col min="7931" max="7931" width="3.7109375" style="2" customWidth="1"/>
    <col min="7932" max="7932" width="96.85546875" style="2" customWidth="1"/>
    <col min="7933" max="7933" width="30.85546875" style="2" customWidth="1"/>
    <col min="7934" max="7934" width="12.5703125" style="2" customWidth="1"/>
    <col min="7935" max="7935" width="5.140625" style="2" customWidth="1"/>
    <col min="7936" max="7936" width="9.140625" style="2"/>
    <col min="7937" max="7937" width="4.85546875" style="2" customWidth="1"/>
    <col min="7938" max="7938" width="30.5703125" style="2" customWidth="1"/>
    <col min="7939" max="7939" width="33.85546875" style="2" customWidth="1"/>
    <col min="7940" max="7940" width="5.140625" style="2" customWidth="1"/>
    <col min="7941" max="7942" width="17.5703125" style="2" customWidth="1"/>
    <col min="7943" max="8186" width="9.140625" style="2"/>
    <col min="8187" max="8187" width="3.7109375" style="2" customWidth="1"/>
    <col min="8188" max="8188" width="96.85546875" style="2" customWidth="1"/>
    <col min="8189" max="8189" width="30.85546875" style="2" customWidth="1"/>
    <col min="8190" max="8190" width="12.5703125" style="2" customWidth="1"/>
    <col min="8191" max="8191" width="5.140625" style="2" customWidth="1"/>
    <col min="8192" max="8192" width="9.140625" style="2"/>
    <col min="8193" max="8193" width="4.85546875" style="2" customWidth="1"/>
    <col min="8194" max="8194" width="30.5703125" style="2" customWidth="1"/>
    <col min="8195" max="8195" width="33.85546875" style="2" customWidth="1"/>
    <col min="8196" max="8196" width="5.140625" style="2" customWidth="1"/>
    <col min="8197" max="8198" width="17.5703125" style="2" customWidth="1"/>
    <col min="8199" max="8442" width="9.140625" style="2"/>
    <col min="8443" max="8443" width="3.7109375" style="2" customWidth="1"/>
    <col min="8444" max="8444" width="96.85546875" style="2" customWidth="1"/>
    <col min="8445" max="8445" width="30.85546875" style="2" customWidth="1"/>
    <col min="8446" max="8446" width="12.5703125" style="2" customWidth="1"/>
    <col min="8447" max="8447" width="5.140625" style="2" customWidth="1"/>
    <col min="8448" max="8448" width="9.140625" style="2"/>
    <col min="8449" max="8449" width="4.85546875" style="2" customWidth="1"/>
    <col min="8450" max="8450" width="30.5703125" style="2" customWidth="1"/>
    <col min="8451" max="8451" width="33.85546875" style="2" customWidth="1"/>
    <col min="8452" max="8452" width="5.140625" style="2" customWidth="1"/>
    <col min="8453" max="8454" width="17.5703125" style="2" customWidth="1"/>
    <col min="8455" max="8698" width="9.140625" style="2"/>
    <col min="8699" max="8699" width="3.7109375" style="2" customWidth="1"/>
    <col min="8700" max="8700" width="96.85546875" style="2" customWidth="1"/>
    <col min="8701" max="8701" width="30.85546875" style="2" customWidth="1"/>
    <col min="8702" max="8702" width="12.5703125" style="2" customWidth="1"/>
    <col min="8703" max="8703" width="5.140625" style="2" customWidth="1"/>
    <col min="8704" max="8704" width="9.140625" style="2"/>
    <col min="8705" max="8705" width="4.85546875" style="2" customWidth="1"/>
    <col min="8706" max="8706" width="30.5703125" style="2" customWidth="1"/>
    <col min="8707" max="8707" width="33.85546875" style="2" customWidth="1"/>
    <col min="8708" max="8708" width="5.140625" style="2" customWidth="1"/>
    <col min="8709" max="8710" width="17.5703125" style="2" customWidth="1"/>
    <col min="8711" max="8954" width="9.140625" style="2"/>
    <col min="8955" max="8955" width="3.7109375" style="2" customWidth="1"/>
    <col min="8956" max="8956" width="96.85546875" style="2" customWidth="1"/>
    <col min="8957" max="8957" width="30.85546875" style="2" customWidth="1"/>
    <col min="8958" max="8958" width="12.5703125" style="2" customWidth="1"/>
    <col min="8959" max="8959" width="5.140625" style="2" customWidth="1"/>
    <col min="8960" max="8960" width="9.140625" style="2"/>
    <col min="8961" max="8961" width="4.85546875" style="2" customWidth="1"/>
    <col min="8962" max="8962" width="30.5703125" style="2" customWidth="1"/>
    <col min="8963" max="8963" width="33.85546875" style="2" customWidth="1"/>
    <col min="8964" max="8964" width="5.140625" style="2" customWidth="1"/>
    <col min="8965" max="8966" width="17.5703125" style="2" customWidth="1"/>
    <col min="8967" max="9210" width="9.140625" style="2"/>
    <col min="9211" max="9211" width="3.7109375" style="2" customWidth="1"/>
    <col min="9212" max="9212" width="96.85546875" style="2" customWidth="1"/>
    <col min="9213" max="9213" width="30.85546875" style="2" customWidth="1"/>
    <col min="9214" max="9214" width="12.5703125" style="2" customWidth="1"/>
    <col min="9215" max="9215" width="5.140625" style="2" customWidth="1"/>
    <col min="9216" max="9216" width="9.140625" style="2"/>
    <col min="9217" max="9217" width="4.85546875" style="2" customWidth="1"/>
    <col min="9218" max="9218" width="30.5703125" style="2" customWidth="1"/>
    <col min="9219" max="9219" width="33.85546875" style="2" customWidth="1"/>
    <col min="9220" max="9220" width="5.140625" style="2" customWidth="1"/>
    <col min="9221" max="9222" width="17.5703125" style="2" customWidth="1"/>
    <col min="9223" max="9466" width="9.140625" style="2"/>
    <col min="9467" max="9467" width="3.7109375" style="2" customWidth="1"/>
    <col min="9468" max="9468" width="96.85546875" style="2" customWidth="1"/>
    <col min="9469" max="9469" width="30.85546875" style="2" customWidth="1"/>
    <col min="9470" max="9470" width="12.5703125" style="2" customWidth="1"/>
    <col min="9471" max="9471" width="5.140625" style="2" customWidth="1"/>
    <col min="9472" max="9472" width="9.140625" style="2"/>
    <col min="9473" max="9473" width="4.85546875" style="2" customWidth="1"/>
    <col min="9474" max="9474" width="30.5703125" style="2" customWidth="1"/>
    <col min="9475" max="9475" width="33.85546875" style="2" customWidth="1"/>
    <col min="9476" max="9476" width="5.140625" style="2" customWidth="1"/>
    <col min="9477" max="9478" width="17.5703125" style="2" customWidth="1"/>
    <col min="9479" max="9722" width="9.140625" style="2"/>
    <col min="9723" max="9723" width="3.7109375" style="2" customWidth="1"/>
    <col min="9724" max="9724" width="96.85546875" style="2" customWidth="1"/>
    <col min="9725" max="9725" width="30.85546875" style="2" customWidth="1"/>
    <col min="9726" max="9726" width="12.5703125" style="2" customWidth="1"/>
    <col min="9727" max="9727" width="5.140625" style="2" customWidth="1"/>
    <col min="9728" max="9728" width="9.140625" style="2"/>
    <col min="9729" max="9729" width="4.85546875" style="2" customWidth="1"/>
    <col min="9730" max="9730" width="30.5703125" style="2" customWidth="1"/>
    <col min="9731" max="9731" width="33.85546875" style="2" customWidth="1"/>
    <col min="9732" max="9732" width="5.140625" style="2" customWidth="1"/>
    <col min="9733" max="9734" width="17.5703125" style="2" customWidth="1"/>
    <col min="9735" max="9978" width="9.140625" style="2"/>
    <col min="9979" max="9979" width="3.7109375" style="2" customWidth="1"/>
    <col min="9980" max="9980" width="96.85546875" style="2" customWidth="1"/>
    <col min="9981" max="9981" width="30.85546875" style="2" customWidth="1"/>
    <col min="9982" max="9982" width="12.5703125" style="2" customWidth="1"/>
    <col min="9983" max="9983" width="5.140625" style="2" customWidth="1"/>
    <col min="9984" max="9984" width="9.140625" style="2"/>
    <col min="9985" max="9985" width="4.85546875" style="2" customWidth="1"/>
    <col min="9986" max="9986" width="30.5703125" style="2" customWidth="1"/>
    <col min="9987" max="9987" width="33.85546875" style="2" customWidth="1"/>
    <col min="9988" max="9988" width="5.140625" style="2" customWidth="1"/>
    <col min="9989" max="9990" width="17.5703125" style="2" customWidth="1"/>
    <col min="9991" max="10234" width="9.140625" style="2"/>
    <col min="10235" max="10235" width="3.7109375" style="2" customWidth="1"/>
    <col min="10236" max="10236" width="96.85546875" style="2" customWidth="1"/>
    <col min="10237" max="10237" width="30.85546875" style="2" customWidth="1"/>
    <col min="10238" max="10238" width="12.5703125" style="2" customWidth="1"/>
    <col min="10239" max="10239" width="5.140625" style="2" customWidth="1"/>
    <col min="10240" max="10240" width="9.140625" style="2"/>
    <col min="10241" max="10241" width="4.85546875" style="2" customWidth="1"/>
    <col min="10242" max="10242" width="30.5703125" style="2" customWidth="1"/>
    <col min="10243" max="10243" width="33.85546875" style="2" customWidth="1"/>
    <col min="10244" max="10244" width="5.140625" style="2" customWidth="1"/>
    <col min="10245" max="10246" width="17.5703125" style="2" customWidth="1"/>
    <col min="10247" max="10490" width="9.140625" style="2"/>
    <col min="10491" max="10491" width="3.7109375" style="2" customWidth="1"/>
    <col min="10492" max="10492" width="96.85546875" style="2" customWidth="1"/>
    <col min="10493" max="10493" width="30.85546875" style="2" customWidth="1"/>
    <col min="10494" max="10494" width="12.5703125" style="2" customWidth="1"/>
    <col min="10495" max="10495" width="5.140625" style="2" customWidth="1"/>
    <col min="10496" max="10496" width="9.140625" style="2"/>
    <col min="10497" max="10497" width="4.85546875" style="2" customWidth="1"/>
    <col min="10498" max="10498" width="30.5703125" style="2" customWidth="1"/>
    <col min="10499" max="10499" width="33.85546875" style="2" customWidth="1"/>
    <col min="10500" max="10500" width="5.140625" style="2" customWidth="1"/>
    <col min="10501" max="10502" width="17.5703125" style="2" customWidth="1"/>
    <col min="10503" max="10746" width="9.140625" style="2"/>
    <col min="10747" max="10747" width="3.7109375" style="2" customWidth="1"/>
    <col min="10748" max="10748" width="96.85546875" style="2" customWidth="1"/>
    <col min="10749" max="10749" width="30.85546875" style="2" customWidth="1"/>
    <col min="10750" max="10750" width="12.5703125" style="2" customWidth="1"/>
    <col min="10751" max="10751" width="5.140625" style="2" customWidth="1"/>
    <col min="10752" max="10752" width="9.140625" style="2"/>
    <col min="10753" max="10753" width="4.85546875" style="2" customWidth="1"/>
    <col min="10754" max="10754" width="30.5703125" style="2" customWidth="1"/>
    <col min="10755" max="10755" width="33.85546875" style="2" customWidth="1"/>
    <col min="10756" max="10756" width="5.140625" style="2" customWidth="1"/>
    <col min="10757" max="10758" width="17.5703125" style="2" customWidth="1"/>
    <col min="10759" max="11002" width="9.140625" style="2"/>
    <col min="11003" max="11003" width="3.7109375" style="2" customWidth="1"/>
    <col min="11004" max="11004" width="96.85546875" style="2" customWidth="1"/>
    <col min="11005" max="11005" width="30.85546875" style="2" customWidth="1"/>
    <col min="11006" max="11006" width="12.5703125" style="2" customWidth="1"/>
    <col min="11007" max="11007" width="5.140625" style="2" customWidth="1"/>
    <col min="11008" max="11008" width="9.140625" style="2"/>
    <col min="11009" max="11009" width="4.85546875" style="2" customWidth="1"/>
    <col min="11010" max="11010" width="30.5703125" style="2" customWidth="1"/>
    <col min="11011" max="11011" width="33.85546875" style="2" customWidth="1"/>
    <col min="11012" max="11012" width="5.140625" style="2" customWidth="1"/>
    <col min="11013" max="11014" width="17.5703125" style="2" customWidth="1"/>
    <col min="11015" max="11258" width="9.140625" style="2"/>
    <col min="11259" max="11259" width="3.7109375" style="2" customWidth="1"/>
    <col min="11260" max="11260" width="96.85546875" style="2" customWidth="1"/>
    <col min="11261" max="11261" width="30.85546875" style="2" customWidth="1"/>
    <col min="11262" max="11262" width="12.5703125" style="2" customWidth="1"/>
    <col min="11263" max="11263" width="5.140625" style="2" customWidth="1"/>
    <col min="11264" max="11264" width="9.140625" style="2"/>
    <col min="11265" max="11265" width="4.85546875" style="2" customWidth="1"/>
    <col min="11266" max="11266" width="30.5703125" style="2" customWidth="1"/>
    <col min="11267" max="11267" width="33.85546875" style="2" customWidth="1"/>
    <col min="11268" max="11268" width="5.140625" style="2" customWidth="1"/>
    <col min="11269" max="11270" width="17.5703125" style="2" customWidth="1"/>
    <col min="11271" max="11514" width="9.140625" style="2"/>
    <col min="11515" max="11515" width="3.7109375" style="2" customWidth="1"/>
    <col min="11516" max="11516" width="96.85546875" style="2" customWidth="1"/>
    <col min="11517" max="11517" width="30.85546875" style="2" customWidth="1"/>
    <col min="11518" max="11518" width="12.5703125" style="2" customWidth="1"/>
    <col min="11519" max="11519" width="5.140625" style="2" customWidth="1"/>
    <col min="11520" max="11520" width="9.140625" style="2"/>
    <col min="11521" max="11521" width="4.85546875" style="2" customWidth="1"/>
    <col min="11522" max="11522" width="30.5703125" style="2" customWidth="1"/>
    <col min="11523" max="11523" width="33.85546875" style="2" customWidth="1"/>
    <col min="11524" max="11524" width="5.140625" style="2" customWidth="1"/>
    <col min="11525" max="11526" width="17.5703125" style="2" customWidth="1"/>
    <col min="11527" max="11770" width="9.140625" style="2"/>
    <col min="11771" max="11771" width="3.7109375" style="2" customWidth="1"/>
    <col min="11772" max="11772" width="96.85546875" style="2" customWidth="1"/>
    <col min="11773" max="11773" width="30.85546875" style="2" customWidth="1"/>
    <col min="11774" max="11774" width="12.5703125" style="2" customWidth="1"/>
    <col min="11775" max="11775" width="5.140625" style="2" customWidth="1"/>
    <col min="11776" max="11776" width="9.140625" style="2"/>
    <col min="11777" max="11777" width="4.85546875" style="2" customWidth="1"/>
    <col min="11778" max="11778" width="30.5703125" style="2" customWidth="1"/>
    <col min="11779" max="11779" width="33.85546875" style="2" customWidth="1"/>
    <col min="11780" max="11780" width="5.140625" style="2" customWidth="1"/>
    <col min="11781" max="11782" width="17.5703125" style="2" customWidth="1"/>
    <col min="11783" max="12026" width="9.140625" style="2"/>
    <col min="12027" max="12027" width="3.7109375" style="2" customWidth="1"/>
    <col min="12028" max="12028" width="96.85546875" style="2" customWidth="1"/>
    <col min="12029" max="12029" width="30.85546875" style="2" customWidth="1"/>
    <col min="12030" max="12030" width="12.5703125" style="2" customWidth="1"/>
    <col min="12031" max="12031" width="5.140625" style="2" customWidth="1"/>
    <col min="12032" max="12032" width="9.140625" style="2"/>
    <col min="12033" max="12033" width="4.85546875" style="2" customWidth="1"/>
    <col min="12034" max="12034" width="30.5703125" style="2" customWidth="1"/>
    <col min="12035" max="12035" width="33.85546875" style="2" customWidth="1"/>
    <col min="12036" max="12036" width="5.140625" style="2" customWidth="1"/>
    <col min="12037" max="12038" width="17.5703125" style="2" customWidth="1"/>
    <col min="12039" max="12282" width="9.140625" style="2"/>
    <col min="12283" max="12283" width="3.7109375" style="2" customWidth="1"/>
    <col min="12284" max="12284" width="96.85546875" style="2" customWidth="1"/>
    <col min="12285" max="12285" width="30.85546875" style="2" customWidth="1"/>
    <col min="12286" max="12286" width="12.5703125" style="2" customWidth="1"/>
    <col min="12287" max="12287" width="5.140625" style="2" customWidth="1"/>
    <col min="12288" max="12288" width="9.140625" style="2"/>
    <col min="12289" max="12289" width="4.85546875" style="2" customWidth="1"/>
    <col min="12290" max="12290" width="30.5703125" style="2" customWidth="1"/>
    <col min="12291" max="12291" width="33.85546875" style="2" customWidth="1"/>
    <col min="12292" max="12292" width="5.140625" style="2" customWidth="1"/>
    <col min="12293" max="12294" width="17.5703125" style="2" customWidth="1"/>
    <col min="12295" max="12538" width="9.140625" style="2"/>
    <col min="12539" max="12539" width="3.7109375" style="2" customWidth="1"/>
    <col min="12540" max="12540" width="96.85546875" style="2" customWidth="1"/>
    <col min="12541" max="12541" width="30.85546875" style="2" customWidth="1"/>
    <col min="12542" max="12542" width="12.5703125" style="2" customWidth="1"/>
    <col min="12543" max="12543" width="5.140625" style="2" customWidth="1"/>
    <col min="12544" max="12544" width="9.140625" style="2"/>
    <col min="12545" max="12545" width="4.85546875" style="2" customWidth="1"/>
    <col min="12546" max="12546" width="30.5703125" style="2" customWidth="1"/>
    <col min="12547" max="12547" width="33.85546875" style="2" customWidth="1"/>
    <col min="12548" max="12548" width="5.140625" style="2" customWidth="1"/>
    <col min="12549" max="12550" width="17.5703125" style="2" customWidth="1"/>
    <col min="12551" max="12794" width="9.140625" style="2"/>
    <col min="12795" max="12795" width="3.7109375" style="2" customWidth="1"/>
    <col min="12796" max="12796" width="96.85546875" style="2" customWidth="1"/>
    <col min="12797" max="12797" width="30.85546875" style="2" customWidth="1"/>
    <col min="12798" max="12798" width="12.5703125" style="2" customWidth="1"/>
    <col min="12799" max="12799" width="5.140625" style="2" customWidth="1"/>
    <col min="12800" max="12800" width="9.140625" style="2"/>
    <col min="12801" max="12801" width="4.85546875" style="2" customWidth="1"/>
    <col min="12802" max="12802" width="30.5703125" style="2" customWidth="1"/>
    <col min="12803" max="12803" width="33.85546875" style="2" customWidth="1"/>
    <col min="12804" max="12804" width="5.140625" style="2" customWidth="1"/>
    <col min="12805" max="12806" width="17.5703125" style="2" customWidth="1"/>
    <col min="12807" max="13050" width="9.140625" style="2"/>
    <col min="13051" max="13051" width="3.7109375" style="2" customWidth="1"/>
    <col min="13052" max="13052" width="96.85546875" style="2" customWidth="1"/>
    <col min="13053" max="13053" width="30.85546875" style="2" customWidth="1"/>
    <col min="13054" max="13054" width="12.5703125" style="2" customWidth="1"/>
    <col min="13055" max="13055" width="5.140625" style="2" customWidth="1"/>
    <col min="13056" max="13056" width="9.140625" style="2"/>
    <col min="13057" max="13057" width="4.85546875" style="2" customWidth="1"/>
    <col min="13058" max="13058" width="30.5703125" style="2" customWidth="1"/>
    <col min="13059" max="13059" width="33.85546875" style="2" customWidth="1"/>
    <col min="13060" max="13060" width="5.140625" style="2" customWidth="1"/>
    <col min="13061" max="13062" width="17.5703125" style="2" customWidth="1"/>
    <col min="13063" max="13306" width="9.140625" style="2"/>
    <col min="13307" max="13307" width="3.7109375" style="2" customWidth="1"/>
    <col min="13308" max="13308" width="96.85546875" style="2" customWidth="1"/>
    <col min="13309" max="13309" width="30.85546875" style="2" customWidth="1"/>
    <col min="13310" max="13310" width="12.5703125" style="2" customWidth="1"/>
    <col min="13311" max="13311" width="5.140625" style="2" customWidth="1"/>
    <col min="13312" max="13312" width="9.140625" style="2"/>
    <col min="13313" max="13313" width="4.85546875" style="2" customWidth="1"/>
    <col min="13314" max="13314" width="30.5703125" style="2" customWidth="1"/>
    <col min="13315" max="13315" width="33.85546875" style="2" customWidth="1"/>
    <col min="13316" max="13316" width="5.140625" style="2" customWidth="1"/>
    <col min="13317" max="13318" width="17.5703125" style="2" customWidth="1"/>
    <col min="13319" max="13562" width="9.140625" style="2"/>
    <col min="13563" max="13563" width="3.7109375" style="2" customWidth="1"/>
    <col min="13564" max="13564" width="96.85546875" style="2" customWidth="1"/>
    <col min="13565" max="13565" width="30.85546875" style="2" customWidth="1"/>
    <col min="13566" max="13566" width="12.5703125" style="2" customWidth="1"/>
    <col min="13567" max="13567" width="5.140625" style="2" customWidth="1"/>
    <col min="13568" max="13568" width="9.140625" style="2"/>
    <col min="13569" max="13569" width="4.85546875" style="2" customWidth="1"/>
    <col min="13570" max="13570" width="30.5703125" style="2" customWidth="1"/>
    <col min="13571" max="13571" width="33.85546875" style="2" customWidth="1"/>
    <col min="13572" max="13572" width="5.140625" style="2" customWidth="1"/>
    <col min="13573" max="13574" width="17.5703125" style="2" customWidth="1"/>
    <col min="13575" max="13818" width="9.140625" style="2"/>
    <col min="13819" max="13819" width="3.7109375" style="2" customWidth="1"/>
    <col min="13820" max="13820" width="96.85546875" style="2" customWidth="1"/>
    <col min="13821" max="13821" width="30.85546875" style="2" customWidth="1"/>
    <col min="13822" max="13822" width="12.5703125" style="2" customWidth="1"/>
    <col min="13823" max="13823" width="5.140625" style="2" customWidth="1"/>
    <col min="13824" max="13824" width="9.140625" style="2"/>
    <col min="13825" max="13825" width="4.85546875" style="2" customWidth="1"/>
    <col min="13826" max="13826" width="30.5703125" style="2" customWidth="1"/>
    <col min="13827" max="13827" width="33.85546875" style="2" customWidth="1"/>
    <col min="13828" max="13828" width="5.140625" style="2" customWidth="1"/>
    <col min="13829" max="13830" width="17.5703125" style="2" customWidth="1"/>
    <col min="13831" max="14074" width="9.140625" style="2"/>
    <col min="14075" max="14075" width="3.7109375" style="2" customWidth="1"/>
    <col min="14076" max="14076" width="96.85546875" style="2" customWidth="1"/>
    <col min="14077" max="14077" width="30.85546875" style="2" customWidth="1"/>
    <col min="14078" max="14078" width="12.5703125" style="2" customWidth="1"/>
    <col min="14079" max="14079" width="5.140625" style="2" customWidth="1"/>
    <col min="14080" max="14080" width="9.140625" style="2"/>
    <col min="14081" max="14081" width="4.85546875" style="2" customWidth="1"/>
    <col min="14082" max="14082" width="30.5703125" style="2" customWidth="1"/>
    <col min="14083" max="14083" width="33.85546875" style="2" customWidth="1"/>
    <col min="14084" max="14084" width="5.140625" style="2" customWidth="1"/>
    <col min="14085" max="14086" width="17.5703125" style="2" customWidth="1"/>
    <col min="14087" max="14330" width="9.140625" style="2"/>
    <col min="14331" max="14331" width="3.7109375" style="2" customWidth="1"/>
    <col min="14332" max="14332" width="96.85546875" style="2" customWidth="1"/>
    <col min="14333" max="14333" width="30.85546875" style="2" customWidth="1"/>
    <col min="14334" max="14334" width="12.5703125" style="2" customWidth="1"/>
    <col min="14335" max="14335" width="5.140625" style="2" customWidth="1"/>
    <col min="14336" max="14336" width="9.140625" style="2"/>
    <col min="14337" max="14337" width="4.85546875" style="2" customWidth="1"/>
    <col min="14338" max="14338" width="30.5703125" style="2" customWidth="1"/>
    <col min="14339" max="14339" width="33.85546875" style="2" customWidth="1"/>
    <col min="14340" max="14340" width="5.140625" style="2" customWidth="1"/>
    <col min="14341" max="14342" width="17.5703125" style="2" customWidth="1"/>
    <col min="14343" max="14586" width="9.140625" style="2"/>
    <col min="14587" max="14587" width="3.7109375" style="2" customWidth="1"/>
    <col min="14588" max="14588" width="96.85546875" style="2" customWidth="1"/>
    <col min="14589" max="14589" width="30.85546875" style="2" customWidth="1"/>
    <col min="14590" max="14590" width="12.5703125" style="2" customWidth="1"/>
    <col min="14591" max="14591" width="5.140625" style="2" customWidth="1"/>
    <col min="14592" max="14592" width="9.140625" style="2"/>
    <col min="14593" max="14593" width="4.85546875" style="2" customWidth="1"/>
    <col min="14594" max="14594" width="30.5703125" style="2" customWidth="1"/>
    <col min="14595" max="14595" width="33.85546875" style="2" customWidth="1"/>
    <col min="14596" max="14596" width="5.140625" style="2" customWidth="1"/>
    <col min="14597" max="14598" width="17.5703125" style="2" customWidth="1"/>
    <col min="14599" max="14842" width="9.140625" style="2"/>
    <col min="14843" max="14843" width="3.7109375" style="2" customWidth="1"/>
    <col min="14844" max="14844" width="96.85546875" style="2" customWidth="1"/>
    <col min="14845" max="14845" width="30.85546875" style="2" customWidth="1"/>
    <col min="14846" max="14846" width="12.5703125" style="2" customWidth="1"/>
    <col min="14847" max="14847" width="5.140625" style="2" customWidth="1"/>
    <col min="14848" max="14848" width="9.140625" style="2"/>
    <col min="14849" max="14849" width="4.85546875" style="2" customWidth="1"/>
    <col min="14850" max="14850" width="30.5703125" style="2" customWidth="1"/>
    <col min="14851" max="14851" width="33.85546875" style="2" customWidth="1"/>
    <col min="14852" max="14852" width="5.140625" style="2" customWidth="1"/>
    <col min="14853" max="14854" width="17.5703125" style="2" customWidth="1"/>
    <col min="14855" max="15098" width="9.140625" style="2"/>
    <col min="15099" max="15099" width="3.7109375" style="2" customWidth="1"/>
    <col min="15100" max="15100" width="96.85546875" style="2" customWidth="1"/>
    <col min="15101" max="15101" width="30.85546875" style="2" customWidth="1"/>
    <col min="15102" max="15102" width="12.5703125" style="2" customWidth="1"/>
    <col min="15103" max="15103" width="5.140625" style="2" customWidth="1"/>
    <col min="15104" max="15104" width="9.140625" style="2"/>
    <col min="15105" max="15105" width="4.85546875" style="2" customWidth="1"/>
    <col min="15106" max="15106" width="30.5703125" style="2" customWidth="1"/>
    <col min="15107" max="15107" width="33.85546875" style="2" customWidth="1"/>
    <col min="15108" max="15108" width="5.140625" style="2" customWidth="1"/>
    <col min="15109" max="15110" width="17.5703125" style="2" customWidth="1"/>
    <col min="15111" max="15354" width="9.140625" style="2"/>
    <col min="15355" max="15355" width="3.7109375" style="2" customWidth="1"/>
    <col min="15356" max="15356" width="96.85546875" style="2" customWidth="1"/>
    <col min="15357" max="15357" width="30.85546875" style="2" customWidth="1"/>
    <col min="15358" max="15358" width="12.5703125" style="2" customWidth="1"/>
    <col min="15359" max="15359" width="5.140625" style="2" customWidth="1"/>
    <col min="15360" max="15360" width="9.140625" style="2"/>
    <col min="15361" max="15361" width="4.85546875" style="2" customWidth="1"/>
    <col min="15362" max="15362" width="30.5703125" style="2" customWidth="1"/>
    <col min="15363" max="15363" width="33.85546875" style="2" customWidth="1"/>
    <col min="15364" max="15364" width="5.140625" style="2" customWidth="1"/>
    <col min="15365" max="15366" width="17.5703125" style="2" customWidth="1"/>
    <col min="15367" max="15610" width="9.140625" style="2"/>
    <col min="15611" max="15611" width="3.7109375" style="2" customWidth="1"/>
    <col min="15612" max="15612" width="96.85546875" style="2" customWidth="1"/>
    <col min="15613" max="15613" width="30.85546875" style="2" customWidth="1"/>
    <col min="15614" max="15614" width="12.5703125" style="2" customWidth="1"/>
    <col min="15615" max="15615" width="5.140625" style="2" customWidth="1"/>
    <col min="15616" max="15616" width="9.140625" style="2"/>
    <col min="15617" max="15617" width="4.85546875" style="2" customWidth="1"/>
    <col min="15618" max="15618" width="30.5703125" style="2" customWidth="1"/>
    <col min="15619" max="15619" width="33.85546875" style="2" customWidth="1"/>
    <col min="15620" max="15620" width="5.140625" style="2" customWidth="1"/>
    <col min="15621" max="15622" width="17.5703125" style="2" customWidth="1"/>
    <col min="15623" max="15866" width="9.140625" style="2"/>
    <col min="15867" max="15867" width="3.7109375" style="2" customWidth="1"/>
    <col min="15868" max="15868" width="96.85546875" style="2" customWidth="1"/>
    <col min="15869" max="15869" width="30.85546875" style="2" customWidth="1"/>
    <col min="15870" max="15870" width="12.5703125" style="2" customWidth="1"/>
    <col min="15871" max="15871" width="5.140625" style="2" customWidth="1"/>
    <col min="15872" max="15872" width="9.140625" style="2"/>
    <col min="15873" max="15873" width="4.85546875" style="2" customWidth="1"/>
    <col min="15874" max="15874" width="30.5703125" style="2" customWidth="1"/>
    <col min="15875" max="15875" width="33.85546875" style="2" customWidth="1"/>
    <col min="15876" max="15876" width="5.140625" style="2" customWidth="1"/>
    <col min="15877" max="15878" width="17.5703125" style="2" customWidth="1"/>
    <col min="15879" max="16122" width="9.140625" style="2"/>
    <col min="16123" max="16123" width="3.7109375" style="2" customWidth="1"/>
    <col min="16124" max="16124" width="96.85546875" style="2" customWidth="1"/>
    <col min="16125" max="16125" width="30.85546875" style="2" customWidth="1"/>
    <col min="16126" max="16126" width="12.5703125" style="2" customWidth="1"/>
    <col min="16127" max="16127" width="5.140625" style="2" customWidth="1"/>
    <col min="16128" max="16128" width="9.140625" style="2"/>
    <col min="16129" max="16129" width="4.85546875" style="2" customWidth="1"/>
    <col min="16130" max="16130" width="30.5703125" style="2" customWidth="1"/>
    <col min="16131" max="16131" width="33.85546875" style="2" customWidth="1"/>
    <col min="16132" max="16132" width="5.140625" style="2" customWidth="1"/>
    <col min="16133" max="16134" width="17.5703125" style="2" customWidth="1"/>
    <col min="16135" max="16384" width="9.140625" style="2"/>
  </cols>
  <sheetData>
    <row r="1" spans="1:4" ht="48" customHeight="1" x14ac:dyDescent="0.2">
      <c r="A1" s="3"/>
      <c r="B1" s="163" t="s">
        <v>227</v>
      </c>
      <c r="C1" s="163"/>
      <c r="D1" s="163"/>
    </row>
    <row r="2" spans="1:4" x14ac:dyDescent="0.2">
      <c r="A2" s="3"/>
      <c r="B2" s="4" t="s">
        <v>1</v>
      </c>
      <c r="C2" s="5">
        <v>45317</v>
      </c>
    </row>
    <row r="3" spans="1:4" x14ac:dyDescent="0.2">
      <c r="A3" s="3"/>
      <c r="B3" s="117" t="s">
        <v>2</v>
      </c>
      <c r="C3" s="7"/>
    </row>
    <row r="4" spans="1:4" ht="25.5" x14ac:dyDescent="0.2">
      <c r="A4" s="8"/>
      <c r="B4" s="9" t="str">
        <f>[16]И1!D13</f>
        <v>Субъект Российской Федерации</v>
      </c>
      <c r="C4" s="10" t="str">
        <f>[16]И1!E13</f>
        <v>Новосибирская область</v>
      </c>
      <c r="D4" s="9"/>
    </row>
    <row r="5" spans="1:4" ht="48.6" customHeight="1" x14ac:dyDescent="0.2">
      <c r="A5" s="8"/>
      <c r="B5" s="9" t="str">
        <f>[16]И1!D14</f>
        <v>Тип муниципального образования (выберите из списка)</v>
      </c>
      <c r="C5" s="10" t="str">
        <f>[16]И1!E14</f>
        <v>поселок Керамкомбинат, Искитимский муниципальный район</v>
      </c>
      <c r="D5" s="9"/>
    </row>
    <row r="6" spans="1:4" x14ac:dyDescent="0.2">
      <c r="A6" s="8"/>
      <c r="B6" s="9" t="str">
        <f>IF([16]И1!E15="","",[16]И1!D15)</f>
        <v/>
      </c>
      <c r="C6" s="7" t="str">
        <f>IF([16]И1!E15="","",[16]И1!E15)</f>
        <v/>
      </c>
      <c r="D6" s="9"/>
    </row>
    <row r="7" spans="1:4" x14ac:dyDescent="0.2">
      <c r="A7" s="8"/>
      <c r="B7" s="9" t="str">
        <f>[16]И1!D16</f>
        <v>Код ОКТМО</v>
      </c>
      <c r="C7" s="11" t="str">
        <f>[16]И1!E16</f>
        <v xml:space="preserve"> (50615420101)</v>
      </c>
      <c r="D7" s="9"/>
    </row>
    <row r="8" spans="1:4" x14ac:dyDescent="0.2">
      <c r="A8" s="8"/>
      <c r="B8" s="12" t="str">
        <f>[16]И1!D17</f>
        <v>Система теплоснабжения</v>
      </c>
      <c r="C8" s="13">
        <f>[16]И1!E17</f>
        <v>0</v>
      </c>
      <c r="D8" s="9"/>
    </row>
    <row r="9" spans="1:4" x14ac:dyDescent="0.2">
      <c r="A9" s="8"/>
      <c r="B9" s="9" t="str">
        <f>[16]И1!D8</f>
        <v>Период регулирования (i)-й</v>
      </c>
      <c r="C9" s="14">
        <f>[16]И1!E8</f>
        <v>2024</v>
      </c>
      <c r="D9" s="9"/>
    </row>
    <row r="10" spans="1:4" x14ac:dyDescent="0.2">
      <c r="A10" s="8"/>
      <c r="B10" s="9" t="str">
        <f>[16]И1!D9</f>
        <v>Период регулирования (i-1)-й</v>
      </c>
      <c r="C10" s="14">
        <f>[16]И1!E9</f>
        <v>2023</v>
      </c>
      <c r="D10" s="9"/>
    </row>
    <row r="11" spans="1:4" x14ac:dyDescent="0.2">
      <c r="A11" s="8"/>
      <c r="B11" s="9" t="str">
        <f>[16]И1!D10</f>
        <v>Период регулирования (i-2)-й</v>
      </c>
      <c r="C11" s="14">
        <f>[16]И1!E10</f>
        <v>2022</v>
      </c>
      <c r="D11" s="9"/>
    </row>
    <row r="12" spans="1:4" x14ac:dyDescent="0.2">
      <c r="A12" s="8"/>
      <c r="B12" s="9" t="str">
        <f>[16]И1!D11</f>
        <v>Базовый год (б)</v>
      </c>
      <c r="C12" s="14">
        <f>[16]И1!E11</f>
        <v>2019</v>
      </c>
      <c r="D12" s="9"/>
    </row>
    <row r="13" spans="1:4" x14ac:dyDescent="0.2">
      <c r="A13" s="8"/>
      <c r="B13" s="9" t="str">
        <f>[16]И1!D18</f>
        <v>Вид топлива, использование которого преобладает в системе теплоснабжения</v>
      </c>
      <c r="C13" s="15" t="str">
        <f>[16]И1!E18</f>
        <v>Газ</v>
      </c>
      <c r="D13" s="9"/>
    </row>
    <row r="14" spans="1:4" ht="26.25" customHeight="1" thickBot="1" x14ac:dyDescent="0.25">
      <c r="A14" s="167" t="s">
        <v>3</v>
      </c>
      <c r="B14" s="167"/>
      <c r="C14" s="167"/>
    </row>
    <row r="15" spans="1:4" x14ac:dyDescent="0.2">
      <c r="A15" s="16" t="s">
        <v>4</v>
      </c>
      <c r="B15" s="30" t="s">
        <v>5</v>
      </c>
      <c r="C15" s="118" t="s">
        <v>6</v>
      </c>
    </row>
    <row r="16" spans="1:4" x14ac:dyDescent="0.2">
      <c r="A16" s="19">
        <v>1</v>
      </c>
      <c r="B16" s="119">
        <v>2</v>
      </c>
      <c r="C16" s="120">
        <v>3</v>
      </c>
    </row>
    <row r="17" spans="1:4" x14ac:dyDescent="0.2">
      <c r="A17" s="22">
        <v>1</v>
      </c>
      <c r="B17" s="23" t="s">
        <v>7</v>
      </c>
      <c r="C17" s="24">
        <f>SUM(C18:C23)</f>
        <v>2939.204068798766</v>
      </c>
    </row>
    <row r="18" spans="1:4" ht="42.75" x14ac:dyDescent="0.2">
      <c r="A18" s="22" t="s">
        <v>8</v>
      </c>
      <c r="B18" s="25" t="s">
        <v>9</v>
      </c>
      <c r="C18" s="26">
        <f>[16]С1!F12</f>
        <v>994.35037159416254</v>
      </c>
    </row>
    <row r="19" spans="1:4" ht="42.75" x14ac:dyDescent="0.2">
      <c r="A19" s="22" t="s">
        <v>10</v>
      </c>
      <c r="B19" s="25" t="s">
        <v>11</v>
      </c>
      <c r="C19" s="26">
        <f>[16]С2!F12</f>
        <v>1338.5714783459885</v>
      </c>
    </row>
    <row r="20" spans="1:4" ht="30" x14ac:dyDescent="0.2">
      <c r="A20" s="22" t="s">
        <v>12</v>
      </c>
      <c r="B20" s="25" t="s">
        <v>13</v>
      </c>
      <c r="C20" s="26">
        <f>[16]С3!F12</f>
        <v>317.98065232680995</v>
      </c>
    </row>
    <row r="21" spans="1:4" ht="42.75" x14ac:dyDescent="0.2">
      <c r="A21" s="22" t="s">
        <v>14</v>
      </c>
      <c r="B21" s="25" t="s">
        <v>228</v>
      </c>
      <c r="C21" s="26">
        <f>[16]С4!F12</f>
        <v>230.67011420241766</v>
      </c>
    </row>
    <row r="22" spans="1:4" ht="33" customHeight="1" x14ac:dyDescent="0.2">
      <c r="A22" s="22" t="s">
        <v>16</v>
      </c>
      <c r="B22" s="25" t="s">
        <v>229</v>
      </c>
      <c r="C22" s="26">
        <f>[16]С5!F12</f>
        <v>57.631452329387571</v>
      </c>
    </row>
    <row r="23" spans="1:4" ht="45.75" customHeight="1" thickBot="1" x14ac:dyDescent="0.25">
      <c r="A23" s="27" t="s">
        <v>18</v>
      </c>
      <c r="B23" s="140" t="s">
        <v>230</v>
      </c>
      <c r="C23" s="28">
        <f>[16]С6!F12</f>
        <v>0</v>
      </c>
    </row>
    <row r="24" spans="1:4" ht="13.5" thickBot="1" x14ac:dyDescent="0.25">
      <c r="A24" s="3"/>
      <c r="C24" s="7"/>
    </row>
    <row r="25" spans="1:4" x14ac:dyDescent="0.2">
      <c r="A25" s="16" t="s">
        <v>4</v>
      </c>
      <c r="B25" s="29" t="s">
        <v>5</v>
      </c>
      <c r="C25" s="30" t="s">
        <v>6</v>
      </c>
      <c r="D25" s="143" t="s">
        <v>259</v>
      </c>
    </row>
    <row r="26" spans="1:4" x14ac:dyDescent="0.2">
      <c r="A26" s="19">
        <v>1</v>
      </c>
      <c r="B26" s="31">
        <v>2</v>
      </c>
      <c r="C26" s="32">
        <v>3</v>
      </c>
      <c r="D26" s="144">
        <v>4</v>
      </c>
    </row>
    <row r="27" spans="1:4" ht="30" customHeight="1" x14ac:dyDescent="0.2">
      <c r="A27" s="22">
        <v>1</v>
      </c>
      <c r="B27" s="164" t="s">
        <v>20</v>
      </c>
      <c r="C27" s="164"/>
      <c r="D27" s="169"/>
    </row>
    <row r="28" spans="1:4" ht="25.5" x14ac:dyDescent="0.2">
      <c r="A28" s="22" t="s">
        <v>8</v>
      </c>
      <c r="B28" s="33" t="s">
        <v>231</v>
      </c>
      <c r="C28" s="34">
        <f>[16]С1.1!E16</f>
        <v>7900</v>
      </c>
      <c r="D28" s="145" t="str">
        <f>[16]С1.1!F16</f>
        <v>Приказ ФАС России от 02.06.2021 №545/21</v>
      </c>
    </row>
    <row r="29" spans="1:4" ht="102" x14ac:dyDescent="0.2">
      <c r="A29" s="22" t="s">
        <v>10</v>
      </c>
      <c r="B29" s="33" t="s">
        <v>232</v>
      </c>
      <c r="C29" s="34">
        <f>[16]С1.1!E32</f>
        <v>5751.37</v>
      </c>
      <c r="D29" s="145" t="str">
        <f>IF([16]С1.1!E24=[16]С1.1!I9,[16]С1.1!I9,IF([16]С1.1!E24=[16]С1.1!I10,[16]С1.1!I10,IF([16]С1.1!E24=[16]С1.1!I11,[16]С1.3!G9,IF([16]С1.1!E24=[16]С1.1!I12,[16]С1.1!F30,IF([16]С1.1!E24=[16]С1.1!I13,[16]С1.1!F31,"")))))</f>
        <v>цены (тарифы), подлежащие государственному регулированию, действовавшие на день окончания (i-2)-го расчетного периода в системе теплоснабжения</v>
      </c>
    </row>
    <row r="30" spans="1:4" ht="38.25" x14ac:dyDescent="0.2">
      <c r="A30" s="22" t="s">
        <v>233</v>
      </c>
      <c r="B30" s="33" t="s">
        <v>234</v>
      </c>
      <c r="C30" s="85" t="str">
        <f>[16]С1.1!E25</f>
        <v>ООО "Газпром газораспределение Томск"</v>
      </c>
      <c r="D30" s="145">
        <f>[16]С1.1!F25</f>
        <v>0</v>
      </c>
    </row>
    <row r="31" spans="1:4" ht="38.25" x14ac:dyDescent="0.2">
      <c r="A31" s="22" t="s">
        <v>235</v>
      </c>
      <c r="B31" s="33" t="str">
        <f>[16]С1.1!D26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4">
        <f>[16]С1.1!E26</f>
        <v>4699.5</v>
      </c>
      <c r="D31" s="145" t="str">
        <f>[16]С1.1!F26</f>
        <v>Приказ ФАС России от 02.06.2021 №545/21</v>
      </c>
    </row>
    <row r="32" spans="1:4" ht="25.5" x14ac:dyDescent="0.2">
      <c r="A32" s="22" t="s">
        <v>236</v>
      </c>
      <c r="B32" s="33" t="str">
        <f>[16]С1.1!D27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4">
        <f>[16]С1.1!E27</f>
        <v>795.43</v>
      </c>
      <c r="D32" s="145" t="str">
        <f>[16]С1.1!F27</f>
        <v>Приказ ФАС России от 13.01.2020 №15/20</v>
      </c>
    </row>
    <row r="33" spans="1:4" ht="25.5" x14ac:dyDescent="0.2">
      <c r="A33" s="22" t="s">
        <v>237</v>
      </c>
      <c r="B33" s="33" t="str">
        <f>[16]С1.1!D28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4">
        <f>[16]С1.1!E28</f>
        <v>136.54</v>
      </c>
      <c r="D33" s="145" t="str">
        <f>[16]С1.1!F28</f>
        <v>Приказ ФАС России от 27.05.2016 №682/16</v>
      </c>
    </row>
    <row r="34" spans="1:4" ht="51" x14ac:dyDescent="0.2">
      <c r="A34" s="22" t="s">
        <v>238</v>
      </c>
      <c r="B34" s="33" t="str">
        <f>[16]С1.1!D29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4">
        <f>[16]С1.1!E29</f>
        <v>119.9</v>
      </c>
      <c r="D34" s="145" t="str">
        <f>[16]С1.1!F29</f>
        <v>Приказ департамента по тарифам Новосибирской области от 22.12.2020 №650-Г</v>
      </c>
    </row>
    <row r="35" spans="1:4" ht="369.75" x14ac:dyDescent="0.2">
      <c r="A35" s="22" t="s">
        <v>12</v>
      </c>
      <c r="B35" s="33" t="s">
        <v>23</v>
      </c>
      <c r="C35" s="35">
        <f>[16]С1.1!E20</f>
        <v>8.5000000000000006E-2</v>
      </c>
      <c r="D35" s="145" t="str">
        <f>[16]С1.1!F20</f>
        <v xml:space="preserve"> Прогноз социально-экономического развития Российской Федерации на 2023 год и на плановый период 2024 и 2025 годов (размещен на официальном сайте Министерства экономического развития Российской Федерации (далее − Минэкономразвития России) 28.09.2022): файл в формате PDF, таблица «Прогнозируемые изменения цен (тарифов) на продукцию (услуги) компаний инфраструктурного сектора на 2023-2025 гг.,%, показатель «Газ – индексация оптовых цен для всех категорий потребителей, исключая население»
с 1 июля 2022 - 5%, 
с 1 декабря 2022 - 8,5%</v>
      </c>
    </row>
    <row r="36" spans="1:4" ht="306" x14ac:dyDescent="0.2">
      <c r="A36" s="22" t="s">
        <v>14</v>
      </c>
      <c r="B36" s="33" t="s">
        <v>24</v>
      </c>
      <c r="C36" s="35">
        <f>[16]С1.1!E21</f>
        <v>0.112</v>
      </c>
      <c r="D36" s="145" t="str">
        <f>[16]С1.1!F21</f>
        <v xml:space="preserve">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PDF, таблица «Прогнозируемые изменения цен (тарифов) на продукцию (услуги) компаний инфраструктурного сектора на 2023-2025 гг.,%, показатель «Газ – индексация оптовых цен для всех категорий потребителей, исключая население»
</v>
      </c>
    </row>
    <row r="37" spans="1:4" ht="30" x14ac:dyDescent="0.2">
      <c r="A37" s="22" t="s">
        <v>16</v>
      </c>
      <c r="B37" s="36" t="s">
        <v>239</v>
      </c>
      <c r="C37" s="121">
        <f>[16]С1!F13</f>
        <v>156.1</v>
      </c>
      <c r="D37" s="145" t="s">
        <v>260</v>
      </c>
    </row>
    <row r="38" spans="1:4" x14ac:dyDescent="0.2">
      <c r="A38" s="22" t="s">
        <v>18</v>
      </c>
      <c r="B38" s="36" t="s">
        <v>26</v>
      </c>
      <c r="C38" s="38">
        <f>[16]С1!F16</f>
        <v>7000</v>
      </c>
      <c r="D38" s="147" t="s">
        <v>261</v>
      </c>
    </row>
    <row r="39" spans="1:4" ht="14.25" x14ac:dyDescent="0.2">
      <c r="A39" s="122" t="s">
        <v>27</v>
      </c>
      <c r="B39" s="39" t="s">
        <v>240</v>
      </c>
      <c r="C39" s="40">
        <f>[16]С1!F17</f>
        <v>1.1285714285714286</v>
      </c>
      <c r="D39" s="145"/>
    </row>
    <row r="40" spans="1:4" ht="15.75" x14ac:dyDescent="0.2">
      <c r="A40" s="123" t="s">
        <v>29</v>
      </c>
      <c r="B40" s="42" t="s">
        <v>30</v>
      </c>
      <c r="C40" s="40">
        <f>[16]С1!F20</f>
        <v>22.307053372799995</v>
      </c>
      <c r="D40" s="145"/>
    </row>
    <row r="41" spans="1:4" ht="15.75" x14ac:dyDescent="0.2">
      <c r="A41" s="123" t="s">
        <v>31</v>
      </c>
      <c r="B41" s="43" t="s">
        <v>32</v>
      </c>
      <c r="C41" s="40">
        <f>[16]С1!F21</f>
        <v>21.531904799999996</v>
      </c>
      <c r="D41" s="145"/>
    </row>
    <row r="42" spans="1:4" ht="14.25" x14ac:dyDescent="0.2">
      <c r="A42" s="123" t="s">
        <v>33</v>
      </c>
      <c r="B42" s="44" t="s">
        <v>34</v>
      </c>
      <c r="C42" s="40">
        <f>[16]С1!F22</f>
        <v>1.036</v>
      </c>
      <c r="D42" s="145" t="s">
        <v>262</v>
      </c>
    </row>
    <row r="43" spans="1:4" ht="53.25" thickBot="1" x14ac:dyDescent="0.25">
      <c r="A43" s="27" t="s">
        <v>35</v>
      </c>
      <c r="B43" s="45" t="s">
        <v>36</v>
      </c>
      <c r="C43" s="46" t="str">
        <f>[16]С1!F23</f>
        <v>-</v>
      </c>
      <c r="D43" s="148" t="s">
        <v>263</v>
      </c>
    </row>
    <row r="44" spans="1:4" ht="13.5" thickBot="1" x14ac:dyDescent="0.25">
      <c r="A44" s="47"/>
      <c r="B44" s="75"/>
      <c r="C44" s="15"/>
      <c r="D44" s="160"/>
    </row>
    <row r="45" spans="1:4" ht="30" customHeight="1" x14ac:dyDescent="0.2">
      <c r="A45" s="50" t="s">
        <v>37</v>
      </c>
      <c r="B45" s="165" t="s">
        <v>38</v>
      </c>
      <c r="C45" s="165"/>
      <c r="D45" s="170"/>
    </row>
    <row r="46" spans="1:4" ht="25.5" x14ac:dyDescent="0.2">
      <c r="A46" s="22" t="s">
        <v>39</v>
      </c>
      <c r="B46" s="36" t="s">
        <v>40</v>
      </c>
      <c r="C46" s="51" t="str">
        <f>[16]С2.1!E12</f>
        <v>V</v>
      </c>
      <c r="D46" s="145" t="s">
        <v>264</v>
      </c>
    </row>
    <row r="47" spans="1:4" ht="331.5" x14ac:dyDescent="0.2">
      <c r="A47" s="22" t="s">
        <v>41</v>
      </c>
      <c r="B47" s="33" t="s">
        <v>42</v>
      </c>
      <c r="C47" s="51" t="str">
        <f>[16]С2.1!E13</f>
        <v>6 и менее баллов</v>
      </c>
      <c r="D47" s="145" t="str">
        <f>[16]С2.1!F13</f>
        <v xml:space="preserve"> Приложение А (обязательное) "Общее сейсмическое районирование территории Российской Федерации ОСР-2015. Список населенных пунктов Российской Федерации, расположенных в сейсмических районах, с указанием расчетной сейсмической интенсивности в баллах шкалы MSK-64 для средних грунтовых условий и трех степеней сейсмической опасности - A (10%), B (5%), C (1%) в течение 50 лет" к своду правил "СП 14.13330.2018 Строительство в сейсмических районах. Актуализир. редакция СНиП II-7-81".</v>
      </c>
    </row>
    <row r="48" spans="1:4" ht="204" x14ac:dyDescent="0.2">
      <c r="A48" s="22" t="s">
        <v>43</v>
      </c>
      <c r="B48" s="33" t="s">
        <v>241</v>
      </c>
      <c r="C48" s="51" t="str">
        <f>[16]С2.1!E14</f>
        <v>от 200 до 500</v>
      </c>
      <c r="D48" s="145" t="str">
        <f>[16]С2.1!F14</f>
        <v>Карта Российской Федерации в масштабе, позволяющем определить расстояние на транспортировку основных средств котельной, определяется как расстояние от границы системы теплоснабжения до границы ближайшего административного центра субъекта РФ с железнодорожным сообщением</v>
      </c>
    </row>
    <row r="49" spans="1:4" ht="25.5" x14ac:dyDescent="0.2">
      <c r="A49" s="22" t="s">
        <v>45</v>
      </c>
      <c r="B49" s="33" t="s">
        <v>242</v>
      </c>
      <c r="C49" s="52" t="str">
        <f>[16]С2.1!E15</f>
        <v>нет</v>
      </c>
      <c r="D49" s="145">
        <f>[16]С2.1!F15</f>
        <v>0</v>
      </c>
    </row>
    <row r="50" spans="1:4" ht="30" x14ac:dyDescent="0.2">
      <c r="A50" s="22" t="s">
        <v>47</v>
      </c>
      <c r="B50" s="33" t="s">
        <v>48</v>
      </c>
      <c r="C50" s="34">
        <f>[16]С2!F18</f>
        <v>35106.652004551666</v>
      </c>
      <c r="D50" s="145"/>
    </row>
    <row r="51" spans="1:4" ht="30" x14ac:dyDescent="0.2">
      <c r="A51" s="22" t="s">
        <v>49</v>
      </c>
      <c r="B51" s="53" t="s">
        <v>50</v>
      </c>
      <c r="C51" s="34">
        <f>IF([16]С2!F19&gt;0,[16]С2!F19,[16]С2!F20)</f>
        <v>23441.524932855718</v>
      </c>
      <c r="D51" s="145"/>
    </row>
    <row r="52" spans="1:4" ht="140.25" x14ac:dyDescent="0.2">
      <c r="A52" s="22" t="s">
        <v>51</v>
      </c>
      <c r="B52" s="54" t="s">
        <v>52</v>
      </c>
      <c r="C52" s="34">
        <f>[16]С2.1!E20</f>
        <v>-38</v>
      </c>
      <c r="D52" s="145" t="str">
        <f>CONCATENATE([16]С2.1!F20,"  ",[16]С2.1!F21)</f>
        <v>Свод правил СП 131.13330.2020 "СНиП 23-01-99* Строительная климатология" "Температура воздуха наиболее холодной пятидневки с обеспеченностью 0,92"  Значение принято по ближайшему населенному пункту</v>
      </c>
    </row>
    <row r="53" spans="1:4" ht="25.5" x14ac:dyDescent="0.2">
      <c r="A53" s="22" t="s">
        <v>53</v>
      </c>
      <c r="B53" s="54" t="s">
        <v>54</v>
      </c>
      <c r="C53" s="34" t="str">
        <f>[16]С2.1!E23</f>
        <v>нет</v>
      </c>
      <c r="D53" s="150" t="str">
        <f>IF([16]С2.1!F23="","",[16]С2.1!F23)</f>
        <v/>
      </c>
    </row>
    <row r="54" spans="1:4" ht="38.25" x14ac:dyDescent="0.2">
      <c r="A54" s="22" t="s">
        <v>55</v>
      </c>
      <c r="B54" s="55" t="s">
        <v>56</v>
      </c>
      <c r="C54" s="34">
        <f>[16]С2.2!E10</f>
        <v>1287</v>
      </c>
      <c r="D54" s="145" t="s">
        <v>265</v>
      </c>
    </row>
    <row r="55" spans="1:4" ht="25.5" x14ac:dyDescent="0.2">
      <c r="A55" s="22" t="s">
        <v>57</v>
      </c>
      <c r="B55" s="56" t="s">
        <v>58</v>
      </c>
      <c r="C55" s="34">
        <f>[16]С2.2!E12</f>
        <v>5.97</v>
      </c>
      <c r="D55" s="145" t="s">
        <v>266</v>
      </c>
    </row>
    <row r="56" spans="1:4" ht="52.5" x14ac:dyDescent="0.2">
      <c r="A56" s="22" t="s">
        <v>59</v>
      </c>
      <c r="B56" s="57" t="s">
        <v>60</v>
      </c>
      <c r="C56" s="34">
        <f>[16]С2.2!E13</f>
        <v>1</v>
      </c>
      <c r="D56" s="147" t="s">
        <v>261</v>
      </c>
    </row>
    <row r="57" spans="1:4" ht="27.75" x14ac:dyDescent="0.2">
      <c r="A57" s="22" t="s">
        <v>61</v>
      </c>
      <c r="B57" s="56" t="s">
        <v>62</v>
      </c>
      <c r="C57" s="34">
        <f>[16]С2.2!E14</f>
        <v>12104</v>
      </c>
      <c r="D57" s="145" t="s">
        <v>265</v>
      </c>
    </row>
    <row r="58" spans="1:4" ht="89.25" x14ac:dyDescent="0.2">
      <c r="A58" s="22" t="s">
        <v>63</v>
      </c>
      <c r="B58" s="57" t="s">
        <v>64</v>
      </c>
      <c r="C58" s="35">
        <f>[16]С2.2!E15</f>
        <v>4.8000000000000001E-2</v>
      </c>
      <c r="D58" s="145" t="s">
        <v>267</v>
      </c>
    </row>
    <row r="59" spans="1:4" ht="89.25" x14ac:dyDescent="0.2">
      <c r="A59" s="22" t="s">
        <v>65</v>
      </c>
      <c r="B59" s="57" t="s">
        <v>66</v>
      </c>
      <c r="C59" s="124">
        <f>[16]С2.2!E16</f>
        <v>1</v>
      </c>
      <c r="D59" s="145" t="s">
        <v>268</v>
      </c>
    </row>
    <row r="60" spans="1:4" ht="15.75" x14ac:dyDescent="0.2">
      <c r="A60" s="22" t="s">
        <v>67</v>
      </c>
      <c r="B60" s="58" t="s">
        <v>68</v>
      </c>
      <c r="C60" s="34">
        <f>[16]С2!F21</f>
        <v>1</v>
      </c>
      <c r="D60" s="145" t="s">
        <v>269</v>
      </c>
    </row>
    <row r="61" spans="1:4" ht="30" x14ac:dyDescent="0.2">
      <c r="A61" s="59" t="s">
        <v>69</v>
      </c>
      <c r="B61" s="33" t="s">
        <v>243</v>
      </c>
      <c r="C61" s="34">
        <f>[16]С2!F13</f>
        <v>105136.23090983224</v>
      </c>
      <c r="D61" s="145"/>
    </row>
    <row r="62" spans="1:4" ht="30" x14ac:dyDescent="0.2">
      <c r="A62" s="59" t="s">
        <v>71</v>
      </c>
      <c r="B62" s="60" t="s">
        <v>244</v>
      </c>
      <c r="C62" s="34">
        <f>[16]С2!F14</f>
        <v>64899</v>
      </c>
      <c r="D62" s="145" t="s">
        <v>260</v>
      </c>
    </row>
    <row r="63" spans="1:4" ht="15.75" x14ac:dyDescent="0.2">
      <c r="A63" s="59" t="s">
        <v>73</v>
      </c>
      <c r="B63" s="60" t="s">
        <v>74</v>
      </c>
      <c r="C63" s="40">
        <f>[16]С2!F15</f>
        <v>1.071</v>
      </c>
      <c r="D63" s="145" t="s">
        <v>270</v>
      </c>
    </row>
    <row r="64" spans="1:4" ht="15.75" x14ac:dyDescent="0.2">
      <c r="A64" s="59" t="s">
        <v>75</v>
      </c>
      <c r="B64" s="60" t="s">
        <v>76</v>
      </c>
      <c r="C64" s="125">
        <f>[16]С2!F16</f>
        <v>1</v>
      </c>
      <c r="D64" s="145" t="s">
        <v>269</v>
      </c>
    </row>
    <row r="65" spans="1:4" ht="17.25" x14ac:dyDescent="0.2">
      <c r="A65" s="59" t="s">
        <v>77</v>
      </c>
      <c r="B65" s="60" t="s">
        <v>78</v>
      </c>
      <c r="C65" s="126">
        <f>[16]С2!F17</f>
        <v>1.01</v>
      </c>
      <c r="D65" s="145" t="s">
        <v>271</v>
      </c>
    </row>
    <row r="66" spans="1:4" s="63" customFormat="1" ht="14.25" x14ac:dyDescent="0.2">
      <c r="A66" s="59" t="s">
        <v>79</v>
      </c>
      <c r="B66" s="61" t="s">
        <v>80</v>
      </c>
      <c r="C66" s="62">
        <f>[16]С2!F35</f>
        <v>10</v>
      </c>
      <c r="D66" s="145" t="s">
        <v>272</v>
      </c>
    </row>
    <row r="67" spans="1:4" ht="30" x14ac:dyDescent="0.2">
      <c r="A67" s="59" t="s">
        <v>81</v>
      </c>
      <c r="B67" s="64" t="s">
        <v>82</v>
      </c>
      <c r="C67" s="34">
        <f>[16]С2!F28</f>
        <v>331.04604307653443</v>
      </c>
      <c r="D67" s="145"/>
    </row>
    <row r="68" spans="1:4" ht="242.25" x14ac:dyDescent="0.2">
      <c r="A68" s="59" t="s">
        <v>83</v>
      </c>
      <c r="B68" s="53" t="s">
        <v>245</v>
      </c>
      <c r="C68" s="40">
        <f>[16]С2!F29</f>
        <v>0.44209422600000003</v>
      </c>
      <c r="D68" s="145" t="str">
        <f>[16]С2.4!F12</f>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
    </row>
    <row r="69" spans="1:4" ht="17.25" x14ac:dyDescent="0.2">
      <c r="A69" s="59" t="s">
        <v>85</v>
      </c>
      <c r="B69" s="58" t="s">
        <v>246</v>
      </c>
      <c r="C69" s="62">
        <f>[16]С2!F30</f>
        <v>500</v>
      </c>
      <c r="D69" s="145" t="s">
        <v>260</v>
      </c>
    </row>
    <row r="70" spans="1:4" ht="42.75" x14ac:dyDescent="0.2">
      <c r="A70" s="59" t="s">
        <v>87</v>
      </c>
      <c r="B70" s="33" t="s">
        <v>247</v>
      </c>
      <c r="C70" s="34">
        <f>[16]С2!F22</f>
        <v>39638.324046481182</v>
      </c>
      <c r="D70" s="145"/>
    </row>
    <row r="71" spans="1:4" ht="30" x14ac:dyDescent="0.2">
      <c r="A71" s="59" t="s">
        <v>89</v>
      </c>
      <c r="B71" s="60" t="s">
        <v>248</v>
      </c>
      <c r="C71" s="34">
        <f>[16]С2!F23</f>
        <v>21</v>
      </c>
      <c r="D71" s="145" t="s">
        <v>273</v>
      </c>
    </row>
    <row r="72" spans="1:4" ht="30" x14ac:dyDescent="0.2">
      <c r="A72" s="59" t="s">
        <v>91</v>
      </c>
      <c r="B72" s="53" t="s">
        <v>92</v>
      </c>
      <c r="C72" s="34">
        <f>[16]С2.1!E28</f>
        <v>14036.09995</v>
      </c>
      <c r="D72" s="145"/>
    </row>
    <row r="73" spans="1:4" ht="38.25" x14ac:dyDescent="0.2">
      <c r="A73" s="59" t="s">
        <v>93</v>
      </c>
      <c r="B73" s="65" t="s">
        <v>94</v>
      </c>
      <c r="C73" s="52">
        <f>[16]С2.3!E21</f>
        <v>0</v>
      </c>
      <c r="D73" s="145">
        <f>[16]С2.3!F21</f>
        <v>0</v>
      </c>
    </row>
    <row r="74" spans="1:4" ht="25.5" x14ac:dyDescent="0.2">
      <c r="A74" s="59" t="s">
        <v>95</v>
      </c>
      <c r="B74" s="66" t="s">
        <v>96</v>
      </c>
      <c r="C74" s="67">
        <f>[16]С2.3!E11</f>
        <v>5.45</v>
      </c>
      <c r="D74" s="145" t="s">
        <v>274</v>
      </c>
    </row>
    <row r="75" spans="1:4" ht="25.5" x14ac:dyDescent="0.2">
      <c r="A75" s="59" t="s">
        <v>97</v>
      </c>
      <c r="B75" s="66" t="s">
        <v>98</v>
      </c>
      <c r="C75" s="62">
        <f>[16]С2.3!E13</f>
        <v>300</v>
      </c>
      <c r="D75" s="145" t="s">
        <v>274</v>
      </c>
    </row>
    <row r="76" spans="1:4" ht="25.5" x14ac:dyDescent="0.2">
      <c r="A76" s="59" t="s">
        <v>99</v>
      </c>
      <c r="B76" s="65" t="s">
        <v>100</v>
      </c>
      <c r="C76" s="68">
        <f>IF([16]С2.3!E22&gt;0,[16]С2.3!E22,[16]С2.3!E14)</f>
        <v>61211</v>
      </c>
      <c r="D76" s="145" t="str">
        <f>IF(C76=[16]С2.3!E14,"Таблица ТЭП (IV)",[16]С2.3!F22)</f>
        <v>Таблица ТЭП (IV)</v>
      </c>
    </row>
    <row r="77" spans="1:4" ht="38.25" x14ac:dyDescent="0.2">
      <c r="A77" s="59" t="s">
        <v>101</v>
      </c>
      <c r="B77" s="65" t="s">
        <v>102</v>
      </c>
      <c r="C77" s="68">
        <f>IF([16]С2.3!E23&gt;0,[16]С2.3!E23,[16]С2.3!E15)</f>
        <v>45675</v>
      </c>
      <c r="D77" s="145" t="str">
        <f>IF(C77=[16]С2.3!E15,"Таблица ТЭП (IV)",[16]С2.3!F23)</f>
        <v>Таблица ТЭП (IV)</v>
      </c>
    </row>
    <row r="78" spans="1:4" ht="30" x14ac:dyDescent="0.2">
      <c r="A78" s="59" t="s">
        <v>103</v>
      </c>
      <c r="B78" s="53" t="s">
        <v>104</v>
      </c>
      <c r="C78" s="34">
        <f>[16]С2.1!E29</f>
        <v>9518.3274000000001</v>
      </c>
      <c r="D78" s="145"/>
    </row>
    <row r="79" spans="1:4" ht="38.25" x14ac:dyDescent="0.2">
      <c r="A79" s="59" t="s">
        <v>105</v>
      </c>
      <c r="B79" s="65" t="s">
        <v>106</v>
      </c>
      <c r="C79" s="52">
        <f>[16]С2.3!E25</f>
        <v>0</v>
      </c>
      <c r="D79" s="145">
        <f>[16]С2.3!F25</f>
        <v>0</v>
      </c>
    </row>
    <row r="80" spans="1:4" ht="25.5" x14ac:dyDescent="0.2">
      <c r="A80" s="59" t="s">
        <v>107</v>
      </c>
      <c r="B80" s="66" t="s">
        <v>108</v>
      </c>
      <c r="C80" s="67">
        <f>[16]С2.3!E12</f>
        <v>0.2</v>
      </c>
      <c r="D80" s="145" t="s">
        <v>274</v>
      </c>
    </row>
    <row r="81" spans="1:4" ht="25.5" x14ac:dyDescent="0.2">
      <c r="A81" s="59" t="s">
        <v>109</v>
      </c>
      <c r="B81" s="66" t="s">
        <v>98</v>
      </c>
      <c r="C81" s="62">
        <f>[16]С2.3!E13</f>
        <v>300</v>
      </c>
      <c r="D81" s="145" t="s">
        <v>274</v>
      </c>
    </row>
    <row r="82" spans="1:4" ht="25.5" x14ac:dyDescent="0.2">
      <c r="A82" s="59" t="s">
        <v>110</v>
      </c>
      <c r="B82" s="69" t="s">
        <v>111</v>
      </c>
      <c r="C82" s="68">
        <f>IF([16]С2.3!E26&gt;0,[16]С2.3!E26,[16]С2.3!E16)</f>
        <v>65637</v>
      </c>
      <c r="D82" s="145" t="str">
        <f>IF(C82=[16]С2.3!E16,"Таблица ТЭП (IV)",[16]С2.3!F26)</f>
        <v>Таблица ТЭП (IV)</v>
      </c>
    </row>
    <row r="83" spans="1:4" ht="38.25" x14ac:dyDescent="0.2">
      <c r="A83" s="59" t="s">
        <v>112</v>
      </c>
      <c r="B83" s="69" t="s">
        <v>113</v>
      </c>
      <c r="C83" s="68">
        <f>IF([16]С2.3!E27&gt;0,[16]С2.3!E27,[16]С2.3!E17)</f>
        <v>31684</v>
      </c>
      <c r="D83" s="145" t="str">
        <f>IF(C83=[16]С2.3!E17,"Таблица ТЭП (IV)",[16]С2.3!F27)</f>
        <v>Таблица ТЭП (IV)</v>
      </c>
    </row>
    <row r="84" spans="1:4" ht="30" x14ac:dyDescent="0.2">
      <c r="A84" s="59" t="s">
        <v>249</v>
      </c>
      <c r="B84" s="60" t="s">
        <v>250</v>
      </c>
      <c r="C84" s="68">
        <f>IF([16]С2.1!E19&gt;0,[16]С2.1!E19,[16]С2!F26)</f>
        <v>2892</v>
      </c>
      <c r="D84" s="145" t="str">
        <f>IF([16]С2.1!E19&gt;0,[16]С2.1!F19,"Таблица ТЭП (V)")</f>
        <v>Таблица ТЭП (V)</v>
      </c>
    </row>
    <row r="85" spans="1:4" ht="17.25" x14ac:dyDescent="0.2">
      <c r="A85" s="59" t="s">
        <v>114</v>
      </c>
      <c r="B85" s="33" t="s">
        <v>115</v>
      </c>
      <c r="C85" s="35">
        <f>[16]С2!F31</f>
        <v>9.5962865259740182E-2</v>
      </c>
      <c r="D85" s="151"/>
    </row>
    <row r="86" spans="1:4" ht="38.25" x14ac:dyDescent="0.2">
      <c r="A86" s="59" t="s">
        <v>116</v>
      </c>
      <c r="B86" s="53" t="s">
        <v>117</v>
      </c>
      <c r="C86" s="70">
        <f>[16]С2!F32</f>
        <v>8.4029304029304031E-2</v>
      </c>
      <c r="D86" s="145" t="str">
        <f>[16]С2.6!G11</f>
        <v>Информация с официального сайта Банка России</v>
      </c>
    </row>
    <row r="87" spans="1:4" ht="17.25" x14ac:dyDescent="0.2">
      <c r="A87" s="59" t="s">
        <v>118</v>
      </c>
      <c r="B87" s="71" t="s">
        <v>119</v>
      </c>
      <c r="C87" s="35">
        <f>[16]С2!F33</f>
        <v>0.13880000000000001</v>
      </c>
      <c r="D87" s="145" t="s">
        <v>272</v>
      </c>
    </row>
    <row r="88" spans="1:4" s="63" customFormat="1" ht="18" thickBot="1" x14ac:dyDescent="0.25">
      <c r="A88" s="72" t="s">
        <v>120</v>
      </c>
      <c r="B88" s="73" t="s">
        <v>121</v>
      </c>
      <c r="C88" s="74">
        <f>[16]С2!F34</f>
        <v>0.12640000000000001</v>
      </c>
      <c r="D88" s="148" t="s">
        <v>272</v>
      </c>
    </row>
    <row r="89" spans="1:4" ht="13.5" thickBot="1" x14ac:dyDescent="0.25">
      <c r="A89" s="47"/>
      <c r="B89" s="75"/>
      <c r="C89" s="15"/>
      <c r="D89" s="160"/>
    </row>
    <row r="90" spans="1:4" s="63" customFormat="1" ht="30" customHeight="1" x14ac:dyDescent="0.2">
      <c r="A90" s="76" t="s">
        <v>122</v>
      </c>
      <c r="B90" s="165" t="s">
        <v>123</v>
      </c>
      <c r="C90" s="165"/>
      <c r="D90" s="170"/>
    </row>
    <row r="91" spans="1:4" s="63" customFormat="1" ht="30" x14ac:dyDescent="0.2">
      <c r="A91" s="77" t="s">
        <v>124</v>
      </c>
      <c r="B91" s="33" t="s">
        <v>125</v>
      </c>
      <c r="C91" s="34">
        <f>[16]С3!F14</f>
        <v>4207.4782939208517</v>
      </c>
      <c r="D91" s="145"/>
    </row>
    <row r="92" spans="1:4" s="63" customFormat="1" ht="42.75" x14ac:dyDescent="0.2">
      <c r="A92" s="77" t="s">
        <v>126</v>
      </c>
      <c r="B92" s="53" t="s">
        <v>127</v>
      </c>
      <c r="C92" s="78">
        <f>[16]С3!F15</f>
        <v>0.2</v>
      </c>
      <c r="D92" s="145" t="str">
        <f>[16]С3.1!F12</f>
        <v xml:space="preserve">Налоговый кодекс Российской Федерации </v>
      </c>
    </row>
    <row r="93" spans="1:4" s="63" customFormat="1" ht="14.25" x14ac:dyDescent="0.2">
      <c r="A93" s="77" t="s">
        <v>128</v>
      </c>
      <c r="B93" s="79" t="s">
        <v>129</v>
      </c>
      <c r="C93" s="62">
        <f>[16]С3!F18</f>
        <v>15</v>
      </c>
      <c r="D93" s="145" t="s">
        <v>272</v>
      </c>
    </row>
    <row r="94" spans="1:4" s="63" customFormat="1" ht="17.25" x14ac:dyDescent="0.2">
      <c r="A94" s="77" t="s">
        <v>130</v>
      </c>
      <c r="B94" s="33" t="s">
        <v>131</v>
      </c>
      <c r="C94" s="34">
        <f>[16]С3!F19</f>
        <v>2638.2577020926874</v>
      </c>
      <c r="D94" s="145"/>
    </row>
    <row r="95" spans="1:4" s="63" customFormat="1" ht="55.5" x14ac:dyDescent="0.2">
      <c r="A95" s="77" t="s">
        <v>132</v>
      </c>
      <c r="B95" s="53" t="s">
        <v>133</v>
      </c>
      <c r="C95" s="80">
        <f>[16]С3!F20</f>
        <v>2.1999999999999999E-2</v>
      </c>
      <c r="D95" s="145" t="str">
        <f>[16]С3.1!F13</f>
        <v xml:space="preserve">Налоговый кодекс Российской Федерации </v>
      </c>
    </row>
    <row r="96" spans="1:4" s="63" customFormat="1" ht="14.25" x14ac:dyDescent="0.2">
      <c r="A96" s="77" t="s">
        <v>134</v>
      </c>
      <c r="B96" s="58" t="s">
        <v>80</v>
      </c>
      <c r="C96" s="62">
        <f>[16]С3!F21</f>
        <v>10</v>
      </c>
      <c r="D96" s="145" t="s">
        <v>272</v>
      </c>
    </row>
    <row r="97" spans="1:4" s="63" customFormat="1" ht="17.25" x14ac:dyDescent="0.2">
      <c r="A97" s="77" t="s">
        <v>135</v>
      </c>
      <c r="B97" s="33" t="s">
        <v>136</v>
      </c>
      <c r="C97" s="34">
        <f>[16]С3!F22</f>
        <v>0.99313812922960332</v>
      </c>
      <c r="D97" s="145"/>
    </row>
    <row r="98" spans="1:4" s="63" customFormat="1" ht="55.5" x14ac:dyDescent="0.2">
      <c r="A98" s="77" t="s">
        <v>137</v>
      </c>
      <c r="B98" s="53" t="s">
        <v>138</v>
      </c>
      <c r="C98" s="80">
        <f>[16]С3!F23</f>
        <v>3.0000000000000001E-3</v>
      </c>
      <c r="D98" s="145">
        <f>[16]С3.1!F14</f>
        <v>0</v>
      </c>
    </row>
    <row r="99" spans="1:4" s="63" customFormat="1" ht="30.75" thickBot="1" x14ac:dyDescent="0.25">
      <c r="A99" s="81" t="s">
        <v>139</v>
      </c>
      <c r="B99" s="82" t="s">
        <v>82</v>
      </c>
      <c r="C99" s="83">
        <f>[16]С3!F24</f>
        <v>331.04604307653443</v>
      </c>
      <c r="D99" s="148"/>
    </row>
    <row r="100" spans="1:4" ht="13.5" thickBot="1" x14ac:dyDescent="0.25">
      <c r="A100" s="47"/>
      <c r="B100" s="75"/>
      <c r="C100" s="15"/>
      <c r="D100" s="160"/>
    </row>
    <row r="101" spans="1:4" ht="30" customHeight="1" x14ac:dyDescent="0.2">
      <c r="A101" s="84" t="s">
        <v>141</v>
      </c>
      <c r="B101" s="165" t="s">
        <v>142</v>
      </c>
      <c r="C101" s="165"/>
      <c r="D101" s="170"/>
    </row>
    <row r="102" spans="1:4" ht="30" x14ac:dyDescent="0.2">
      <c r="A102" s="59" t="s">
        <v>143</v>
      </c>
      <c r="B102" s="33" t="s">
        <v>251</v>
      </c>
      <c r="C102" s="34">
        <f>[16]С4!F16</f>
        <v>832.33500000000004</v>
      </c>
      <c r="D102" s="145"/>
    </row>
    <row r="103" spans="1:4" ht="30" x14ac:dyDescent="0.2">
      <c r="A103" s="59" t="s">
        <v>145</v>
      </c>
      <c r="B103" s="58" t="s">
        <v>252</v>
      </c>
      <c r="C103" s="34">
        <f>[16]С4!F17</f>
        <v>43385</v>
      </c>
      <c r="D103" s="145" t="s">
        <v>260</v>
      </c>
    </row>
    <row r="104" spans="1:4" ht="17.25" x14ac:dyDescent="0.2">
      <c r="A104" s="59" t="s">
        <v>147</v>
      </c>
      <c r="B104" s="58" t="s">
        <v>148</v>
      </c>
      <c r="C104" s="40">
        <f>[16]С4!F18</f>
        <v>1.4999999999999999E-2</v>
      </c>
      <c r="D104" s="145" t="s">
        <v>260</v>
      </c>
    </row>
    <row r="105" spans="1:4" ht="30" x14ac:dyDescent="0.2">
      <c r="A105" s="59" t="s">
        <v>149</v>
      </c>
      <c r="B105" s="58" t="s">
        <v>150</v>
      </c>
      <c r="C105" s="34">
        <f>[16]С4!F19</f>
        <v>12104</v>
      </c>
      <c r="D105" s="145" t="s">
        <v>275</v>
      </c>
    </row>
    <row r="106" spans="1:4" ht="31.5" x14ac:dyDescent="0.2">
      <c r="A106" s="59" t="s">
        <v>151</v>
      </c>
      <c r="B106" s="58" t="s">
        <v>152</v>
      </c>
      <c r="C106" s="40">
        <f>[16]С4!F20</f>
        <v>1.4999999999999999E-2</v>
      </c>
      <c r="D106" s="145" t="s">
        <v>275</v>
      </c>
    </row>
    <row r="107" spans="1:4" ht="30" x14ac:dyDescent="0.2">
      <c r="A107" s="59" t="s">
        <v>153</v>
      </c>
      <c r="B107" s="33" t="s">
        <v>253</v>
      </c>
      <c r="C107" s="34">
        <f>[16]С4!F21</f>
        <v>1221.9019409821399</v>
      </c>
      <c r="D107" s="145"/>
    </row>
    <row r="108" spans="1:4" ht="45.6" customHeight="1" x14ac:dyDescent="0.2">
      <c r="A108" s="59" t="s">
        <v>155</v>
      </c>
      <c r="B108" s="53" t="s">
        <v>156</v>
      </c>
      <c r="C108" s="85" t="str">
        <f>IF([16]С4.2!F8="да",[16]С4.2!D21,[16]С4.2!D15)</f>
        <v>АО "Новосибирскэнергосбыт"</v>
      </c>
      <c r="D108" s="145"/>
    </row>
    <row r="109" spans="1:4" ht="68.25" customHeight="1" x14ac:dyDescent="0.2">
      <c r="A109" s="59" t="s">
        <v>157</v>
      </c>
      <c r="B109" s="53" t="s">
        <v>158</v>
      </c>
      <c r="C109" s="34">
        <f>[16]С4!F22</f>
        <v>3.6112641666666665</v>
      </c>
      <c r="D109" s="145" t="str">
        <f>IF([16]С4.2!F8="да",[16]С4.2!E21,[16]С4.2!E15)</f>
        <v>https://www.nskes.ru/dlya-biznesa/tarify-i-oplata/nereguliruemye-tseny/</v>
      </c>
    </row>
    <row r="110" spans="1:4" ht="30" x14ac:dyDescent="0.2">
      <c r="A110" s="59" t="s">
        <v>159</v>
      </c>
      <c r="B110" s="58" t="s">
        <v>254</v>
      </c>
      <c r="C110" s="62">
        <f>[16]С4!F23</f>
        <v>110</v>
      </c>
      <c r="D110" s="145" t="s">
        <v>273</v>
      </c>
    </row>
    <row r="111" spans="1:4" ht="14.25" x14ac:dyDescent="0.2">
      <c r="A111" s="59" t="s">
        <v>161</v>
      </c>
      <c r="B111" s="53" t="s">
        <v>162</v>
      </c>
      <c r="C111" s="34">
        <f>[16]С4!F24</f>
        <v>8497.1999999999989</v>
      </c>
      <c r="D111" s="145" t="s">
        <v>260</v>
      </c>
    </row>
    <row r="112" spans="1:4" ht="14.25" x14ac:dyDescent="0.2">
      <c r="A112" s="59" t="s">
        <v>163</v>
      </c>
      <c r="B112" s="58" t="s">
        <v>164</v>
      </c>
      <c r="C112" s="40">
        <f>[16]С4!F25</f>
        <v>0.36199999999999999</v>
      </c>
      <c r="D112" s="145" t="s">
        <v>276</v>
      </c>
    </row>
    <row r="113" spans="1:4" ht="17.25" x14ac:dyDescent="0.2">
      <c r="A113" s="59" t="s">
        <v>165</v>
      </c>
      <c r="B113" s="33" t="s">
        <v>166</v>
      </c>
      <c r="C113" s="34">
        <f>[16]С4!F26</f>
        <v>40.123830000000005</v>
      </c>
      <c r="D113" s="145"/>
    </row>
    <row r="114" spans="1:4" ht="25.5" x14ac:dyDescent="0.2">
      <c r="A114" s="59" t="s">
        <v>167</v>
      </c>
      <c r="B114" s="53" t="s">
        <v>94</v>
      </c>
      <c r="C114" s="85">
        <f>[16]С4.3!E16</f>
        <v>0</v>
      </c>
      <c r="D114" s="145">
        <f>[16]С4.3!F16</f>
        <v>0</v>
      </c>
    </row>
    <row r="115" spans="1:4" ht="25.5" x14ac:dyDescent="0.2">
      <c r="A115" s="59" t="s">
        <v>168</v>
      </c>
      <c r="B115" s="53" t="s">
        <v>169</v>
      </c>
      <c r="C115" s="34">
        <f>[16]С4.3!E17</f>
        <v>18.059999999999999</v>
      </c>
      <c r="D115" s="150">
        <f>[16]С4.3!F17</f>
        <v>0</v>
      </c>
    </row>
    <row r="116" spans="1:4" ht="38.25" x14ac:dyDescent="0.2">
      <c r="A116" s="59" t="s">
        <v>170</v>
      </c>
      <c r="B116" s="53" t="s">
        <v>106</v>
      </c>
      <c r="C116" s="85">
        <f>[16]С4.3!E18</f>
        <v>0</v>
      </c>
      <c r="D116" s="145">
        <f>[16]С4.3!F18</f>
        <v>0</v>
      </c>
    </row>
    <row r="117" spans="1:4" x14ac:dyDescent="0.2">
      <c r="A117" s="59" t="s">
        <v>171</v>
      </c>
      <c r="B117" s="53" t="s">
        <v>172</v>
      </c>
      <c r="C117" s="34">
        <f>[16]С4.3!E19</f>
        <v>71.67</v>
      </c>
      <c r="D117" s="150">
        <f>[16]С4.3!F19</f>
        <v>0</v>
      </c>
    </row>
    <row r="118" spans="1:4" x14ac:dyDescent="0.2">
      <c r="A118" s="59" t="s">
        <v>173</v>
      </c>
      <c r="B118" s="58" t="s">
        <v>174</v>
      </c>
      <c r="C118" s="62">
        <f>[16]С4.3!E11</f>
        <v>1871</v>
      </c>
      <c r="D118" s="145" t="s">
        <v>260</v>
      </c>
    </row>
    <row r="119" spans="1:4" x14ac:dyDescent="0.2">
      <c r="A119" s="59" t="s">
        <v>175</v>
      </c>
      <c r="B119" s="58" t="s">
        <v>176</v>
      </c>
      <c r="C119" s="52">
        <f>[16]С4.3!E12</f>
        <v>61</v>
      </c>
      <c r="D119" s="145" t="s">
        <v>260</v>
      </c>
    </row>
    <row r="120" spans="1:4" x14ac:dyDescent="0.2">
      <c r="A120" s="59" t="s">
        <v>177</v>
      </c>
      <c r="B120" s="58" t="s">
        <v>178</v>
      </c>
      <c r="C120" s="52">
        <f>[16]С4.3!E13</f>
        <v>73</v>
      </c>
      <c r="D120" s="145" t="s">
        <v>260</v>
      </c>
    </row>
    <row r="121" spans="1:4" ht="30" x14ac:dyDescent="0.2">
      <c r="A121" s="59" t="s">
        <v>179</v>
      </c>
      <c r="B121" s="33" t="s">
        <v>255</v>
      </c>
      <c r="C121" s="34">
        <f>[16]С4!F27</f>
        <v>904.62444244124072</v>
      </c>
      <c r="D121" s="145"/>
    </row>
    <row r="122" spans="1:4" ht="25.5" x14ac:dyDescent="0.2">
      <c r="A122" s="59" t="s">
        <v>181</v>
      </c>
      <c r="B122" s="53" t="s">
        <v>256</v>
      </c>
      <c r="C122" s="34">
        <f>[16]С4!F28</f>
        <v>694.79603874135228</v>
      </c>
      <c r="D122" s="150"/>
    </row>
    <row r="123" spans="1:4" ht="42.75" x14ac:dyDescent="0.2">
      <c r="A123" s="59" t="s">
        <v>183</v>
      </c>
      <c r="B123" s="53" t="s">
        <v>184</v>
      </c>
      <c r="C123" s="34">
        <f>[16]С4!F29</f>
        <v>209.82840369988838</v>
      </c>
      <c r="D123" s="145"/>
    </row>
    <row r="124" spans="1:4" ht="30.75" thickBot="1" x14ac:dyDescent="0.25">
      <c r="A124" s="72" t="s">
        <v>185</v>
      </c>
      <c r="B124" s="90" t="s">
        <v>186</v>
      </c>
      <c r="C124" s="83">
        <f>[16]С4!F30</f>
        <v>475.40681839948314</v>
      </c>
      <c r="D124" s="148"/>
    </row>
    <row r="125" spans="1:4" s="89" customFormat="1" ht="13.5" thickBot="1" x14ac:dyDescent="0.25">
      <c r="A125" s="47"/>
      <c r="B125" s="75"/>
      <c r="C125" s="15"/>
      <c r="D125" s="160"/>
    </row>
    <row r="126" spans="1:4" s="63" customFormat="1" ht="30" customHeight="1" x14ac:dyDescent="0.2">
      <c r="A126" s="76" t="s">
        <v>195</v>
      </c>
      <c r="B126" s="165" t="s">
        <v>196</v>
      </c>
      <c r="C126" s="165"/>
      <c r="D126" s="170"/>
    </row>
    <row r="127" spans="1:4" ht="30.6" customHeight="1" thickBot="1" x14ac:dyDescent="0.25">
      <c r="A127" s="27" t="s">
        <v>197</v>
      </c>
      <c r="B127" s="90" t="s">
        <v>198</v>
      </c>
      <c r="C127" s="83">
        <f>[16]С5!F17</f>
        <v>0.02</v>
      </c>
      <c r="D127" s="155" t="s">
        <v>261</v>
      </c>
    </row>
    <row r="128" spans="1:4" s="89" customFormat="1" ht="13.5" thickBot="1" x14ac:dyDescent="0.25">
      <c r="A128" s="47"/>
      <c r="B128" s="75"/>
      <c r="C128" s="15"/>
      <c r="D128" s="160"/>
    </row>
    <row r="129" spans="1:5" ht="42.75" customHeight="1" x14ac:dyDescent="0.2">
      <c r="A129" s="84" t="s">
        <v>199</v>
      </c>
      <c r="B129" s="165" t="s">
        <v>200</v>
      </c>
      <c r="C129" s="165"/>
      <c r="D129" s="170"/>
    </row>
    <row r="130" spans="1:5" ht="68.25" x14ac:dyDescent="0.2">
      <c r="A130" s="59" t="s">
        <v>201</v>
      </c>
      <c r="B130" s="91" t="s">
        <v>202</v>
      </c>
      <c r="C130" s="34" t="str">
        <f>IF([16]С6.1!E11="нет",[16]С6!F13,"")</f>
        <v/>
      </c>
      <c r="D130" s="145"/>
    </row>
    <row r="131" spans="1:5" ht="42.75" x14ac:dyDescent="0.2">
      <c r="A131" s="59" t="s">
        <v>204</v>
      </c>
      <c r="B131" s="86" t="s">
        <v>205</v>
      </c>
      <c r="C131" s="92" t="str">
        <f>IF([16]С6.1!E12="нет",[16]С6.1!E17,"")</f>
        <v/>
      </c>
      <c r="D131" s="145" t="str">
        <f>IF([16]С6.1!E12="нет",[16]С6.1!F17,"")</f>
        <v/>
      </c>
    </row>
    <row r="132" spans="1:5" ht="68.25" x14ac:dyDescent="0.2">
      <c r="A132" s="59" t="s">
        <v>206</v>
      </c>
      <c r="B132" s="91" t="s">
        <v>207</v>
      </c>
      <c r="C132" s="127" t="str">
        <f>IF([16]С6.1!E18="нет",[16]С6!F19,"")</f>
        <v/>
      </c>
      <c r="D132" s="147"/>
    </row>
    <row r="133" spans="1:5" ht="55.5" x14ac:dyDescent="0.2">
      <c r="A133" s="59" t="s">
        <v>208</v>
      </c>
      <c r="B133" s="86" t="s">
        <v>209</v>
      </c>
      <c r="C133" s="35" t="str">
        <f>IF([16]С6.1!E18="нет",[16]С6.1!E19,"")</f>
        <v/>
      </c>
      <c r="D133" s="145" t="str">
        <f>IF([16]С6.1!E18="нет",[16]С6.1!F19,"")</f>
        <v/>
      </c>
    </row>
    <row r="134" spans="1:5" ht="61.5" customHeight="1" x14ac:dyDescent="0.2">
      <c r="A134" s="59" t="s">
        <v>210</v>
      </c>
      <c r="B134" s="86" t="s">
        <v>257</v>
      </c>
      <c r="C134" s="35" t="str">
        <f>IF([16]С6.1!E18="нет",[16]С6.1!E22,"")</f>
        <v/>
      </c>
      <c r="D134" s="145" t="str">
        <f>IF([16]С6.1!E18="нет",[16]С6.1!F22,"")</f>
        <v/>
      </c>
    </row>
    <row r="135" spans="1:5" ht="69" thickBot="1" x14ac:dyDescent="0.25">
      <c r="A135" s="72" t="s">
        <v>212</v>
      </c>
      <c r="B135" s="98" t="s">
        <v>213</v>
      </c>
      <c r="C135" s="74" t="str">
        <f>IF([16]С6.1!E18="нет",[16]С6.1!E23,"")</f>
        <v/>
      </c>
      <c r="D135" s="148" t="str">
        <f>IF([16]С6.1!E18="нет",[16]С6.1!F23,"")</f>
        <v/>
      </c>
    </row>
    <row r="136" spans="1:5" s="89" customFormat="1" ht="13.5" thickBot="1" x14ac:dyDescent="0.25">
      <c r="A136" s="47"/>
      <c r="B136" s="75"/>
      <c r="C136" s="15"/>
      <c r="D136" s="160"/>
    </row>
    <row r="137" spans="1:5" ht="15.75" x14ac:dyDescent="0.2">
      <c r="A137" s="84" t="s">
        <v>214</v>
      </c>
      <c r="B137" s="99" t="s">
        <v>215</v>
      </c>
      <c r="C137" s="100">
        <f>[16]С2!F39</f>
        <v>21.531904799999996</v>
      </c>
      <c r="D137" s="157"/>
    </row>
    <row r="138" spans="1:5" ht="14.25" x14ac:dyDescent="0.2">
      <c r="A138" s="59" t="s">
        <v>216</v>
      </c>
      <c r="B138" s="58" t="s">
        <v>217</v>
      </c>
      <c r="C138" s="34">
        <f>[16]С2!F40</f>
        <v>7</v>
      </c>
      <c r="D138" s="145" t="s">
        <v>260</v>
      </c>
    </row>
    <row r="139" spans="1:5" ht="17.25" x14ac:dyDescent="0.2">
      <c r="A139" s="59" t="s">
        <v>218</v>
      </c>
      <c r="B139" s="58" t="s">
        <v>219</v>
      </c>
      <c r="C139" s="34">
        <f>[16]С2!F42</f>
        <v>0.97</v>
      </c>
      <c r="D139" s="145" t="s">
        <v>260</v>
      </c>
    </row>
    <row r="140" spans="1:5" ht="15" thickBot="1" x14ac:dyDescent="0.25">
      <c r="A140" s="72" t="s">
        <v>220</v>
      </c>
      <c r="B140" s="73" t="s">
        <v>221</v>
      </c>
      <c r="C140" s="46">
        <f>[16]С2!F44</f>
        <v>0.36199999999999999</v>
      </c>
      <c r="D140" s="148" t="s">
        <v>276</v>
      </c>
    </row>
    <row r="141" spans="1:5" s="89" customFormat="1" ht="13.5" thickBot="1" x14ac:dyDescent="0.25">
      <c r="A141" s="47"/>
      <c r="B141" s="75"/>
      <c r="C141" s="15"/>
      <c r="D141" s="160"/>
    </row>
    <row r="142" spans="1:5" ht="409.5" x14ac:dyDescent="0.2">
      <c r="A142" s="84" t="s">
        <v>222</v>
      </c>
      <c r="B142" s="103" t="s">
        <v>258</v>
      </c>
      <c r="C142" s="128">
        <f>[16]С2!F37</f>
        <v>1.4976266307379205</v>
      </c>
      <c r="D142" s="157" t="str">
        <f>[16]С2.5!D15</f>
        <v>на 2020: Прогноз социально-экономического развития Российской Федерации на 2022 год и на плановый период 2023 и 2024 годов (размещен на официальном сайте Минэкономразвития России 30.09.2021): файл в формате Microsoft Excel «12. Дефляторы базовый», таблица «Прогноз индексов цен производителей и индексов-дефляторов по видам экономической деятельности, в % г/г (Базовый вариант)», отрасль «Промышленность (BСDE)», (показатель «ИЦП»)
на 2021-2023 годы: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отрасль «Промышленность (BСDE)», (показатель «ИЦП»)</v>
      </c>
      <c r="E142" s="89"/>
    </row>
    <row r="143" spans="1:5" ht="17.25" customHeight="1" thickBot="1" x14ac:dyDescent="0.25">
      <c r="A143" s="72" t="s">
        <v>224</v>
      </c>
      <c r="B143" s="161" t="s">
        <v>225</v>
      </c>
      <c r="C143" s="161"/>
      <c r="D143" s="168"/>
      <c r="E143" s="89"/>
    </row>
    <row r="144" spans="1:5" x14ac:dyDescent="0.2">
      <c r="A144" s="105"/>
      <c r="B144" s="129" t="s">
        <v>226</v>
      </c>
      <c r="C144" s="130"/>
      <c r="D144" s="9"/>
    </row>
    <row r="145" spans="1:4" x14ac:dyDescent="0.2">
      <c r="A145" s="105"/>
      <c r="B145" s="131">
        <v>2020</v>
      </c>
      <c r="C145" s="132">
        <f>[16]С2.5!$E$11</f>
        <v>-2.9000000000000026E-2</v>
      </c>
      <c r="D145" s="9"/>
    </row>
    <row r="146" spans="1:4" x14ac:dyDescent="0.2">
      <c r="B146" s="131">
        <f>B145+1</f>
        <v>2021</v>
      </c>
      <c r="C146" s="133">
        <f>[16]С2.5!$F$11</f>
        <v>0.245</v>
      </c>
    </row>
    <row r="147" spans="1:4" x14ac:dyDescent="0.2">
      <c r="B147" s="131">
        <f t="shared" ref="B147:B210" si="0">B146+1</f>
        <v>2022</v>
      </c>
      <c r="C147" s="134">
        <f>[16]С2.5!$G$11</f>
        <v>0.114</v>
      </c>
    </row>
    <row r="148" spans="1:4" x14ac:dyDescent="0.2">
      <c r="B148" s="110">
        <f t="shared" si="0"/>
        <v>2023</v>
      </c>
      <c r="C148" s="135">
        <f>[16]С2.5!$H$11</f>
        <v>2.4E-2</v>
      </c>
    </row>
    <row r="149" spans="1:4" ht="13.5" thickBot="1" x14ac:dyDescent="0.25">
      <c r="B149" s="110">
        <f t="shared" si="0"/>
        <v>2024</v>
      </c>
      <c r="C149" s="135">
        <f>[16]С2.5!$I$11</f>
        <v>8.5999999999999993E-2</v>
      </c>
    </row>
    <row r="150" spans="1:4" ht="13.5" hidden="1" thickBot="1" x14ac:dyDescent="0.25">
      <c r="B150" s="110">
        <f t="shared" si="0"/>
        <v>2025</v>
      </c>
      <c r="C150" s="135">
        <f>[16]С2.5!$J$11</f>
        <v>0</v>
      </c>
    </row>
    <row r="151" spans="1:4" ht="13.5" hidden="1" thickBot="1" x14ac:dyDescent="0.25">
      <c r="B151" s="110">
        <f t="shared" si="0"/>
        <v>2026</v>
      </c>
      <c r="C151" s="135">
        <f>[16]С2.5!$K$11</f>
        <v>0</v>
      </c>
    </row>
    <row r="152" spans="1:4" ht="13.5" hidden="1" thickBot="1" x14ac:dyDescent="0.25">
      <c r="B152" s="110">
        <f t="shared" si="0"/>
        <v>2027</v>
      </c>
      <c r="C152" s="135">
        <f>[16]С2.5!$L$11</f>
        <v>0</v>
      </c>
    </row>
    <row r="153" spans="1:4" ht="13.5" hidden="1" thickBot="1" x14ac:dyDescent="0.25">
      <c r="B153" s="110">
        <f t="shared" si="0"/>
        <v>2028</v>
      </c>
      <c r="C153" s="135">
        <f>[16]С2.5!$M$11</f>
        <v>0</v>
      </c>
    </row>
    <row r="154" spans="1:4" ht="13.5" hidden="1" thickBot="1" x14ac:dyDescent="0.25">
      <c r="B154" s="110">
        <f t="shared" si="0"/>
        <v>2029</v>
      </c>
      <c r="C154" s="135">
        <f>[16]С2.5!$N$11</f>
        <v>0</v>
      </c>
    </row>
    <row r="155" spans="1:4" ht="13.5" hidden="1" thickBot="1" x14ac:dyDescent="0.25">
      <c r="B155" s="110">
        <f t="shared" si="0"/>
        <v>2030</v>
      </c>
      <c r="C155" s="135">
        <f>[16]С2.5!$O$11</f>
        <v>0</v>
      </c>
    </row>
    <row r="156" spans="1:4" ht="13.5" hidden="1" thickBot="1" x14ac:dyDescent="0.25">
      <c r="B156" s="110">
        <f t="shared" si="0"/>
        <v>2031</v>
      </c>
      <c r="C156" s="135">
        <f>[16]С2.5!$P$11</f>
        <v>0</v>
      </c>
    </row>
    <row r="157" spans="1:4" ht="13.5" hidden="1" thickBot="1" x14ac:dyDescent="0.25">
      <c r="B157" s="110">
        <f t="shared" si="0"/>
        <v>2032</v>
      </c>
      <c r="C157" s="135">
        <f>[16]С2.5!$Q$11</f>
        <v>0</v>
      </c>
    </row>
    <row r="158" spans="1:4" ht="13.5" hidden="1" thickBot="1" x14ac:dyDescent="0.25">
      <c r="B158" s="110">
        <f t="shared" si="0"/>
        <v>2033</v>
      </c>
      <c r="C158" s="135">
        <f>[16]С2.5!$R$11</f>
        <v>0</v>
      </c>
    </row>
    <row r="159" spans="1:4" ht="13.5" hidden="1" thickBot="1" x14ac:dyDescent="0.25">
      <c r="B159" s="110">
        <f t="shared" si="0"/>
        <v>2034</v>
      </c>
      <c r="C159" s="135">
        <f>[16]С2.5!$S$11</f>
        <v>0</v>
      </c>
    </row>
    <row r="160" spans="1:4" ht="13.5" hidden="1" thickBot="1" x14ac:dyDescent="0.25">
      <c r="B160" s="110">
        <f t="shared" si="0"/>
        <v>2035</v>
      </c>
      <c r="C160" s="135">
        <f>[16]С2.5!$T$11</f>
        <v>0</v>
      </c>
    </row>
    <row r="161" spans="2:3" s="2" customFormat="1" ht="13.5" hidden="1" thickBot="1" x14ac:dyDescent="0.25">
      <c r="B161" s="110">
        <f t="shared" si="0"/>
        <v>2036</v>
      </c>
      <c r="C161" s="135">
        <f>[16]С2.5!$U$11</f>
        <v>0</v>
      </c>
    </row>
    <row r="162" spans="2:3" s="2" customFormat="1" ht="13.5" hidden="1" thickBot="1" x14ac:dyDescent="0.25">
      <c r="B162" s="110">
        <f t="shared" si="0"/>
        <v>2037</v>
      </c>
      <c r="C162" s="135">
        <f>[16]С2.5!$V$11</f>
        <v>0</v>
      </c>
    </row>
    <row r="163" spans="2:3" s="2" customFormat="1" ht="13.5" hidden="1" thickBot="1" x14ac:dyDescent="0.25">
      <c r="B163" s="110">
        <f t="shared" si="0"/>
        <v>2038</v>
      </c>
      <c r="C163" s="135">
        <f>[16]С2.5!$W$11</f>
        <v>0</v>
      </c>
    </row>
    <row r="164" spans="2:3" s="2" customFormat="1" ht="13.5" hidden="1" thickBot="1" x14ac:dyDescent="0.25">
      <c r="B164" s="110">
        <f t="shared" si="0"/>
        <v>2039</v>
      </c>
      <c r="C164" s="135">
        <f>[16]С2.5!$X$11</f>
        <v>0</v>
      </c>
    </row>
    <row r="165" spans="2:3" s="2" customFormat="1" ht="13.5" hidden="1" thickBot="1" x14ac:dyDescent="0.25">
      <c r="B165" s="110">
        <f t="shared" si="0"/>
        <v>2040</v>
      </c>
      <c r="C165" s="135">
        <f>[16]С2.5!$Y$11</f>
        <v>0</v>
      </c>
    </row>
    <row r="166" spans="2:3" s="2" customFormat="1" ht="13.5" hidden="1" thickBot="1" x14ac:dyDescent="0.25">
      <c r="B166" s="110">
        <f t="shared" si="0"/>
        <v>2041</v>
      </c>
      <c r="C166" s="135">
        <f>[16]С2.5!$Z$11</f>
        <v>0</v>
      </c>
    </row>
    <row r="167" spans="2:3" s="2" customFormat="1" ht="13.5" hidden="1" thickBot="1" x14ac:dyDescent="0.25">
      <c r="B167" s="110">
        <f t="shared" si="0"/>
        <v>2042</v>
      </c>
      <c r="C167" s="135">
        <f>[16]С2.5!$AA$11</f>
        <v>0</v>
      </c>
    </row>
    <row r="168" spans="2:3" s="2" customFormat="1" ht="13.5" hidden="1" thickBot="1" x14ac:dyDescent="0.25">
      <c r="B168" s="110">
        <f t="shared" si="0"/>
        <v>2043</v>
      </c>
      <c r="C168" s="135">
        <f>[16]С2.5!$AB$11</f>
        <v>0</v>
      </c>
    </row>
    <row r="169" spans="2:3" s="2" customFormat="1" ht="13.5" hidden="1" thickBot="1" x14ac:dyDescent="0.25">
      <c r="B169" s="110">
        <f t="shared" si="0"/>
        <v>2044</v>
      </c>
      <c r="C169" s="135">
        <f>[16]С2.5!$AC$11</f>
        <v>0</v>
      </c>
    </row>
    <row r="170" spans="2:3" s="2" customFormat="1" ht="13.5" hidden="1" thickBot="1" x14ac:dyDescent="0.25">
      <c r="B170" s="110">
        <f t="shared" si="0"/>
        <v>2045</v>
      </c>
      <c r="C170" s="135">
        <f>[16]С2.5!$AD$11</f>
        <v>0</v>
      </c>
    </row>
    <row r="171" spans="2:3" s="2" customFormat="1" ht="13.5" hidden="1" thickBot="1" x14ac:dyDescent="0.25">
      <c r="B171" s="110">
        <f t="shared" si="0"/>
        <v>2046</v>
      </c>
      <c r="C171" s="135">
        <f>[16]С2.5!$AE$11</f>
        <v>0</v>
      </c>
    </row>
    <row r="172" spans="2:3" s="2" customFormat="1" ht="13.5" hidden="1" thickBot="1" x14ac:dyDescent="0.25">
      <c r="B172" s="110">
        <f t="shared" si="0"/>
        <v>2047</v>
      </c>
      <c r="C172" s="135">
        <f>[16]С2.5!$AF$11</f>
        <v>0</v>
      </c>
    </row>
    <row r="173" spans="2:3" s="2" customFormat="1" ht="13.5" hidden="1" thickBot="1" x14ac:dyDescent="0.25">
      <c r="B173" s="110">
        <f t="shared" si="0"/>
        <v>2048</v>
      </c>
      <c r="C173" s="135">
        <f>[16]С2.5!$AG$11</f>
        <v>0</v>
      </c>
    </row>
    <row r="174" spans="2:3" s="2" customFormat="1" ht="13.5" hidden="1" thickBot="1" x14ac:dyDescent="0.25">
      <c r="B174" s="110">
        <f t="shared" si="0"/>
        <v>2049</v>
      </c>
      <c r="C174" s="135">
        <f>[16]С2.5!$AH$11</f>
        <v>0</v>
      </c>
    </row>
    <row r="175" spans="2:3" s="2" customFormat="1" ht="13.5" hidden="1" thickBot="1" x14ac:dyDescent="0.25">
      <c r="B175" s="110">
        <f t="shared" si="0"/>
        <v>2050</v>
      </c>
      <c r="C175" s="135">
        <f>[16]С2.5!$AI$11</f>
        <v>0</v>
      </c>
    </row>
    <row r="176" spans="2:3" s="2" customFormat="1" ht="13.5" hidden="1" thickBot="1" x14ac:dyDescent="0.25">
      <c r="B176" s="110">
        <f t="shared" si="0"/>
        <v>2051</v>
      </c>
      <c r="C176" s="135">
        <f>[16]С2.5!$AJ$11</f>
        <v>0</v>
      </c>
    </row>
    <row r="177" spans="2:3" s="2" customFormat="1" ht="13.5" hidden="1" thickBot="1" x14ac:dyDescent="0.25">
      <c r="B177" s="110">
        <f t="shared" si="0"/>
        <v>2052</v>
      </c>
      <c r="C177" s="135">
        <f>[16]С2.5!$AK$11</f>
        <v>0</v>
      </c>
    </row>
    <row r="178" spans="2:3" s="2" customFormat="1" ht="13.5" hidden="1" thickBot="1" x14ac:dyDescent="0.25">
      <c r="B178" s="110">
        <f t="shared" si="0"/>
        <v>2053</v>
      </c>
      <c r="C178" s="135">
        <f>[16]С2.5!$AL$11</f>
        <v>0</v>
      </c>
    </row>
    <row r="179" spans="2:3" s="2" customFormat="1" ht="13.5" hidden="1" thickBot="1" x14ac:dyDescent="0.25">
      <c r="B179" s="110">
        <f t="shared" si="0"/>
        <v>2054</v>
      </c>
      <c r="C179" s="135">
        <f>[16]С2.5!$AM$11</f>
        <v>0</v>
      </c>
    </row>
    <row r="180" spans="2:3" s="2" customFormat="1" ht="13.5" hidden="1" thickBot="1" x14ac:dyDescent="0.25">
      <c r="B180" s="110">
        <f t="shared" si="0"/>
        <v>2055</v>
      </c>
      <c r="C180" s="135">
        <f>[16]С2.5!$AN$11</f>
        <v>0</v>
      </c>
    </row>
    <row r="181" spans="2:3" s="2" customFormat="1" ht="13.5" hidden="1" thickBot="1" x14ac:dyDescent="0.25">
      <c r="B181" s="110">
        <f t="shared" si="0"/>
        <v>2056</v>
      </c>
      <c r="C181" s="135">
        <f>[16]С2.5!$AO$11</f>
        <v>0</v>
      </c>
    </row>
    <row r="182" spans="2:3" s="2" customFormat="1" ht="13.5" hidden="1" thickBot="1" x14ac:dyDescent="0.25">
      <c r="B182" s="110">
        <f t="shared" si="0"/>
        <v>2057</v>
      </c>
      <c r="C182" s="135">
        <f>[16]С2.5!$AP$11</f>
        <v>0</v>
      </c>
    </row>
    <row r="183" spans="2:3" s="2" customFormat="1" ht="13.5" hidden="1" thickBot="1" x14ac:dyDescent="0.25">
      <c r="B183" s="110">
        <f t="shared" si="0"/>
        <v>2058</v>
      </c>
      <c r="C183" s="135">
        <f>[16]С2.5!$AQ$11</f>
        <v>0</v>
      </c>
    </row>
    <row r="184" spans="2:3" s="2" customFormat="1" ht="13.5" hidden="1" thickBot="1" x14ac:dyDescent="0.25">
      <c r="B184" s="110">
        <f t="shared" si="0"/>
        <v>2059</v>
      </c>
      <c r="C184" s="135">
        <f>[16]С2.5!$AR$11</f>
        <v>0</v>
      </c>
    </row>
    <row r="185" spans="2:3" s="2" customFormat="1" ht="13.5" hidden="1" thickBot="1" x14ac:dyDescent="0.25">
      <c r="B185" s="110">
        <f t="shared" si="0"/>
        <v>2060</v>
      </c>
      <c r="C185" s="135">
        <f>[16]С2.5!$AS$11</f>
        <v>0</v>
      </c>
    </row>
    <row r="186" spans="2:3" s="2" customFormat="1" ht="13.5" hidden="1" thickBot="1" x14ac:dyDescent="0.25">
      <c r="B186" s="110">
        <f t="shared" si="0"/>
        <v>2061</v>
      </c>
      <c r="C186" s="135">
        <f>[16]С2.5!$AT$11</f>
        <v>0</v>
      </c>
    </row>
    <row r="187" spans="2:3" s="2" customFormat="1" ht="13.5" hidden="1" thickBot="1" x14ac:dyDescent="0.25">
      <c r="B187" s="110">
        <f t="shared" si="0"/>
        <v>2062</v>
      </c>
      <c r="C187" s="135">
        <f>[16]С2.5!$AU$11</f>
        <v>0</v>
      </c>
    </row>
    <row r="188" spans="2:3" s="2" customFormat="1" ht="13.5" hidden="1" thickBot="1" x14ac:dyDescent="0.25">
      <c r="B188" s="110">
        <f t="shared" si="0"/>
        <v>2063</v>
      </c>
      <c r="C188" s="135">
        <f>[16]С2.5!$AV$11</f>
        <v>0</v>
      </c>
    </row>
    <row r="189" spans="2:3" s="2" customFormat="1" ht="13.5" hidden="1" thickBot="1" x14ac:dyDescent="0.25">
      <c r="B189" s="110">
        <f t="shared" si="0"/>
        <v>2064</v>
      </c>
      <c r="C189" s="135">
        <f>[16]С2.5!$AW$11</f>
        <v>0</v>
      </c>
    </row>
    <row r="190" spans="2:3" s="2" customFormat="1" ht="13.5" hidden="1" thickBot="1" x14ac:dyDescent="0.25">
      <c r="B190" s="110">
        <f t="shared" si="0"/>
        <v>2065</v>
      </c>
      <c r="C190" s="135">
        <f>[16]С2.5!$AX$11</f>
        <v>0</v>
      </c>
    </row>
    <row r="191" spans="2:3" s="2" customFormat="1" ht="13.5" hidden="1" thickBot="1" x14ac:dyDescent="0.25">
      <c r="B191" s="110">
        <f t="shared" si="0"/>
        <v>2066</v>
      </c>
      <c r="C191" s="135">
        <f>[16]С2.5!$AY$11</f>
        <v>0</v>
      </c>
    </row>
    <row r="192" spans="2:3" s="2" customFormat="1" ht="13.5" hidden="1" thickBot="1" x14ac:dyDescent="0.25">
      <c r="B192" s="110">
        <f t="shared" si="0"/>
        <v>2067</v>
      </c>
      <c r="C192" s="135">
        <f>[16]С2.5!$AZ$11</f>
        <v>0</v>
      </c>
    </row>
    <row r="193" spans="2:3" s="2" customFormat="1" ht="13.5" hidden="1" thickBot="1" x14ac:dyDescent="0.25">
      <c r="B193" s="110">
        <f t="shared" si="0"/>
        <v>2068</v>
      </c>
      <c r="C193" s="135">
        <f>[16]С2.5!$BA$11</f>
        <v>0</v>
      </c>
    </row>
    <row r="194" spans="2:3" s="2" customFormat="1" ht="13.5" hidden="1" thickBot="1" x14ac:dyDescent="0.25">
      <c r="B194" s="110">
        <f t="shared" si="0"/>
        <v>2069</v>
      </c>
      <c r="C194" s="135">
        <f>[16]С2.5!$BB$11</f>
        <v>0</v>
      </c>
    </row>
    <row r="195" spans="2:3" s="2" customFormat="1" ht="13.5" hidden="1" thickBot="1" x14ac:dyDescent="0.25">
      <c r="B195" s="110">
        <f t="shared" si="0"/>
        <v>2070</v>
      </c>
      <c r="C195" s="135">
        <f>[16]С2.5!$BC$11</f>
        <v>0</v>
      </c>
    </row>
    <row r="196" spans="2:3" s="2" customFormat="1" ht="13.5" hidden="1" thickBot="1" x14ac:dyDescent="0.25">
      <c r="B196" s="110">
        <f t="shared" si="0"/>
        <v>2071</v>
      </c>
      <c r="C196" s="135">
        <f>[16]С2.5!$BD$11</f>
        <v>0</v>
      </c>
    </row>
    <row r="197" spans="2:3" s="2" customFormat="1" ht="13.5" hidden="1" thickBot="1" x14ac:dyDescent="0.25">
      <c r="B197" s="110">
        <f t="shared" si="0"/>
        <v>2072</v>
      </c>
      <c r="C197" s="135">
        <f>[16]С2.5!$BE$11</f>
        <v>0</v>
      </c>
    </row>
    <row r="198" spans="2:3" s="2" customFormat="1" ht="13.5" hidden="1" thickBot="1" x14ac:dyDescent="0.25">
      <c r="B198" s="110">
        <f t="shared" si="0"/>
        <v>2073</v>
      </c>
      <c r="C198" s="135">
        <f>[16]С2.5!$BF$11</f>
        <v>0</v>
      </c>
    </row>
    <row r="199" spans="2:3" s="2" customFormat="1" ht="13.5" hidden="1" thickBot="1" x14ac:dyDescent="0.25">
      <c r="B199" s="110">
        <f t="shared" si="0"/>
        <v>2074</v>
      </c>
      <c r="C199" s="135">
        <f>[16]С2.5!$BG$11</f>
        <v>0</v>
      </c>
    </row>
    <row r="200" spans="2:3" s="2" customFormat="1" ht="13.5" hidden="1" thickBot="1" x14ac:dyDescent="0.25">
      <c r="B200" s="110">
        <f t="shared" si="0"/>
        <v>2075</v>
      </c>
      <c r="C200" s="135">
        <f>[16]С2.5!$BH$11</f>
        <v>0</v>
      </c>
    </row>
    <row r="201" spans="2:3" s="2" customFormat="1" ht="13.5" hidden="1" thickBot="1" x14ac:dyDescent="0.25">
      <c r="B201" s="110">
        <f t="shared" si="0"/>
        <v>2076</v>
      </c>
      <c r="C201" s="135">
        <f>[16]С2.5!$BI$11</f>
        <v>0</v>
      </c>
    </row>
    <row r="202" spans="2:3" s="2" customFormat="1" ht="13.5" hidden="1" thickBot="1" x14ac:dyDescent="0.25">
      <c r="B202" s="110">
        <f t="shared" si="0"/>
        <v>2077</v>
      </c>
      <c r="C202" s="135">
        <f>[16]С2.5!$BJ$11</f>
        <v>0</v>
      </c>
    </row>
    <row r="203" spans="2:3" s="2" customFormat="1" ht="13.5" hidden="1" thickBot="1" x14ac:dyDescent="0.25">
      <c r="B203" s="110">
        <f t="shared" si="0"/>
        <v>2078</v>
      </c>
      <c r="C203" s="135">
        <f>[16]С2.5!$BK$11</f>
        <v>0</v>
      </c>
    </row>
    <row r="204" spans="2:3" s="2" customFormat="1" ht="13.5" hidden="1" thickBot="1" x14ac:dyDescent="0.25">
      <c r="B204" s="110">
        <f t="shared" si="0"/>
        <v>2079</v>
      </c>
      <c r="C204" s="135">
        <f>[16]С2.5!$BL$11</f>
        <v>0</v>
      </c>
    </row>
    <row r="205" spans="2:3" s="2" customFormat="1" ht="13.5" hidden="1" thickBot="1" x14ac:dyDescent="0.25">
      <c r="B205" s="110">
        <f t="shared" si="0"/>
        <v>2080</v>
      </c>
      <c r="C205" s="135">
        <f>[16]С2.5!$BM$11</f>
        <v>0</v>
      </c>
    </row>
    <row r="206" spans="2:3" s="2" customFormat="1" ht="13.5" hidden="1" thickBot="1" x14ac:dyDescent="0.25">
      <c r="B206" s="110">
        <f t="shared" si="0"/>
        <v>2081</v>
      </c>
      <c r="C206" s="135">
        <f>[16]С2.5!$BN$11</f>
        <v>0</v>
      </c>
    </row>
    <row r="207" spans="2:3" s="2" customFormat="1" ht="13.5" hidden="1" thickBot="1" x14ac:dyDescent="0.25">
      <c r="B207" s="110">
        <f t="shared" si="0"/>
        <v>2082</v>
      </c>
      <c r="C207" s="135">
        <f>[16]С2.5!$BO$11</f>
        <v>0</v>
      </c>
    </row>
    <row r="208" spans="2:3" s="2" customFormat="1" ht="13.5" hidden="1" thickBot="1" x14ac:dyDescent="0.25">
      <c r="B208" s="110">
        <f t="shared" si="0"/>
        <v>2083</v>
      </c>
      <c r="C208" s="135">
        <f>[16]С2.5!$BP$11</f>
        <v>0</v>
      </c>
    </row>
    <row r="209" spans="2:3" s="2" customFormat="1" ht="13.5" hidden="1" thickBot="1" x14ac:dyDescent="0.25">
      <c r="B209" s="110">
        <f t="shared" si="0"/>
        <v>2084</v>
      </c>
      <c r="C209" s="135">
        <f>[16]С2.5!$BQ$11</f>
        <v>0</v>
      </c>
    </row>
    <row r="210" spans="2:3" s="2" customFormat="1" ht="13.5" hidden="1" thickBot="1" x14ac:dyDescent="0.25">
      <c r="B210" s="110">
        <f t="shared" si="0"/>
        <v>2085</v>
      </c>
      <c r="C210" s="135">
        <f>[16]С2.5!$BR$11</f>
        <v>0</v>
      </c>
    </row>
    <row r="211" spans="2:3" s="2" customFormat="1" ht="13.5" hidden="1" thickBot="1" x14ac:dyDescent="0.25">
      <c r="B211" s="110">
        <f t="shared" ref="B211:B224" si="1">B210+1</f>
        <v>2086</v>
      </c>
      <c r="C211" s="135">
        <f>[16]С2.5!$BS$11</f>
        <v>0</v>
      </c>
    </row>
    <row r="212" spans="2:3" s="2" customFormat="1" ht="13.5" hidden="1" thickBot="1" x14ac:dyDescent="0.25">
      <c r="B212" s="110">
        <f t="shared" si="1"/>
        <v>2087</v>
      </c>
      <c r="C212" s="135">
        <f>[16]С2.5!$BT$11</f>
        <v>0</v>
      </c>
    </row>
    <row r="213" spans="2:3" s="2" customFormat="1" ht="13.5" hidden="1" thickBot="1" x14ac:dyDescent="0.25">
      <c r="B213" s="110">
        <f t="shared" si="1"/>
        <v>2088</v>
      </c>
      <c r="C213" s="135">
        <f>[16]С2.5!$BU$11</f>
        <v>0</v>
      </c>
    </row>
    <row r="214" spans="2:3" s="2" customFormat="1" ht="13.5" hidden="1" thickBot="1" x14ac:dyDescent="0.25">
      <c r="B214" s="110">
        <f t="shared" si="1"/>
        <v>2089</v>
      </c>
      <c r="C214" s="135">
        <f>[16]С2.5!$BV$11</f>
        <v>0</v>
      </c>
    </row>
    <row r="215" spans="2:3" s="2" customFormat="1" ht="13.5" hidden="1" thickBot="1" x14ac:dyDescent="0.25">
      <c r="B215" s="110">
        <f t="shared" si="1"/>
        <v>2090</v>
      </c>
      <c r="C215" s="135">
        <f>[16]С2.5!$BW$11</f>
        <v>0</v>
      </c>
    </row>
    <row r="216" spans="2:3" s="2" customFormat="1" ht="13.5" hidden="1" thickBot="1" x14ac:dyDescent="0.25">
      <c r="B216" s="110">
        <f t="shared" si="1"/>
        <v>2091</v>
      </c>
      <c r="C216" s="135">
        <f>[16]С2.5!$BX$11</f>
        <v>0</v>
      </c>
    </row>
    <row r="217" spans="2:3" s="2" customFormat="1" ht="13.5" hidden="1" thickBot="1" x14ac:dyDescent="0.25">
      <c r="B217" s="110">
        <f t="shared" si="1"/>
        <v>2092</v>
      </c>
      <c r="C217" s="135">
        <f>[16]С2.5!$BY$11</f>
        <v>0</v>
      </c>
    </row>
    <row r="218" spans="2:3" s="2" customFormat="1" ht="13.5" hidden="1" thickBot="1" x14ac:dyDescent="0.25">
      <c r="B218" s="110">
        <f t="shared" si="1"/>
        <v>2093</v>
      </c>
      <c r="C218" s="135">
        <f>[16]С2.5!$BZ$11</f>
        <v>0</v>
      </c>
    </row>
    <row r="219" spans="2:3" s="2" customFormat="1" ht="13.5" hidden="1" thickBot="1" x14ac:dyDescent="0.25">
      <c r="B219" s="110">
        <f t="shared" si="1"/>
        <v>2094</v>
      </c>
      <c r="C219" s="135">
        <f>[16]С2.5!$CA$11</f>
        <v>0</v>
      </c>
    </row>
    <row r="220" spans="2:3" s="2" customFormat="1" ht="13.5" hidden="1" thickBot="1" x14ac:dyDescent="0.25">
      <c r="B220" s="110">
        <f t="shared" si="1"/>
        <v>2095</v>
      </c>
      <c r="C220" s="135">
        <f>[16]С2.5!$CB$11</f>
        <v>0</v>
      </c>
    </row>
    <row r="221" spans="2:3" s="2" customFormat="1" ht="13.5" hidden="1" thickBot="1" x14ac:dyDescent="0.25">
      <c r="B221" s="110">
        <f t="shared" si="1"/>
        <v>2096</v>
      </c>
      <c r="C221" s="135">
        <f>[16]С2.5!$CC$11</f>
        <v>0</v>
      </c>
    </row>
    <row r="222" spans="2:3" s="2" customFormat="1" ht="13.5" hidden="1" thickBot="1" x14ac:dyDescent="0.25">
      <c r="B222" s="110">
        <f t="shared" si="1"/>
        <v>2097</v>
      </c>
      <c r="C222" s="135">
        <f>[16]С2.5!$CD$11</f>
        <v>0</v>
      </c>
    </row>
    <row r="223" spans="2:3" s="2" customFormat="1" ht="13.5" hidden="1" thickBot="1" x14ac:dyDescent="0.25">
      <c r="B223" s="110">
        <f t="shared" si="1"/>
        <v>2098</v>
      </c>
      <c r="C223" s="135">
        <f>[16]С2.5!$CE$11</f>
        <v>0</v>
      </c>
    </row>
    <row r="224" spans="2:3" s="2" customFormat="1" ht="13.5" hidden="1" thickBot="1" x14ac:dyDescent="0.25">
      <c r="B224" s="110">
        <f t="shared" si="1"/>
        <v>2099</v>
      </c>
      <c r="C224" s="135">
        <f>[16]С2.5!$CF$11</f>
        <v>0</v>
      </c>
    </row>
    <row r="225" spans="2:3" s="2" customFormat="1" ht="13.5" hidden="1" thickBot="1" x14ac:dyDescent="0.25">
      <c r="B225" s="112">
        <f>B162+1</f>
        <v>2038</v>
      </c>
      <c r="C225" s="136" t="e">
        <f>[16]С2.5!#REF!</f>
        <v>#REF!</v>
      </c>
    </row>
    <row r="226" spans="2:3" s="2" customFormat="1" x14ac:dyDescent="0.2">
      <c r="B226" s="137"/>
      <c r="C226" s="138"/>
    </row>
  </sheetData>
  <mergeCells count="9">
    <mergeCell ref="B143:D143"/>
    <mergeCell ref="A14:C14"/>
    <mergeCell ref="B1:D1"/>
    <mergeCell ref="B27:D27"/>
    <mergeCell ref="B45:D45"/>
    <mergeCell ref="B90:D90"/>
    <mergeCell ref="B101:D101"/>
    <mergeCell ref="B126:D126"/>
    <mergeCell ref="B129:D129"/>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289" r:id="rId3" name="Button 1">
              <controlPr defaultSize="0" print="0" autoFill="0" autoPict="0" macro="[8]!Лист29.PrintBlock">
                <anchor moveWithCells="1" sizeWithCells="1">
                  <from>
                    <xdr:col>3</xdr:col>
                    <xdr:colOff>47625</xdr:colOff>
                    <xdr:row>0</xdr:row>
                    <xdr:rowOff>104775</xdr:rowOff>
                  </from>
                  <to>
                    <xdr:col>5</xdr:col>
                    <xdr:colOff>0</xdr:colOff>
                    <xdr:row>0</xdr:row>
                    <xdr:rowOff>352425</xdr:rowOff>
                  </to>
                </anchor>
              </controlPr>
            </control>
          </mc:Choice>
        </mc:AlternateContent>
        <mc:AlternateContent xmlns:mc="http://schemas.openxmlformats.org/markup-compatibility/2006">
          <mc:Choice Requires="x14">
            <control shapeId="12290" r:id="rId4" name="Button 2">
              <controlPr defaultSize="0" print="0" autoFill="0" autoPict="0" macro="[16]!Лист29.PrintBlock">
                <anchor moveWithCells="1" sizeWithCells="1">
                  <from>
                    <xdr:col>4</xdr:col>
                    <xdr:colOff>47625</xdr:colOff>
                    <xdr:row>0</xdr:row>
                    <xdr:rowOff>104775</xdr:rowOff>
                  </from>
                  <to>
                    <xdr:col>5</xdr:col>
                    <xdr:colOff>1095375</xdr:colOff>
                    <xdr:row>0</xdr:row>
                    <xdr:rowOff>352425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7.28515625" style="2" customWidth="1"/>
    <col min="2" max="2" width="100.7109375" style="2" customWidth="1"/>
    <col min="3" max="3" width="20.85546875" style="139" customWidth="1"/>
    <col min="4" max="4" width="5.140625" style="2" customWidth="1"/>
    <col min="5" max="5" width="17.5703125" style="2" customWidth="1"/>
    <col min="6" max="158" width="9.140625" style="2"/>
    <col min="159" max="240" width="0" style="2" hidden="1" customWidth="1"/>
    <col min="241" max="249" width="9.140625" style="2"/>
    <col min="250" max="250" width="3.710937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710937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710937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710937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710937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710937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710937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710937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710937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710937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710937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710937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710937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710937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710937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710937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710937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710937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710937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710937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710937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710937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710937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710937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710937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710937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710937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710937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710937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710937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710937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710937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710937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710937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710937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710937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710937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710937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710937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710937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710937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710937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710937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710937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710937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710937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710937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710937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710937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710937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710937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710937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710937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710937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710937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710937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710937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710937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710937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710937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710937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710937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710937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3"/>
      <c r="B1" s="163" t="s">
        <v>227</v>
      </c>
      <c r="C1" s="163"/>
    </row>
    <row r="2" spans="1:3" x14ac:dyDescent="0.2">
      <c r="A2" s="3"/>
      <c r="B2" s="4" t="s">
        <v>1</v>
      </c>
      <c r="C2" s="5">
        <v>45317</v>
      </c>
    </row>
    <row r="3" spans="1:3" x14ac:dyDescent="0.2">
      <c r="A3" s="3"/>
      <c r="B3" s="117" t="s">
        <v>2</v>
      </c>
      <c r="C3" s="7"/>
    </row>
    <row r="4" spans="1:3" ht="25.5" x14ac:dyDescent="0.2">
      <c r="A4" s="8"/>
      <c r="B4" s="9" t="str">
        <f>[17]И1!D13</f>
        <v>Субъект Российской Федерации</v>
      </c>
      <c r="C4" s="10" t="str">
        <f>[17]И1!E13</f>
        <v>Новосибирская область</v>
      </c>
    </row>
    <row r="5" spans="1:3" ht="48.6" customHeight="1" x14ac:dyDescent="0.2">
      <c r="A5" s="8"/>
      <c r="B5" s="9" t="str">
        <f>[17]И1!D14</f>
        <v>Тип муниципального образования (выберите из списка)</v>
      </c>
      <c r="C5" s="10" t="str">
        <f>[17]И1!E14</f>
        <v>село Лебедевка, Искитимский муниципальный район</v>
      </c>
    </row>
    <row r="6" spans="1:3" x14ac:dyDescent="0.2">
      <c r="A6" s="8"/>
      <c r="B6" s="9" t="str">
        <f>IF([17]И1!E15="","",[17]И1!D15)</f>
        <v/>
      </c>
      <c r="C6" s="7" t="str">
        <f>IF([17]И1!E15="","",[17]И1!E15)</f>
        <v/>
      </c>
    </row>
    <row r="7" spans="1:3" x14ac:dyDescent="0.2">
      <c r="A7" s="8"/>
      <c r="B7" s="9" t="str">
        <f>[17]И1!D16</f>
        <v>Код ОКТМО</v>
      </c>
      <c r="C7" s="11" t="str">
        <f>[17]И1!E16</f>
        <v xml:space="preserve"> (50615422101)</v>
      </c>
    </row>
    <row r="8" spans="1:3" x14ac:dyDescent="0.2">
      <c r="A8" s="8"/>
      <c r="B8" s="12" t="str">
        <f>[17]И1!D17</f>
        <v>Система теплоснабжения</v>
      </c>
      <c r="C8" s="13">
        <f>[17]И1!E17</f>
        <v>0</v>
      </c>
    </row>
    <row r="9" spans="1:3" x14ac:dyDescent="0.2">
      <c r="A9" s="8"/>
      <c r="B9" s="9" t="str">
        <f>[17]И1!D8</f>
        <v>Период регулирования (i)-й</v>
      </c>
      <c r="C9" s="14">
        <f>[17]И1!E8</f>
        <v>2024</v>
      </c>
    </row>
    <row r="10" spans="1:3" x14ac:dyDescent="0.2">
      <c r="A10" s="8"/>
      <c r="B10" s="9" t="str">
        <f>[17]И1!D9</f>
        <v>Период регулирования (i-1)-й</v>
      </c>
      <c r="C10" s="14">
        <f>[17]И1!E9</f>
        <v>2023</v>
      </c>
    </row>
    <row r="11" spans="1:3" x14ac:dyDescent="0.2">
      <c r="A11" s="8"/>
      <c r="B11" s="9" t="str">
        <f>[17]И1!D10</f>
        <v>Период регулирования (i-2)-й</v>
      </c>
      <c r="C11" s="14">
        <f>[17]И1!E10</f>
        <v>2022</v>
      </c>
    </row>
    <row r="12" spans="1:3" x14ac:dyDescent="0.2">
      <c r="A12" s="8"/>
      <c r="B12" s="9" t="str">
        <f>[17]И1!D11</f>
        <v>Базовый год (б)</v>
      </c>
      <c r="C12" s="14">
        <f>[17]И1!E11</f>
        <v>2019</v>
      </c>
    </row>
    <row r="13" spans="1:3" x14ac:dyDescent="0.2">
      <c r="A13" s="8"/>
      <c r="B13" s="9" t="str">
        <f>[17]И1!D18</f>
        <v>Вид топлива, использование которого преобладает в системе теплоснабжения</v>
      </c>
      <c r="C13" s="15" t="str">
        <f>[17]И1!E18</f>
        <v>Газ</v>
      </c>
    </row>
    <row r="14" spans="1:3" ht="26.25" customHeight="1" thickBot="1" x14ac:dyDescent="0.25">
      <c r="A14" s="167" t="s">
        <v>3</v>
      </c>
      <c r="B14" s="167"/>
      <c r="C14" s="167"/>
    </row>
    <row r="15" spans="1:3" x14ac:dyDescent="0.2">
      <c r="A15" s="16" t="s">
        <v>4</v>
      </c>
      <c r="B15" s="30" t="s">
        <v>5</v>
      </c>
      <c r="C15" s="118" t="s">
        <v>6</v>
      </c>
    </row>
    <row r="16" spans="1:3" x14ac:dyDescent="0.2">
      <c r="A16" s="19">
        <v>1</v>
      </c>
      <c r="B16" s="119">
        <v>2</v>
      </c>
      <c r="C16" s="120">
        <v>3</v>
      </c>
    </row>
    <row r="17" spans="1:3" x14ac:dyDescent="0.2">
      <c r="A17" s="22">
        <v>1</v>
      </c>
      <c r="B17" s="23" t="s">
        <v>7</v>
      </c>
      <c r="C17" s="24">
        <f>SUM(C18:C23)</f>
        <v>2939.204068798766</v>
      </c>
    </row>
    <row r="18" spans="1:3" ht="42.75" x14ac:dyDescent="0.2">
      <c r="A18" s="22" t="s">
        <v>8</v>
      </c>
      <c r="B18" s="25" t="s">
        <v>9</v>
      </c>
      <c r="C18" s="26">
        <f>[17]С1!F12</f>
        <v>994.35037159416254</v>
      </c>
    </row>
    <row r="19" spans="1:3" ht="42.75" x14ac:dyDescent="0.2">
      <c r="A19" s="22" t="s">
        <v>10</v>
      </c>
      <c r="B19" s="25" t="s">
        <v>11</v>
      </c>
      <c r="C19" s="26">
        <f>[17]С2!F12</f>
        <v>1338.5714783459885</v>
      </c>
    </row>
    <row r="20" spans="1:3" ht="30" x14ac:dyDescent="0.2">
      <c r="A20" s="22" t="s">
        <v>12</v>
      </c>
      <c r="B20" s="25" t="s">
        <v>13</v>
      </c>
      <c r="C20" s="26">
        <f>[17]С3!F12</f>
        <v>317.98065232680995</v>
      </c>
    </row>
    <row r="21" spans="1:3" ht="42.75" x14ac:dyDescent="0.2">
      <c r="A21" s="22" t="s">
        <v>14</v>
      </c>
      <c r="B21" s="25" t="s">
        <v>228</v>
      </c>
      <c r="C21" s="26">
        <f>[17]С4!F12</f>
        <v>230.67011420241766</v>
      </c>
    </row>
    <row r="22" spans="1:3" ht="33" customHeight="1" x14ac:dyDescent="0.2">
      <c r="A22" s="22" t="s">
        <v>16</v>
      </c>
      <c r="B22" s="25" t="s">
        <v>229</v>
      </c>
      <c r="C22" s="26">
        <f>[17]С5!F12</f>
        <v>57.631452329387571</v>
      </c>
    </row>
    <row r="23" spans="1:3" ht="45.75" customHeight="1" thickBot="1" x14ac:dyDescent="0.25">
      <c r="A23" s="27" t="s">
        <v>18</v>
      </c>
      <c r="B23" s="140" t="s">
        <v>230</v>
      </c>
      <c r="C23" s="28">
        <f>[17]С6!F12</f>
        <v>0</v>
      </c>
    </row>
    <row r="24" spans="1:3" ht="13.5" thickBot="1" x14ac:dyDescent="0.25">
      <c r="A24" s="3"/>
      <c r="C24" s="7"/>
    </row>
    <row r="25" spans="1:3" x14ac:dyDescent="0.2">
      <c r="A25" s="16" t="s">
        <v>4</v>
      </c>
      <c r="B25" s="29" t="s">
        <v>5</v>
      </c>
      <c r="C25" s="30" t="s">
        <v>6</v>
      </c>
    </row>
    <row r="26" spans="1:3" x14ac:dyDescent="0.2">
      <c r="A26" s="19">
        <v>1</v>
      </c>
      <c r="B26" s="31">
        <v>2</v>
      </c>
      <c r="C26" s="32">
        <v>3</v>
      </c>
    </row>
    <row r="27" spans="1:3" ht="30" customHeight="1" x14ac:dyDescent="0.2">
      <c r="A27" s="22">
        <v>1</v>
      </c>
      <c r="B27" s="164" t="s">
        <v>20</v>
      </c>
      <c r="C27" s="164"/>
    </row>
    <row r="28" spans="1:3" x14ac:dyDescent="0.2">
      <c r="A28" s="22" t="s">
        <v>8</v>
      </c>
      <c r="B28" s="33" t="s">
        <v>231</v>
      </c>
      <c r="C28" s="34">
        <f>[17]С1.1!E16</f>
        <v>7900</v>
      </c>
    </row>
    <row r="29" spans="1:3" ht="42.75" x14ac:dyDescent="0.2">
      <c r="A29" s="22" t="s">
        <v>10</v>
      </c>
      <c r="B29" s="33" t="s">
        <v>232</v>
      </c>
      <c r="C29" s="34">
        <f>[17]С1.1!E32</f>
        <v>5751.37</v>
      </c>
    </row>
    <row r="30" spans="1:3" ht="38.25" x14ac:dyDescent="0.2">
      <c r="A30" s="22" t="s">
        <v>233</v>
      </c>
      <c r="B30" s="33" t="s">
        <v>234</v>
      </c>
      <c r="C30" s="85" t="str">
        <f>[17]С1.1!E25</f>
        <v>ООО "Газпром газораспределение Томск"</v>
      </c>
    </row>
    <row r="31" spans="1:3" ht="38.25" x14ac:dyDescent="0.2">
      <c r="A31" s="22" t="s">
        <v>235</v>
      </c>
      <c r="B31" s="33" t="str">
        <f>[17]С1.1!D26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4">
        <f>[17]С1.1!E26</f>
        <v>4699.5</v>
      </c>
    </row>
    <row r="32" spans="1:3" ht="25.5" x14ac:dyDescent="0.2">
      <c r="A32" s="22" t="s">
        <v>236</v>
      </c>
      <c r="B32" s="33" t="str">
        <f>[17]С1.1!D27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4">
        <f>[17]С1.1!E27</f>
        <v>795.43</v>
      </c>
    </row>
    <row r="33" spans="1:3" ht="25.5" x14ac:dyDescent="0.2">
      <c r="A33" s="22" t="s">
        <v>237</v>
      </c>
      <c r="B33" s="33" t="str">
        <f>[17]С1.1!D28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4">
        <f>[17]С1.1!E28</f>
        <v>136.54</v>
      </c>
    </row>
    <row r="34" spans="1:3" ht="38.25" x14ac:dyDescent="0.2">
      <c r="A34" s="22" t="s">
        <v>238</v>
      </c>
      <c r="B34" s="33" t="str">
        <f>[17]С1.1!D29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4">
        <f>[17]С1.1!E29</f>
        <v>119.9</v>
      </c>
    </row>
    <row r="35" spans="1:3" ht="17.25" x14ac:dyDescent="0.2">
      <c r="A35" s="22" t="s">
        <v>12</v>
      </c>
      <c r="B35" s="33" t="s">
        <v>23</v>
      </c>
      <c r="C35" s="35">
        <f>[17]С1.1!E20</f>
        <v>8.5000000000000006E-2</v>
      </c>
    </row>
    <row r="36" spans="1:3" ht="17.25" x14ac:dyDescent="0.2">
      <c r="A36" s="22" t="s">
        <v>14</v>
      </c>
      <c r="B36" s="33" t="s">
        <v>24</v>
      </c>
      <c r="C36" s="35">
        <f>[17]С1.1!E21</f>
        <v>0.112</v>
      </c>
    </row>
    <row r="37" spans="1:3" ht="30" x14ac:dyDescent="0.2">
      <c r="A37" s="22" t="s">
        <v>16</v>
      </c>
      <c r="B37" s="36" t="s">
        <v>239</v>
      </c>
      <c r="C37" s="121">
        <f>[17]С1!F13</f>
        <v>156.1</v>
      </c>
    </row>
    <row r="38" spans="1:3" x14ac:dyDescent="0.2">
      <c r="A38" s="22" t="s">
        <v>18</v>
      </c>
      <c r="B38" s="36" t="s">
        <v>26</v>
      </c>
      <c r="C38" s="38">
        <f>[17]С1!F16</f>
        <v>7000</v>
      </c>
    </row>
    <row r="39" spans="1:3" ht="14.25" x14ac:dyDescent="0.2">
      <c r="A39" s="122" t="s">
        <v>27</v>
      </c>
      <c r="B39" s="39" t="s">
        <v>240</v>
      </c>
      <c r="C39" s="40">
        <f>[17]С1!F17</f>
        <v>1.1285714285714286</v>
      </c>
    </row>
    <row r="40" spans="1:3" ht="15.75" x14ac:dyDescent="0.2">
      <c r="A40" s="123" t="s">
        <v>29</v>
      </c>
      <c r="B40" s="42" t="s">
        <v>30</v>
      </c>
      <c r="C40" s="40">
        <f>[17]С1!F20</f>
        <v>22.307053372799995</v>
      </c>
    </row>
    <row r="41" spans="1:3" ht="15.75" x14ac:dyDescent="0.2">
      <c r="A41" s="123" t="s">
        <v>31</v>
      </c>
      <c r="B41" s="43" t="s">
        <v>32</v>
      </c>
      <c r="C41" s="40">
        <f>[17]С1!F21</f>
        <v>21.531904799999996</v>
      </c>
    </row>
    <row r="42" spans="1:3" ht="14.25" x14ac:dyDescent="0.2">
      <c r="A42" s="123" t="s">
        <v>33</v>
      </c>
      <c r="B42" s="44" t="s">
        <v>34</v>
      </c>
      <c r="C42" s="40">
        <f>[17]С1!F22</f>
        <v>1.036</v>
      </c>
    </row>
    <row r="43" spans="1:3" ht="53.25" thickBot="1" x14ac:dyDescent="0.25">
      <c r="A43" s="27" t="s">
        <v>35</v>
      </c>
      <c r="B43" s="45" t="s">
        <v>36</v>
      </c>
      <c r="C43" s="46" t="str">
        <f>[17]С1!F23</f>
        <v>-</v>
      </c>
    </row>
    <row r="44" spans="1:3" ht="13.5" thickBot="1" x14ac:dyDescent="0.25">
      <c r="A44" s="47"/>
      <c r="B44" s="75"/>
      <c r="C44" s="15"/>
    </row>
    <row r="45" spans="1:3" ht="30" customHeight="1" x14ac:dyDescent="0.2">
      <c r="A45" s="50" t="s">
        <v>37</v>
      </c>
      <c r="B45" s="165" t="s">
        <v>38</v>
      </c>
      <c r="C45" s="165"/>
    </row>
    <row r="46" spans="1:3" ht="25.5" x14ac:dyDescent="0.2">
      <c r="A46" s="22" t="s">
        <v>39</v>
      </c>
      <c r="B46" s="36" t="s">
        <v>40</v>
      </c>
      <c r="C46" s="51" t="str">
        <f>[17]С2.1!E12</f>
        <v>V</v>
      </c>
    </row>
    <row r="47" spans="1:3" ht="25.5" x14ac:dyDescent="0.2">
      <c r="A47" s="22" t="s">
        <v>41</v>
      </c>
      <c r="B47" s="33" t="s">
        <v>42</v>
      </c>
      <c r="C47" s="51" t="str">
        <f>[17]С2.1!E13</f>
        <v>6 и менее баллов</v>
      </c>
    </row>
    <row r="48" spans="1:3" ht="25.5" x14ac:dyDescent="0.2">
      <c r="A48" s="22" t="s">
        <v>43</v>
      </c>
      <c r="B48" s="33" t="s">
        <v>241</v>
      </c>
      <c r="C48" s="51" t="str">
        <f>[17]С2.1!E14</f>
        <v>от 200 до 500</v>
      </c>
    </row>
    <row r="49" spans="1:3" ht="25.5" x14ac:dyDescent="0.2">
      <c r="A49" s="22" t="s">
        <v>45</v>
      </c>
      <c r="B49" s="33" t="s">
        <v>242</v>
      </c>
      <c r="C49" s="52" t="str">
        <f>[17]С2.1!E15</f>
        <v>нет</v>
      </c>
    </row>
    <row r="50" spans="1:3" ht="30" x14ac:dyDescent="0.2">
      <c r="A50" s="22" t="s">
        <v>47</v>
      </c>
      <c r="B50" s="33" t="s">
        <v>48</v>
      </c>
      <c r="C50" s="34">
        <f>[17]С2!F18</f>
        <v>35106.652004551666</v>
      </c>
    </row>
    <row r="51" spans="1:3" ht="30" x14ac:dyDescent="0.2">
      <c r="A51" s="22" t="s">
        <v>49</v>
      </c>
      <c r="B51" s="53" t="s">
        <v>50</v>
      </c>
      <c r="C51" s="34">
        <f>IF([17]С2!F19&gt;0,[17]С2!F19,[17]С2!F20)</f>
        <v>23441.524932855718</v>
      </c>
    </row>
    <row r="52" spans="1:3" ht="25.5" x14ac:dyDescent="0.2">
      <c r="A52" s="22" t="s">
        <v>51</v>
      </c>
      <c r="B52" s="54" t="s">
        <v>52</v>
      </c>
      <c r="C52" s="34">
        <f>[17]С2.1!E20</f>
        <v>-38</v>
      </c>
    </row>
    <row r="53" spans="1:3" ht="25.5" x14ac:dyDescent="0.2">
      <c r="A53" s="22" t="s">
        <v>53</v>
      </c>
      <c r="B53" s="54" t="s">
        <v>54</v>
      </c>
      <c r="C53" s="34" t="str">
        <f>[17]С2.1!E23</f>
        <v>нет</v>
      </c>
    </row>
    <row r="54" spans="1:3" ht="38.25" x14ac:dyDescent="0.2">
      <c r="A54" s="22" t="s">
        <v>55</v>
      </c>
      <c r="B54" s="55" t="s">
        <v>56</v>
      </c>
      <c r="C54" s="34">
        <f>[17]С2.2!E10</f>
        <v>1287</v>
      </c>
    </row>
    <row r="55" spans="1:3" ht="25.5" x14ac:dyDescent="0.2">
      <c r="A55" s="22" t="s">
        <v>57</v>
      </c>
      <c r="B55" s="56" t="s">
        <v>58</v>
      </c>
      <c r="C55" s="34">
        <f>[17]С2.2!E12</f>
        <v>5.97</v>
      </c>
    </row>
    <row r="56" spans="1:3" ht="52.5" x14ac:dyDescent="0.2">
      <c r="A56" s="22" t="s">
        <v>59</v>
      </c>
      <c r="B56" s="57" t="s">
        <v>60</v>
      </c>
      <c r="C56" s="34">
        <f>[17]С2.2!E13</f>
        <v>1</v>
      </c>
    </row>
    <row r="57" spans="1:3" ht="27.75" x14ac:dyDescent="0.2">
      <c r="A57" s="22" t="s">
        <v>61</v>
      </c>
      <c r="B57" s="56" t="s">
        <v>62</v>
      </c>
      <c r="C57" s="34">
        <f>[17]С2.2!E14</f>
        <v>12104</v>
      </c>
    </row>
    <row r="58" spans="1:3" ht="25.5" x14ac:dyDescent="0.2">
      <c r="A58" s="22" t="s">
        <v>63</v>
      </c>
      <c r="B58" s="57" t="s">
        <v>64</v>
      </c>
      <c r="C58" s="35">
        <f>[17]С2.2!E15</f>
        <v>4.8000000000000001E-2</v>
      </c>
    </row>
    <row r="59" spans="1:3" x14ac:dyDescent="0.2">
      <c r="A59" s="22" t="s">
        <v>65</v>
      </c>
      <c r="B59" s="57" t="s">
        <v>66</v>
      </c>
      <c r="C59" s="124">
        <f>[17]С2.2!E16</f>
        <v>1</v>
      </c>
    </row>
    <row r="60" spans="1:3" ht="15.75" x14ac:dyDescent="0.2">
      <c r="A60" s="22" t="s">
        <v>67</v>
      </c>
      <c r="B60" s="58" t="s">
        <v>68</v>
      </c>
      <c r="C60" s="34">
        <f>[17]С2!F21</f>
        <v>1</v>
      </c>
    </row>
    <row r="61" spans="1:3" ht="30" x14ac:dyDescent="0.2">
      <c r="A61" s="59" t="s">
        <v>69</v>
      </c>
      <c r="B61" s="33" t="s">
        <v>243</v>
      </c>
      <c r="C61" s="34">
        <f>[17]С2!F13</f>
        <v>105136.23090983224</v>
      </c>
    </row>
    <row r="62" spans="1:3" ht="30" x14ac:dyDescent="0.2">
      <c r="A62" s="59" t="s">
        <v>71</v>
      </c>
      <c r="B62" s="60" t="s">
        <v>244</v>
      </c>
      <c r="C62" s="34">
        <f>[17]С2!F14</f>
        <v>64899</v>
      </c>
    </row>
    <row r="63" spans="1:3" ht="15.75" x14ac:dyDescent="0.2">
      <c r="A63" s="59" t="s">
        <v>73</v>
      </c>
      <c r="B63" s="60" t="s">
        <v>74</v>
      </c>
      <c r="C63" s="40">
        <f>[17]С2!F15</f>
        <v>1.071</v>
      </c>
    </row>
    <row r="64" spans="1:3" ht="15.75" x14ac:dyDescent="0.2">
      <c r="A64" s="59" t="s">
        <v>75</v>
      </c>
      <c r="B64" s="60" t="s">
        <v>76</v>
      </c>
      <c r="C64" s="125">
        <f>[17]С2!F16</f>
        <v>1</v>
      </c>
    </row>
    <row r="65" spans="1:3" ht="17.25" x14ac:dyDescent="0.2">
      <c r="A65" s="59" t="s">
        <v>77</v>
      </c>
      <c r="B65" s="60" t="s">
        <v>78</v>
      </c>
      <c r="C65" s="126">
        <f>[17]С2!F17</f>
        <v>1.01</v>
      </c>
    </row>
    <row r="66" spans="1:3" s="63" customFormat="1" ht="14.25" x14ac:dyDescent="0.2">
      <c r="A66" s="59" t="s">
        <v>79</v>
      </c>
      <c r="B66" s="61" t="s">
        <v>80</v>
      </c>
      <c r="C66" s="62">
        <f>[17]С2!F35</f>
        <v>10</v>
      </c>
    </row>
    <row r="67" spans="1:3" ht="30" x14ac:dyDescent="0.2">
      <c r="A67" s="59" t="s">
        <v>81</v>
      </c>
      <c r="B67" s="64" t="s">
        <v>82</v>
      </c>
      <c r="C67" s="34">
        <f>[17]С2!F28</f>
        <v>331.04604307653443</v>
      </c>
    </row>
    <row r="68" spans="1:3" ht="17.25" x14ac:dyDescent="0.2">
      <c r="A68" s="59" t="s">
        <v>83</v>
      </c>
      <c r="B68" s="53" t="s">
        <v>245</v>
      </c>
      <c r="C68" s="40">
        <f>[17]С2!F29</f>
        <v>0.44209422600000003</v>
      </c>
    </row>
    <row r="69" spans="1:3" ht="17.25" x14ac:dyDescent="0.2">
      <c r="A69" s="59" t="s">
        <v>85</v>
      </c>
      <c r="B69" s="58" t="s">
        <v>246</v>
      </c>
      <c r="C69" s="62">
        <f>[17]С2!F30</f>
        <v>500</v>
      </c>
    </row>
    <row r="70" spans="1:3" ht="42.75" x14ac:dyDescent="0.2">
      <c r="A70" s="59" t="s">
        <v>87</v>
      </c>
      <c r="B70" s="33" t="s">
        <v>247</v>
      </c>
      <c r="C70" s="34">
        <f>[17]С2!F22</f>
        <v>39638.324046481182</v>
      </c>
    </row>
    <row r="71" spans="1:3" ht="30" x14ac:dyDescent="0.2">
      <c r="A71" s="59" t="s">
        <v>89</v>
      </c>
      <c r="B71" s="60" t="s">
        <v>248</v>
      </c>
      <c r="C71" s="34">
        <f>[17]С2!F23</f>
        <v>21</v>
      </c>
    </row>
    <row r="72" spans="1:3" ht="30" x14ac:dyDescent="0.2">
      <c r="A72" s="59" t="s">
        <v>91</v>
      </c>
      <c r="B72" s="53" t="s">
        <v>92</v>
      </c>
      <c r="C72" s="34">
        <f>[17]С2.1!E28</f>
        <v>14036.09995</v>
      </c>
    </row>
    <row r="73" spans="1:3" ht="38.25" x14ac:dyDescent="0.2">
      <c r="A73" s="59" t="s">
        <v>93</v>
      </c>
      <c r="B73" s="65" t="s">
        <v>94</v>
      </c>
      <c r="C73" s="52">
        <f>[17]С2.3!E21</f>
        <v>0</v>
      </c>
    </row>
    <row r="74" spans="1:3" ht="25.5" x14ac:dyDescent="0.2">
      <c r="A74" s="59" t="s">
        <v>95</v>
      </c>
      <c r="B74" s="66" t="s">
        <v>96</v>
      </c>
      <c r="C74" s="67">
        <f>[17]С2.3!E11</f>
        <v>5.45</v>
      </c>
    </row>
    <row r="75" spans="1:3" ht="25.5" x14ac:dyDescent="0.2">
      <c r="A75" s="59" t="s">
        <v>97</v>
      </c>
      <c r="B75" s="66" t="s">
        <v>98</v>
      </c>
      <c r="C75" s="62">
        <f>[17]С2.3!E13</f>
        <v>300</v>
      </c>
    </row>
    <row r="76" spans="1:3" ht="25.5" x14ac:dyDescent="0.2">
      <c r="A76" s="59" t="s">
        <v>99</v>
      </c>
      <c r="B76" s="65" t="s">
        <v>100</v>
      </c>
      <c r="C76" s="68">
        <f>IF([17]С2.3!E22&gt;0,[17]С2.3!E22,[17]С2.3!E14)</f>
        <v>61211</v>
      </c>
    </row>
    <row r="77" spans="1:3" ht="38.25" x14ac:dyDescent="0.2">
      <c r="A77" s="59" t="s">
        <v>101</v>
      </c>
      <c r="B77" s="65" t="s">
        <v>102</v>
      </c>
      <c r="C77" s="68">
        <f>IF([17]С2.3!E23&gt;0,[17]С2.3!E23,[17]С2.3!E15)</f>
        <v>45675</v>
      </c>
    </row>
    <row r="78" spans="1:3" ht="30" x14ac:dyDescent="0.2">
      <c r="A78" s="59" t="s">
        <v>103</v>
      </c>
      <c r="B78" s="53" t="s">
        <v>104</v>
      </c>
      <c r="C78" s="34">
        <f>[17]С2.1!E29</f>
        <v>9518.3274000000001</v>
      </c>
    </row>
    <row r="79" spans="1:3" ht="38.25" x14ac:dyDescent="0.2">
      <c r="A79" s="59" t="s">
        <v>105</v>
      </c>
      <c r="B79" s="65" t="s">
        <v>106</v>
      </c>
      <c r="C79" s="52">
        <f>[17]С2.3!E25</f>
        <v>0</v>
      </c>
    </row>
    <row r="80" spans="1:3" ht="25.5" x14ac:dyDescent="0.2">
      <c r="A80" s="59" t="s">
        <v>107</v>
      </c>
      <c r="B80" s="66" t="s">
        <v>108</v>
      </c>
      <c r="C80" s="67">
        <f>[17]С2.3!E12</f>
        <v>0.2</v>
      </c>
    </row>
    <row r="81" spans="1:3" ht="25.5" x14ac:dyDescent="0.2">
      <c r="A81" s="59" t="s">
        <v>109</v>
      </c>
      <c r="B81" s="66" t="s">
        <v>98</v>
      </c>
      <c r="C81" s="62">
        <f>[17]С2.3!E13</f>
        <v>300</v>
      </c>
    </row>
    <row r="82" spans="1:3" ht="25.5" x14ac:dyDescent="0.2">
      <c r="A82" s="59" t="s">
        <v>110</v>
      </c>
      <c r="B82" s="69" t="s">
        <v>111</v>
      </c>
      <c r="C82" s="68">
        <f>IF([17]С2.3!E26&gt;0,[17]С2.3!E26,[17]С2.3!E16)</f>
        <v>65637</v>
      </c>
    </row>
    <row r="83" spans="1:3" ht="38.25" x14ac:dyDescent="0.2">
      <c r="A83" s="59" t="s">
        <v>112</v>
      </c>
      <c r="B83" s="69" t="s">
        <v>113</v>
      </c>
      <c r="C83" s="68">
        <f>IF([17]С2.3!E27&gt;0,[17]С2.3!E27,[17]С2.3!E17)</f>
        <v>31684</v>
      </c>
    </row>
    <row r="84" spans="1:3" ht="30" x14ac:dyDescent="0.2">
      <c r="A84" s="59" t="s">
        <v>249</v>
      </c>
      <c r="B84" s="60" t="s">
        <v>250</v>
      </c>
      <c r="C84" s="68">
        <f>IF([17]С2.1!E19&gt;0,[17]С2.1!E19,[17]С2!F26)</f>
        <v>2892</v>
      </c>
    </row>
    <row r="85" spans="1:3" ht="17.25" x14ac:dyDescent="0.2">
      <c r="A85" s="59" t="s">
        <v>114</v>
      </c>
      <c r="B85" s="33" t="s">
        <v>115</v>
      </c>
      <c r="C85" s="35">
        <f>[17]С2!F31</f>
        <v>9.5962865259740182E-2</v>
      </c>
    </row>
    <row r="86" spans="1:3" ht="30" x14ac:dyDescent="0.2">
      <c r="A86" s="59" t="s">
        <v>116</v>
      </c>
      <c r="B86" s="53" t="s">
        <v>117</v>
      </c>
      <c r="C86" s="70">
        <f>[17]С2!F32</f>
        <v>8.4029304029304031E-2</v>
      </c>
    </row>
    <row r="87" spans="1:3" ht="17.25" x14ac:dyDescent="0.2">
      <c r="A87" s="59" t="s">
        <v>118</v>
      </c>
      <c r="B87" s="71" t="s">
        <v>119</v>
      </c>
      <c r="C87" s="35">
        <f>[17]С2!F33</f>
        <v>0.13880000000000001</v>
      </c>
    </row>
    <row r="88" spans="1:3" s="63" customFormat="1" ht="18" thickBot="1" x14ac:dyDescent="0.25">
      <c r="A88" s="72" t="s">
        <v>120</v>
      </c>
      <c r="B88" s="73" t="s">
        <v>121</v>
      </c>
      <c r="C88" s="74">
        <f>[17]С2!F34</f>
        <v>0.12640000000000001</v>
      </c>
    </row>
    <row r="89" spans="1:3" ht="13.5" thickBot="1" x14ac:dyDescent="0.25">
      <c r="A89" s="47"/>
      <c r="B89" s="75"/>
      <c r="C89" s="15"/>
    </row>
    <row r="90" spans="1:3" s="63" customFormat="1" ht="30" customHeight="1" x14ac:dyDescent="0.2">
      <c r="A90" s="76" t="s">
        <v>122</v>
      </c>
      <c r="B90" s="165" t="s">
        <v>123</v>
      </c>
      <c r="C90" s="165"/>
    </row>
    <row r="91" spans="1:3" s="63" customFormat="1" ht="30" x14ac:dyDescent="0.2">
      <c r="A91" s="77" t="s">
        <v>124</v>
      </c>
      <c r="B91" s="33" t="s">
        <v>125</v>
      </c>
      <c r="C91" s="34">
        <f>[17]С3!F14</f>
        <v>4207.4782939208517</v>
      </c>
    </row>
    <row r="92" spans="1:3" s="63" customFormat="1" ht="42.75" x14ac:dyDescent="0.2">
      <c r="A92" s="77" t="s">
        <v>126</v>
      </c>
      <c r="B92" s="53" t="s">
        <v>127</v>
      </c>
      <c r="C92" s="78">
        <f>[17]С3!F15</f>
        <v>0.2</v>
      </c>
    </row>
    <row r="93" spans="1:3" s="63" customFormat="1" ht="14.25" x14ac:dyDescent="0.2">
      <c r="A93" s="77" t="s">
        <v>128</v>
      </c>
      <c r="B93" s="79" t="s">
        <v>129</v>
      </c>
      <c r="C93" s="62">
        <f>[17]С3!F18</f>
        <v>15</v>
      </c>
    </row>
    <row r="94" spans="1:3" s="63" customFormat="1" ht="17.25" x14ac:dyDescent="0.2">
      <c r="A94" s="77" t="s">
        <v>130</v>
      </c>
      <c r="B94" s="33" t="s">
        <v>131</v>
      </c>
      <c r="C94" s="34">
        <f>[17]С3!F19</f>
        <v>2638.2577020926874</v>
      </c>
    </row>
    <row r="95" spans="1:3" s="63" customFormat="1" ht="55.5" x14ac:dyDescent="0.2">
      <c r="A95" s="77" t="s">
        <v>132</v>
      </c>
      <c r="B95" s="53" t="s">
        <v>133</v>
      </c>
      <c r="C95" s="80">
        <f>[17]С3!F20</f>
        <v>2.1999999999999999E-2</v>
      </c>
    </row>
    <row r="96" spans="1:3" s="63" customFormat="1" ht="14.25" x14ac:dyDescent="0.2">
      <c r="A96" s="77" t="s">
        <v>134</v>
      </c>
      <c r="B96" s="58" t="s">
        <v>80</v>
      </c>
      <c r="C96" s="62">
        <f>[17]С3!F21</f>
        <v>10</v>
      </c>
    </row>
    <row r="97" spans="1:3" s="63" customFormat="1" ht="17.25" x14ac:dyDescent="0.2">
      <c r="A97" s="77" t="s">
        <v>135</v>
      </c>
      <c r="B97" s="33" t="s">
        <v>136</v>
      </c>
      <c r="C97" s="34">
        <f>[17]С3!F22</f>
        <v>0.99313812922960332</v>
      </c>
    </row>
    <row r="98" spans="1:3" s="63" customFormat="1" ht="55.5" x14ac:dyDescent="0.2">
      <c r="A98" s="77" t="s">
        <v>137</v>
      </c>
      <c r="B98" s="53" t="s">
        <v>138</v>
      </c>
      <c r="C98" s="80">
        <f>[17]С3!F23</f>
        <v>3.0000000000000001E-3</v>
      </c>
    </row>
    <row r="99" spans="1:3" s="63" customFormat="1" ht="30.75" thickBot="1" x14ac:dyDescent="0.25">
      <c r="A99" s="81" t="s">
        <v>139</v>
      </c>
      <c r="B99" s="82" t="s">
        <v>82</v>
      </c>
      <c r="C99" s="83">
        <f>[17]С3!F24</f>
        <v>331.04604307653443</v>
      </c>
    </row>
    <row r="100" spans="1:3" ht="13.5" thickBot="1" x14ac:dyDescent="0.25">
      <c r="A100" s="47"/>
      <c r="B100" s="75"/>
      <c r="C100" s="15"/>
    </row>
    <row r="101" spans="1:3" ht="30" customHeight="1" x14ac:dyDescent="0.2">
      <c r="A101" s="84" t="s">
        <v>141</v>
      </c>
      <c r="B101" s="165" t="s">
        <v>142</v>
      </c>
      <c r="C101" s="165"/>
    </row>
    <row r="102" spans="1:3" ht="30" x14ac:dyDescent="0.2">
      <c r="A102" s="59" t="s">
        <v>143</v>
      </c>
      <c r="B102" s="33" t="s">
        <v>251</v>
      </c>
      <c r="C102" s="34">
        <f>[17]С4!F16</f>
        <v>832.33500000000004</v>
      </c>
    </row>
    <row r="103" spans="1:3" ht="30" x14ac:dyDescent="0.2">
      <c r="A103" s="59" t="s">
        <v>145</v>
      </c>
      <c r="B103" s="58" t="s">
        <v>252</v>
      </c>
      <c r="C103" s="34">
        <f>[17]С4!F17</f>
        <v>43385</v>
      </c>
    </row>
    <row r="104" spans="1:3" ht="17.25" x14ac:dyDescent="0.2">
      <c r="A104" s="59" t="s">
        <v>147</v>
      </c>
      <c r="B104" s="58" t="s">
        <v>148</v>
      </c>
      <c r="C104" s="40">
        <f>[17]С4!F18</f>
        <v>1.4999999999999999E-2</v>
      </c>
    </row>
    <row r="105" spans="1:3" ht="30" x14ac:dyDescent="0.2">
      <c r="A105" s="59" t="s">
        <v>149</v>
      </c>
      <c r="B105" s="58" t="s">
        <v>150</v>
      </c>
      <c r="C105" s="34">
        <f>[17]С4!F19</f>
        <v>12104</v>
      </c>
    </row>
    <row r="106" spans="1:3" ht="31.5" x14ac:dyDescent="0.2">
      <c r="A106" s="59" t="s">
        <v>151</v>
      </c>
      <c r="B106" s="58" t="s">
        <v>152</v>
      </c>
      <c r="C106" s="40">
        <f>[17]С4!F20</f>
        <v>1.4999999999999999E-2</v>
      </c>
    </row>
    <row r="107" spans="1:3" ht="30" x14ac:dyDescent="0.2">
      <c r="A107" s="59" t="s">
        <v>153</v>
      </c>
      <c r="B107" s="33" t="s">
        <v>253</v>
      </c>
      <c r="C107" s="34">
        <f>[17]С4!F21</f>
        <v>1221.9019409821399</v>
      </c>
    </row>
    <row r="108" spans="1:3" ht="45.6" customHeight="1" x14ac:dyDescent="0.2">
      <c r="A108" s="59" t="s">
        <v>155</v>
      </c>
      <c r="B108" s="53" t="s">
        <v>156</v>
      </c>
      <c r="C108" s="85" t="str">
        <f>IF([17]С4.2!F8="да",[17]С4.2!D21,[17]С4.2!D15)</f>
        <v>АО "Новосибирскэнергосбыт"</v>
      </c>
    </row>
    <row r="109" spans="1:3" ht="68.25" customHeight="1" x14ac:dyDescent="0.2">
      <c r="A109" s="59" t="s">
        <v>157</v>
      </c>
      <c r="B109" s="53" t="s">
        <v>158</v>
      </c>
      <c r="C109" s="34">
        <f>[17]С4!F22</f>
        <v>3.6112641666666665</v>
      </c>
    </row>
    <row r="110" spans="1:3" ht="30" x14ac:dyDescent="0.2">
      <c r="A110" s="59" t="s">
        <v>159</v>
      </c>
      <c r="B110" s="58" t="s">
        <v>254</v>
      </c>
      <c r="C110" s="62">
        <f>[17]С4!F23</f>
        <v>110</v>
      </c>
    </row>
    <row r="111" spans="1:3" ht="14.25" x14ac:dyDescent="0.2">
      <c r="A111" s="59" t="s">
        <v>161</v>
      </c>
      <c r="B111" s="53" t="s">
        <v>162</v>
      </c>
      <c r="C111" s="34">
        <f>[17]С4!F24</f>
        <v>8497.1999999999989</v>
      </c>
    </row>
    <row r="112" spans="1:3" ht="14.25" x14ac:dyDescent="0.2">
      <c r="A112" s="59" t="s">
        <v>163</v>
      </c>
      <c r="B112" s="58" t="s">
        <v>164</v>
      </c>
      <c r="C112" s="40">
        <f>[17]С4!F25</f>
        <v>0.36199999999999999</v>
      </c>
    </row>
    <row r="113" spans="1:3" ht="17.25" x14ac:dyDescent="0.2">
      <c r="A113" s="59" t="s">
        <v>165</v>
      </c>
      <c r="B113" s="33" t="s">
        <v>166</v>
      </c>
      <c r="C113" s="34">
        <f>[17]С4!F26</f>
        <v>40.123830000000005</v>
      </c>
    </row>
    <row r="114" spans="1:3" ht="25.5" x14ac:dyDescent="0.2">
      <c r="A114" s="59" t="s">
        <v>167</v>
      </c>
      <c r="B114" s="53" t="s">
        <v>94</v>
      </c>
      <c r="C114" s="85">
        <f>[17]С4.3!E16</f>
        <v>0</v>
      </c>
    </row>
    <row r="115" spans="1:3" ht="25.5" x14ac:dyDescent="0.2">
      <c r="A115" s="59" t="s">
        <v>168</v>
      </c>
      <c r="B115" s="53" t="s">
        <v>169</v>
      </c>
      <c r="C115" s="34">
        <f>[17]С4.3!E17</f>
        <v>18.059999999999999</v>
      </c>
    </row>
    <row r="116" spans="1:3" ht="38.25" x14ac:dyDescent="0.2">
      <c r="A116" s="59" t="s">
        <v>170</v>
      </c>
      <c r="B116" s="53" t="s">
        <v>106</v>
      </c>
      <c r="C116" s="85">
        <f>[17]С4.3!E18</f>
        <v>0</v>
      </c>
    </row>
    <row r="117" spans="1:3" x14ac:dyDescent="0.2">
      <c r="A117" s="59" t="s">
        <v>171</v>
      </c>
      <c r="B117" s="53" t="s">
        <v>172</v>
      </c>
      <c r="C117" s="34">
        <f>[17]С4.3!E19</f>
        <v>71.67</v>
      </c>
    </row>
    <row r="118" spans="1:3" x14ac:dyDescent="0.2">
      <c r="A118" s="59" t="s">
        <v>173</v>
      </c>
      <c r="B118" s="58" t="s">
        <v>174</v>
      </c>
      <c r="C118" s="62">
        <f>[17]С4.3!E11</f>
        <v>1871</v>
      </c>
    </row>
    <row r="119" spans="1:3" x14ac:dyDescent="0.2">
      <c r="A119" s="59" t="s">
        <v>175</v>
      </c>
      <c r="B119" s="58" t="s">
        <v>176</v>
      </c>
      <c r="C119" s="52">
        <f>[17]С4.3!E12</f>
        <v>61</v>
      </c>
    </row>
    <row r="120" spans="1:3" x14ac:dyDescent="0.2">
      <c r="A120" s="59" t="s">
        <v>177</v>
      </c>
      <c r="B120" s="58" t="s">
        <v>178</v>
      </c>
      <c r="C120" s="52">
        <f>[17]С4.3!E13</f>
        <v>73</v>
      </c>
    </row>
    <row r="121" spans="1:3" ht="30" x14ac:dyDescent="0.2">
      <c r="A121" s="59" t="s">
        <v>179</v>
      </c>
      <c r="B121" s="33" t="s">
        <v>255</v>
      </c>
      <c r="C121" s="34">
        <f>[17]С4!F27</f>
        <v>904.62444244124072</v>
      </c>
    </row>
    <row r="122" spans="1:3" ht="25.5" x14ac:dyDescent="0.2">
      <c r="A122" s="59" t="s">
        <v>181</v>
      </c>
      <c r="B122" s="53" t="s">
        <v>256</v>
      </c>
      <c r="C122" s="34">
        <f>[17]С4!F28</f>
        <v>694.79603874135228</v>
      </c>
    </row>
    <row r="123" spans="1:3" ht="42.75" x14ac:dyDescent="0.2">
      <c r="A123" s="59" t="s">
        <v>183</v>
      </c>
      <c r="B123" s="53" t="s">
        <v>184</v>
      </c>
      <c r="C123" s="34">
        <f>[17]С4!F29</f>
        <v>209.82840369988838</v>
      </c>
    </row>
    <row r="124" spans="1:3" ht="30.75" thickBot="1" x14ac:dyDescent="0.25">
      <c r="A124" s="72" t="s">
        <v>185</v>
      </c>
      <c r="B124" s="90" t="s">
        <v>186</v>
      </c>
      <c r="C124" s="83">
        <f>[17]С4!F30</f>
        <v>475.40681839948314</v>
      </c>
    </row>
    <row r="125" spans="1:3" s="89" customFormat="1" ht="13.5" thickBot="1" x14ac:dyDescent="0.25">
      <c r="A125" s="47"/>
      <c r="B125" s="75"/>
      <c r="C125" s="15"/>
    </row>
    <row r="126" spans="1:3" s="63" customFormat="1" ht="30" customHeight="1" x14ac:dyDescent="0.2">
      <c r="A126" s="76" t="s">
        <v>195</v>
      </c>
      <c r="B126" s="165" t="s">
        <v>196</v>
      </c>
      <c r="C126" s="165"/>
    </row>
    <row r="127" spans="1:3" ht="30.6" customHeight="1" thickBot="1" x14ac:dyDescent="0.25">
      <c r="A127" s="27" t="s">
        <v>197</v>
      </c>
      <c r="B127" s="90" t="s">
        <v>198</v>
      </c>
      <c r="C127" s="83">
        <f>[17]С5!F17</f>
        <v>0.02</v>
      </c>
    </row>
    <row r="128" spans="1:3" s="89" customFormat="1" ht="13.5" thickBot="1" x14ac:dyDescent="0.25">
      <c r="A128" s="47"/>
      <c r="B128" s="75"/>
      <c r="C128" s="15"/>
    </row>
    <row r="129" spans="1:4" ht="42.75" customHeight="1" x14ac:dyDescent="0.2">
      <c r="A129" s="84" t="s">
        <v>199</v>
      </c>
      <c r="B129" s="165" t="s">
        <v>200</v>
      </c>
      <c r="C129" s="165"/>
    </row>
    <row r="130" spans="1:4" ht="68.25" x14ac:dyDescent="0.2">
      <c r="A130" s="59" t="s">
        <v>201</v>
      </c>
      <c r="B130" s="91" t="s">
        <v>202</v>
      </c>
      <c r="C130" s="34" t="str">
        <f>IF([17]С6.1!E11="нет",[17]С6!F13,"")</f>
        <v/>
      </c>
    </row>
    <row r="131" spans="1:4" ht="42.75" x14ac:dyDescent="0.2">
      <c r="A131" s="59" t="s">
        <v>204</v>
      </c>
      <c r="B131" s="86" t="s">
        <v>205</v>
      </c>
      <c r="C131" s="92" t="str">
        <f>IF([17]С6.1!E12="нет",[17]С6.1!E17,"")</f>
        <v/>
      </c>
    </row>
    <row r="132" spans="1:4" ht="68.25" x14ac:dyDescent="0.2">
      <c r="A132" s="59" t="s">
        <v>206</v>
      </c>
      <c r="B132" s="91" t="s">
        <v>207</v>
      </c>
      <c r="C132" s="127" t="str">
        <f>IF([17]С6.1!E18="нет",[17]С6!F19,"")</f>
        <v/>
      </c>
    </row>
    <row r="133" spans="1:4" ht="55.5" x14ac:dyDescent="0.2">
      <c r="A133" s="59" t="s">
        <v>208</v>
      </c>
      <c r="B133" s="86" t="s">
        <v>209</v>
      </c>
      <c r="C133" s="35" t="str">
        <f>IF([17]С6.1!E18="нет",[17]С6.1!E19,"")</f>
        <v/>
      </c>
    </row>
    <row r="134" spans="1:4" ht="61.5" customHeight="1" x14ac:dyDescent="0.2">
      <c r="A134" s="59" t="s">
        <v>210</v>
      </c>
      <c r="B134" s="86" t="s">
        <v>257</v>
      </c>
      <c r="C134" s="35" t="str">
        <f>IF([17]С6.1!E18="нет",[17]С6.1!E22,"")</f>
        <v/>
      </c>
    </row>
    <row r="135" spans="1:4" ht="69" thickBot="1" x14ac:dyDescent="0.25">
      <c r="A135" s="72" t="s">
        <v>212</v>
      </c>
      <c r="B135" s="98" t="s">
        <v>213</v>
      </c>
      <c r="C135" s="74" t="str">
        <f>IF([17]С6.1!E18="нет",[17]С6.1!E23,"")</f>
        <v/>
      </c>
    </row>
    <row r="136" spans="1:4" s="89" customFormat="1" ht="13.5" thickBot="1" x14ac:dyDescent="0.25">
      <c r="A136" s="47"/>
      <c r="B136" s="75"/>
      <c r="C136" s="15"/>
    </row>
    <row r="137" spans="1:4" ht="15.75" x14ac:dyDescent="0.2">
      <c r="A137" s="84" t="s">
        <v>214</v>
      </c>
      <c r="B137" s="99" t="s">
        <v>215</v>
      </c>
      <c r="C137" s="100">
        <f>[17]С2!F39</f>
        <v>21.531904799999996</v>
      </c>
    </row>
    <row r="138" spans="1:4" ht="14.25" x14ac:dyDescent="0.2">
      <c r="A138" s="59" t="s">
        <v>216</v>
      </c>
      <c r="B138" s="58" t="s">
        <v>217</v>
      </c>
      <c r="C138" s="34">
        <f>[17]С2!F40</f>
        <v>7</v>
      </c>
    </row>
    <row r="139" spans="1:4" ht="17.25" x14ac:dyDescent="0.2">
      <c r="A139" s="59" t="s">
        <v>218</v>
      </c>
      <c r="B139" s="58" t="s">
        <v>219</v>
      </c>
      <c r="C139" s="34">
        <f>[17]С2!F42</f>
        <v>0.97</v>
      </c>
    </row>
    <row r="140" spans="1:4" ht="15" thickBot="1" x14ac:dyDescent="0.25">
      <c r="A140" s="72" t="s">
        <v>220</v>
      </c>
      <c r="B140" s="73" t="s">
        <v>221</v>
      </c>
      <c r="C140" s="46">
        <f>[17]С2!F44</f>
        <v>0.36199999999999999</v>
      </c>
    </row>
    <row r="141" spans="1:4" s="89" customFormat="1" ht="13.5" thickBot="1" x14ac:dyDescent="0.25">
      <c r="A141" s="47"/>
      <c r="B141" s="75"/>
      <c r="C141" s="15"/>
    </row>
    <row r="142" spans="1:4" ht="17.25" x14ac:dyDescent="0.2">
      <c r="A142" s="84" t="s">
        <v>222</v>
      </c>
      <c r="B142" s="103" t="s">
        <v>258</v>
      </c>
      <c r="C142" s="128">
        <f>[17]С2!F37</f>
        <v>1.4976266307379205</v>
      </c>
      <c r="D142" s="89"/>
    </row>
    <row r="143" spans="1:4" ht="17.25" customHeight="1" thickBot="1" x14ac:dyDescent="0.25">
      <c r="A143" s="72" t="s">
        <v>224</v>
      </c>
      <c r="B143" s="161" t="s">
        <v>225</v>
      </c>
      <c r="C143" s="161"/>
      <c r="D143" s="89"/>
    </row>
    <row r="144" spans="1:4" x14ac:dyDescent="0.2">
      <c r="A144" s="105"/>
      <c r="B144" s="129" t="s">
        <v>226</v>
      </c>
      <c r="C144" s="130"/>
    </row>
    <row r="145" spans="1:3" x14ac:dyDescent="0.2">
      <c r="A145" s="105"/>
      <c r="B145" s="131">
        <v>2020</v>
      </c>
      <c r="C145" s="132">
        <f>[17]С2.5!$E$11</f>
        <v>-2.9000000000000026E-2</v>
      </c>
    </row>
    <row r="146" spans="1:3" x14ac:dyDescent="0.2">
      <c r="B146" s="131">
        <f>B145+1</f>
        <v>2021</v>
      </c>
      <c r="C146" s="133">
        <f>[17]С2.5!$F$11</f>
        <v>0.245</v>
      </c>
    </row>
    <row r="147" spans="1:3" x14ac:dyDescent="0.2">
      <c r="B147" s="131">
        <f t="shared" ref="B147:B210" si="0">B146+1</f>
        <v>2022</v>
      </c>
      <c r="C147" s="134">
        <f>[17]С2.5!$G$11</f>
        <v>0.114</v>
      </c>
    </row>
    <row r="148" spans="1:3" x14ac:dyDescent="0.2">
      <c r="B148" s="110">
        <f t="shared" si="0"/>
        <v>2023</v>
      </c>
      <c r="C148" s="135">
        <f>[17]С2.5!$H$11</f>
        <v>2.4E-2</v>
      </c>
    </row>
    <row r="149" spans="1:3" ht="13.5" thickBot="1" x14ac:dyDescent="0.25">
      <c r="B149" s="110">
        <f t="shared" si="0"/>
        <v>2024</v>
      </c>
      <c r="C149" s="135">
        <f>[17]С2.5!$I$11</f>
        <v>8.5999999999999993E-2</v>
      </c>
    </row>
    <row r="150" spans="1:3" ht="13.5" hidden="1" thickBot="1" x14ac:dyDescent="0.25">
      <c r="B150" s="110">
        <f t="shared" si="0"/>
        <v>2025</v>
      </c>
      <c r="C150" s="135">
        <f>[17]С2.5!$J$11</f>
        <v>0</v>
      </c>
    </row>
    <row r="151" spans="1:3" ht="13.5" hidden="1" thickBot="1" x14ac:dyDescent="0.25">
      <c r="B151" s="110">
        <f t="shared" si="0"/>
        <v>2026</v>
      </c>
      <c r="C151" s="135">
        <f>[17]С2.5!$K$11</f>
        <v>0</v>
      </c>
    </row>
    <row r="152" spans="1:3" ht="13.5" hidden="1" thickBot="1" x14ac:dyDescent="0.25">
      <c r="B152" s="110">
        <f t="shared" si="0"/>
        <v>2027</v>
      </c>
      <c r="C152" s="135">
        <f>[17]С2.5!$L$11</f>
        <v>0</v>
      </c>
    </row>
    <row r="153" spans="1:3" ht="13.5" hidden="1" thickBot="1" x14ac:dyDescent="0.25">
      <c r="B153" s="110">
        <f t="shared" si="0"/>
        <v>2028</v>
      </c>
      <c r="C153" s="135">
        <f>[17]С2.5!$M$11</f>
        <v>0</v>
      </c>
    </row>
    <row r="154" spans="1:3" ht="13.5" hidden="1" thickBot="1" x14ac:dyDescent="0.25">
      <c r="B154" s="110">
        <f t="shared" si="0"/>
        <v>2029</v>
      </c>
      <c r="C154" s="135">
        <f>[17]С2.5!$N$11</f>
        <v>0</v>
      </c>
    </row>
    <row r="155" spans="1:3" ht="13.5" hidden="1" thickBot="1" x14ac:dyDescent="0.25">
      <c r="B155" s="110">
        <f t="shared" si="0"/>
        <v>2030</v>
      </c>
      <c r="C155" s="135">
        <f>[17]С2.5!$O$11</f>
        <v>0</v>
      </c>
    </row>
    <row r="156" spans="1:3" ht="13.5" hidden="1" thickBot="1" x14ac:dyDescent="0.25">
      <c r="B156" s="110">
        <f t="shared" si="0"/>
        <v>2031</v>
      </c>
      <c r="C156" s="135">
        <f>[17]С2.5!$P$11</f>
        <v>0</v>
      </c>
    </row>
    <row r="157" spans="1:3" ht="13.5" hidden="1" thickBot="1" x14ac:dyDescent="0.25">
      <c r="B157" s="110">
        <f t="shared" si="0"/>
        <v>2032</v>
      </c>
      <c r="C157" s="135">
        <f>[17]С2.5!$Q$11</f>
        <v>0</v>
      </c>
    </row>
    <row r="158" spans="1:3" ht="13.5" hidden="1" thickBot="1" x14ac:dyDescent="0.25">
      <c r="B158" s="110">
        <f t="shared" si="0"/>
        <v>2033</v>
      </c>
      <c r="C158" s="135">
        <f>[17]С2.5!$R$11</f>
        <v>0</v>
      </c>
    </row>
    <row r="159" spans="1:3" ht="13.5" hidden="1" thickBot="1" x14ac:dyDescent="0.25">
      <c r="B159" s="110">
        <f t="shared" si="0"/>
        <v>2034</v>
      </c>
      <c r="C159" s="135">
        <f>[17]С2.5!$S$11</f>
        <v>0</v>
      </c>
    </row>
    <row r="160" spans="1:3" ht="13.5" hidden="1" thickBot="1" x14ac:dyDescent="0.25">
      <c r="B160" s="110">
        <f t="shared" si="0"/>
        <v>2035</v>
      </c>
      <c r="C160" s="135">
        <f>[17]С2.5!$T$11</f>
        <v>0</v>
      </c>
    </row>
    <row r="161" spans="2:3" ht="13.5" hidden="1" thickBot="1" x14ac:dyDescent="0.25">
      <c r="B161" s="110">
        <f t="shared" si="0"/>
        <v>2036</v>
      </c>
      <c r="C161" s="135">
        <f>[17]С2.5!$U$11</f>
        <v>0</v>
      </c>
    </row>
    <row r="162" spans="2:3" ht="13.5" hidden="1" thickBot="1" x14ac:dyDescent="0.25">
      <c r="B162" s="110">
        <f t="shared" si="0"/>
        <v>2037</v>
      </c>
      <c r="C162" s="135">
        <f>[17]С2.5!$V$11</f>
        <v>0</v>
      </c>
    </row>
    <row r="163" spans="2:3" ht="13.5" hidden="1" thickBot="1" x14ac:dyDescent="0.25">
      <c r="B163" s="110">
        <f t="shared" si="0"/>
        <v>2038</v>
      </c>
      <c r="C163" s="135">
        <f>[17]С2.5!$W$11</f>
        <v>0</v>
      </c>
    </row>
    <row r="164" spans="2:3" ht="13.5" hidden="1" thickBot="1" x14ac:dyDescent="0.25">
      <c r="B164" s="110">
        <f t="shared" si="0"/>
        <v>2039</v>
      </c>
      <c r="C164" s="135">
        <f>[17]С2.5!$X$11</f>
        <v>0</v>
      </c>
    </row>
    <row r="165" spans="2:3" ht="13.5" hidden="1" thickBot="1" x14ac:dyDescent="0.25">
      <c r="B165" s="110">
        <f t="shared" si="0"/>
        <v>2040</v>
      </c>
      <c r="C165" s="135">
        <f>[17]С2.5!$Y$11</f>
        <v>0</v>
      </c>
    </row>
    <row r="166" spans="2:3" ht="13.5" hidden="1" thickBot="1" x14ac:dyDescent="0.25">
      <c r="B166" s="110">
        <f t="shared" si="0"/>
        <v>2041</v>
      </c>
      <c r="C166" s="135">
        <f>[17]С2.5!$Z$11</f>
        <v>0</v>
      </c>
    </row>
    <row r="167" spans="2:3" ht="13.5" hidden="1" thickBot="1" x14ac:dyDescent="0.25">
      <c r="B167" s="110">
        <f t="shared" si="0"/>
        <v>2042</v>
      </c>
      <c r="C167" s="135">
        <f>[17]С2.5!$AA$11</f>
        <v>0</v>
      </c>
    </row>
    <row r="168" spans="2:3" ht="13.5" hidden="1" thickBot="1" x14ac:dyDescent="0.25">
      <c r="B168" s="110">
        <f t="shared" si="0"/>
        <v>2043</v>
      </c>
      <c r="C168" s="135">
        <f>[17]С2.5!$AB$11</f>
        <v>0</v>
      </c>
    </row>
    <row r="169" spans="2:3" ht="13.5" hidden="1" thickBot="1" x14ac:dyDescent="0.25">
      <c r="B169" s="110">
        <f t="shared" si="0"/>
        <v>2044</v>
      </c>
      <c r="C169" s="135">
        <f>[17]С2.5!$AC$11</f>
        <v>0</v>
      </c>
    </row>
    <row r="170" spans="2:3" ht="13.5" hidden="1" thickBot="1" x14ac:dyDescent="0.25">
      <c r="B170" s="110">
        <f t="shared" si="0"/>
        <v>2045</v>
      </c>
      <c r="C170" s="135">
        <f>[17]С2.5!$AD$11</f>
        <v>0</v>
      </c>
    </row>
    <row r="171" spans="2:3" ht="13.5" hidden="1" thickBot="1" x14ac:dyDescent="0.25">
      <c r="B171" s="110">
        <f t="shared" si="0"/>
        <v>2046</v>
      </c>
      <c r="C171" s="135">
        <f>[17]С2.5!$AE$11</f>
        <v>0</v>
      </c>
    </row>
    <row r="172" spans="2:3" ht="13.5" hidden="1" thickBot="1" x14ac:dyDescent="0.25">
      <c r="B172" s="110">
        <f t="shared" si="0"/>
        <v>2047</v>
      </c>
      <c r="C172" s="135">
        <f>[17]С2.5!$AF$11</f>
        <v>0</v>
      </c>
    </row>
    <row r="173" spans="2:3" ht="13.5" hidden="1" thickBot="1" x14ac:dyDescent="0.25">
      <c r="B173" s="110">
        <f t="shared" si="0"/>
        <v>2048</v>
      </c>
      <c r="C173" s="135">
        <f>[17]С2.5!$AG$11</f>
        <v>0</v>
      </c>
    </row>
    <row r="174" spans="2:3" ht="13.5" hidden="1" thickBot="1" x14ac:dyDescent="0.25">
      <c r="B174" s="110">
        <f t="shared" si="0"/>
        <v>2049</v>
      </c>
      <c r="C174" s="135">
        <f>[17]С2.5!$AH$11</f>
        <v>0</v>
      </c>
    </row>
    <row r="175" spans="2:3" ht="13.5" hidden="1" thickBot="1" x14ac:dyDescent="0.25">
      <c r="B175" s="110">
        <f t="shared" si="0"/>
        <v>2050</v>
      </c>
      <c r="C175" s="135">
        <f>[17]С2.5!$AI$11</f>
        <v>0</v>
      </c>
    </row>
    <row r="176" spans="2:3" ht="13.5" hidden="1" thickBot="1" x14ac:dyDescent="0.25">
      <c r="B176" s="110">
        <f t="shared" si="0"/>
        <v>2051</v>
      </c>
      <c r="C176" s="135">
        <f>[17]С2.5!$AJ$11</f>
        <v>0</v>
      </c>
    </row>
    <row r="177" spans="2:3" ht="13.5" hidden="1" thickBot="1" x14ac:dyDescent="0.25">
      <c r="B177" s="110">
        <f t="shared" si="0"/>
        <v>2052</v>
      </c>
      <c r="C177" s="135">
        <f>[17]С2.5!$AK$11</f>
        <v>0</v>
      </c>
    </row>
    <row r="178" spans="2:3" ht="13.5" hidden="1" thickBot="1" x14ac:dyDescent="0.25">
      <c r="B178" s="110">
        <f t="shared" si="0"/>
        <v>2053</v>
      </c>
      <c r="C178" s="135">
        <f>[17]С2.5!$AL$11</f>
        <v>0</v>
      </c>
    </row>
    <row r="179" spans="2:3" ht="13.5" hidden="1" thickBot="1" x14ac:dyDescent="0.25">
      <c r="B179" s="110">
        <f t="shared" si="0"/>
        <v>2054</v>
      </c>
      <c r="C179" s="135">
        <f>[17]С2.5!$AM$11</f>
        <v>0</v>
      </c>
    </row>
    <row r="180" spans="2:3" ht="13.5" hidden="1" thickBot="1" x14ac:dyDescent="0.25">
      <c r="B180" s="110">
        <f t="shared" si="0"/>
        <v>2055</v>
      </c>
      <c r="C180" s="135">
        <f>[17]С2.5!$AN$11</f>
        <v>0</v>
      </c>
    </row>
    <row r="181" spans="2:3" ht="13.5" hidden="1" thickBot="1" x14ac:dyDescent="0.25">
      <c r="B181" s="110">
        <f t="shared" si="0"/>
        <v>2056</v>
      </c>
      <c r="C181" s="135">
        <f>[17]С2.5!$AO$11</f>
        <v>0</v>
      </c>
    </row>
    <row r="182" spans="2:3" ht="13.5" hidden="1" thickBot="1" x14ac:dyDescent="0.25">
      <c r="B182" s="110">
        <f t="shared" si="0"/>
        <v>2057</v>
      </c>
      <c r="C182" s="135">
        <f>[17]С2.5!$AP$11</f>
        <v>0</v>
      </c>
    </row>
    <row r="183" spans="2:3" ht="13.5" hidden="1" thickBot="1" x14ac:dyDescent="0.25">
      <c r="B183" s="110">
        <f t="shared" si="0"/>
        <v>2058</v>
      </c>
      <c r="C183" s="135">
        <f>[17]С2.5!$AQ$11</f>
        <v>0</v>
      </c>
    </row>
    <row r="184" spans="2:3" ht="13.5" hidden="1" thickBot="1" x14ac:dyDescent="0.25">
      <c r="B184" s="110">
        <f t="shared" si="0"/>
        <v>2059</v>
      </c>
      <c r="C184" s="135">
        <f>[17]С2.5!$AR$11</f>
        <v>0</v>
      </c>
    </row>
    <row r="185" spans="2:3" ht="13.5" hidden="1" thickBot="1" x14ac:dyDescent="0.25">
      <c r="B185" s="110">
        <f t="shared" si="0"/>
        <v>2060</v>
      </c>
      <c r="C185" s="135">
        <f>[17]С2.5!$AS$11</f>
        <v>0</v>
      </c>
    </row>
    <row r="186" spans="2:3" ht="13.5" hidden="1" thickBot="1" x14ac:dyDescent="0.25">
      <c r="B186" s="110">
        <f t="shared" si="0"/>
        <v>2061</v>
      </c>
      <c r="C186" s="135">
        <f>[17]С2.5!$AT$11</f>
        <v>0</v>
      </c>
    </row>
    <row r="187" spans="2:3" ht="13.5" hidden="1" thickBot="1" x14ac:dyDescent="0.25">
      <c r="B187" s="110">
        <f t="shared" si="0"/>
        <v>2062</v>
      </c>
      <c r="C187" s="135">
        <f>[17]С2.5!$AU$11</f>
        <v>0</v>
      </c>
    </row>
    <row r="188" spans="2:3" ht="13.5" hidden="1" thickBot="1" x14ac:dyDescent="0.25">
      <c r="B188" s="110">
        <f t="shared" si="0"/>
        <v>2063</v>
      </c>
      <c r="C188" s="135">
        <f>[17]С2.5!$AV$11</f>
        <v>0</v>
      </c>
    </row>
    <row r="189" spans="2:3" ht="13.5" hidden="1" thickBot="1" x14ac:dyDescent="0.25">
      <c r="B189" s="110">
        <f t="shared" si="0"/>
        <v>2064</v>
      </c>
      <c r="C189" s="135">
        <f>[17]С2.5!$AW$11</f>
        <v>0</v>
      </c>
    </row>
    <row r="190" spans="2:3" ht="13.5" hidden="1" thickBot="1" x14ac:dyDescent="0.25">
      <c r="B190" s="110">
        <f t="shared" si="0"/>
        <v>2065</v>
      </c>
      <c r="C190" s="135">
        <f>[17]С2.5!$AX$11</f>
        <v>0</v>
      </c>
    </row>
    <row r="191" spans="2:3" ht="13.5" hidden="1" thickBot="1" x14ac:dyDescent="0.25">
      <c r="B191" s="110">
        <f t="shared" si="0"/>
        <v>2066</v>
      </c>
      <c r="C191" s="135">
        <f>[17]С2.5!$AY$11</f>
        <v>0</v>
      </c>
    </row>
    <row r="192" spans="2:3" ht="13.5" hidden="1" thickBot="1" x14ac:dyDescent="0.25">
      <c r="B192" s="110">
        <f t="shared" si="0"/>
        <v>2067</v>
      </c>
      <c r="C192" s="135">
        <f>[17]С2.5!$AZ$11</f>
        <v>0</v>
      </c>
    </row>
    <row r="193" spans="2:3" ht="13.5" hidden="1" thickBot="1" x14ac:dyDescent="0.25">
      <c r="B193" s="110">
        <f t="shared" si="0"/>
        <v>2068</v>
      </c>
      <c r="C193" s="135">
        <f>[17]С2.5!$BA$11</f>
        <v>0</v>
      </c>
    </row>
    <row r="194" spans="2:3" ht="13.5" hidden="1" thickBot="1" x14ac:dyDescent="0.25">
      <c r="B194" s="110">
        <f t="shared" si="0"/>
        <v>2069</v>
      </c>
      <c r="C194" s="135">
        <f>[17]С2.5!$BB$11</f>
        <v>0</v>
      </c>
    </row>
    <row r="195" spans="2:3" ht="13.5" hidden="1" thickBot="1" x14ac:dyDescent="0.25">
      <c r="B195" s="110">
        <f t="shared" si="0"/>
        <v>2070</v>
      </c>
      <c r="C195" s="135">
        <f>[17]С2.5!$BC$11</f>
        <v>0</v>
      </c>
    </row>
    <row r="196" spans="2:3" ht="13.5" hidden="1" thickBot="1" x14ac:dyDescent="0.25">
      <c r="B196" s="110">
        <f t="shared" si="0"/>
        <v>2071</v>
      </c>
      <c r="C196" s="135">
        <f>[17]С2.5!$BD$11</f>
        <v>0</v>
      </c>
    </row>
    <row r="197" spans="2:3" ht="13.5" hidden="1" thickBot="1" x14ac:dyDescent="0.25">
      <c r="B197" s="110">
        <f t="shared" si="0"/>
        <v>2072</v>
      </c>
      <c r="C197" s="135">
        <f>[17]С2.5!$BE$11</f>
        <v>0</v>
      </c>
    </row>
    <row r="198" spans="2:3" ht="13.5" hidden="1" thickBot="1" x14ac:dyDescent="0.25">
      <c r="B198" s="110">
        <f t="shared" si="0"/>
        <v>2073</v>
      </c>
      <c r="C198" s="135">
        <f>[17]С2.5!$BF$11</f>
        <v>0</v>
      </c>
    </row>
    <row r="199" spans="2:3" ht="13.5" hidden="1" thickBot="1" x14ac:dyDescent="0.25">
      <c r="B199" s="110">
        <f t="shared" si="0"/>
        <v>2074</v>
      </c>
      <c r="C199" s="135">
        <f>[17]С2.5!$BG$11</f>
        <v>0</v>
      </c>
    </row>
    <row r="200" spans="2:3" ht="13.5" hidden="1" thickBot="1" x14ac:dyDescent="0.25">
      <c r="B200" s="110">
        <f t="shared" si="0"/>
        <v>2075</v>
      </c>
      <c r="C200" s="135">
        <f>[17]С2.5!$BH$11</f>
        <v>0</v>
      </c>
    </row>
    <row r="201" spans="2:3" ht="13.5" hidden="1" thickBot="1" x14ac:dyDescent="0.25">
      <c r="B201" s="110">
        <f t="shared" si="0"/>
        <v>2076</v>
      </c>
      <c r="C201" s="135">
        <f>[17]С2.5!$BI$11</f>
        <v>0</v>
      </c>
    </row>
    <row r="202" spans="2:3" ht="13.5" hidden="1" thickBot="1" x14ac:dyDescent="0.25">
      <c r="B202" s="110">
        <f t="shared" si="0"/>
        <v>2077</v>
      </c>
      <c r="C202" s="135">
        <f>[17]С2.5!$BJ$11</f>
        <v>0</v>
      </c>
    </row>
    <row r="203" spans="2:3" ht="13.5" hidden="1" thickBot="1" x14ac:dyDescent="0.25">
      <c r="B203" s="110">
        <f t="shared" si="0"/>
        <v>2078</v>
      </c>
      <c r="C203" s="135">
        <f>[17]С2.5!$BK$11</f>
        <v>0</v>
      </c>
    </row>
    <row r="204" spans="2:3" ht="13.5" hidden="1" thickBot="1" x14ac:dyDescent="0.25">
      <c r="B204" s="110">
        <f t="shared" si="0"/>
        <v>2079</v>
      </c>
      <c r="C204" s="135">
        <f>[17]С2.5!$BL$11</f>
        <v>0</v>
      </c>
    </row>
    <row r="205" spans="2:3" ht="13.5" hidden="1" thickBot="1" x14ac:dyDescent="0.25">
      <c r="B205" s="110">
        <f t="shared" si="0"/>
        <v>2080</v>
      </c>
      <c r="C205" s="135">
        <f>[17]С2.5!$BM$11</f>
        <v>0</v>
      </c>
    </row>
    <row r="206" spans="2:3" ht="13.5" hidden="1" thickBot="1" x14ac:dyDescent="0.25">
      <c r="B206" s="110">
        <f t="shared" si="0"/>
        <v>2081</v>
      </c>
      <c r="C206" s="135">
        <f>[17]С2.5!$BN$11</f>
        <v>0</v>
      </c>
    </row>
    <row r="207" spans="2:3" ht="13.5" hidden="1" thickBot="1" x14ac:dyDescent="0.25">
      <c r="B207" s="110">
        <f t="shared" si="0"/>
        <v>2082</v>
      </c>
      <c r="C207" s="135">
        <f>[17]С2.5!$BO$11</f>
        <v>0</v>
      </c>
    </row>
    <row r="208" spans="2:3" ht="13.5" hidden="1" thickBot="1" x14ac:dyDescent="0.25">
      <c r="B208" s="110">
        <f t="shared" si="0"/>
        <v>2083</v>
      </c>
      <c r="C208" s="135">
        <f>[17]С2.5!$BP$11</f>
        <v>0</v>
      </c>
    </row>
    <row r="209" spans="2:3" ht="13.5" hidden="1" thickBot="1" x14ac:dyDescent="0.25">
      <c r="B209" s="110">
        <f t="shared" si="0"/>
        <v>2084</v>
      </c>
      <c r="C209" s="135">
        <f>[17]С2.5!$BQ$11</f>
        <v>0</v>
      </c>
    </row>
    <row r="210" spans="2:3" ht="13.5" hidden="1" thickBot="1" x14ac:dyDescent="0.25">
      <c r="B210" s="110">
        <f t="shared" si="0"/>
        <v>2085</v>
      </c>
      <c r="C210" s="135">
        <f>[17]С2.5!$BR$11</f>
        <v>0</v>
      </c>
    </row>
    <row r="211" spans="2:3" ht="13.5" hidden="1" thickBot="1" x14ac:dyDescent="0.25">
      <c r="B211" s="110">
        <f t="shared" ref="B211:B224" si="1">B210+1</f>
        <v>2086</v>
      </c>
      <c r="C211" s="135">
        <f>[17]С2.5!$BS$11</f>
        <v>0</v>
      </c>
    </row>
    <row r="212" spans="2:3" ht="13.5" hidden="1" thickBot="1" x14ac:dyDescent="0.25">
      <c r="B212" s="110">
        <f t="shared" si="1"/>
        <v>2087</v>
      </c>
      <c r="C212" s="135">
        <f>[17]С2.5!$BT$11</f>
        <v>0</v>
      </c>
    </row>
    <row r="213" spans="2:3" ht="13.5" hidden="1" thickBot="1" x14ac:dyDescent="0.25">
      <c r="B213" s="110">
        <f t="shared" si="1"/>
        <v>2088</v>
      </c>
      <c r="C213" s="135">
        <f>[17]С2.5!$BU$11</f>
        <v>0</v>
      </c>
    </row>
    <row r="214" spans="2:3" ht="13.5" hidden="1" thickBot="1" x14ac:dyDescent="0.25">
      <c r="B214" s="110">
        <f t="shared" si="1"/>
        <v>2089</v>
      </c>
      <c r="C214" s="135">
        <f>[17]С2.5!$BV$11</f>
        <v>0</v>
      </c>
    </row>
    <row r="215" spans="2:3" ht="13.5" hidden="1" thickBot="1" x14ac:dyDescent="0.25">
      <c r="B215" s="110">
        <f t="shared" si="1"/>
        <v>2090</v>
      </c>
      <c r="C215" s="135">
        <f>[17]С2.5!$BW$11</f>
        <v>0</v>
      </c>
    </row>
    <row r="216" spans="2:3" ht="13.5" hidden="1" thickBot="1" x14ac:dyDescent="0.25">
      <c r="B216" s="110">
        <f t="shared" si="1"/>
        <v>2091</v>
      </c>
      <c r="C216" s="135">
        <f>[17]С2.5!$BX$11</f>
        <v>0</v>
      </c>
    </row>
    <row r="217" spans="2:3" ht="13.5" hidden="1" thickBot="1" x14ac:dyDescent="0.25">
      <c r="B217" s="110">
        <f t="shared" si="1"/>
        <v>2092</v>
      </c>
      <c r="C217" s="135">
        <f>[17]С2.5!$BY$11</f>
        <v>0</v>
      </c>
    </row>
    <row r="218" spans="2:3" ht="13.5" hidden="1" thickBot="1" x14ac:dyDescent="0.25">
      <c r="B218" s="110">
        <f t="shared" si="1"/>
        <v>2093</v>
      </c>
      <c r="C218" s="135">
        <f>[17]С2.5!$BZ$11</f>
        <v>0</v>
      </c>
    </row>
    <row r="219" spans="2:3" ht="13.5" hidden="1" thickBot="1" x14ac:dyDescent="0.25">
      <c r="B219" s="110">
        <f t="shared" si="1"/>
        <v>2094</v>
      </c>
      <c r="C219" s="135">
        <f>[17]С2.5!$CA$11</f>
        <v>0</v>
      </c>
    </row>
    <row r="220" spans="2:3" ht="13.5" hidden="1" thickBot="1" x14ac:dyDescent="0.25">
      <c r="B220" s="110">
        <f t="shared" si="1"/>
        <v>2095</v>
      </c>
      <c r="C220" s="135">
        <f>[17]С2.5!$CB$11</f>
        <v>0</v>
      </c>
    </row>
    <row r="221" spans="2:3" ht="13.5" hidden="1" thickBot="1" x14ac:dyDescent="0.25">
      <c r="B221" s="110">
        <f t="shared" si="1"/>
        <v>2096</v>
      </c>
      <c r="C221" s="135">
        <f>[17]С2.5!$CC$11</f>
        <v>0</v>
      </c>
    </row>
    <row r="222" spans="2:3" ht="13.5" hidden="1" thickBot="1" x14ac:dyDescent="0.25">
      <c r="B222" s="110">
        <f t="shared" si="1"/>
        <v>2097</v>
      </c>
      <c r="C222" s="135">
        <f>[17]С2.5!$CD$11</f>
        <v>0</v>
      </c>
    </row>
    <row r="223" spans="2:3" ht="13.5" hidden="1" thickBot="1" x14ac:dyDescent="0.25">
      <c r="B223" s="110">
        <f t="shared" si="1"/>
        <v>2098</v>
      </c>
      <c r="C223" s="135">
        <f>[17]С2.5!$CE$11</f>
        <v>0</v>
      </c>
    </row>
    <row r="224" spans="2:3" ht="13.5" hidden="1" thickBot="1" x14ac:dyDescent="0.25">
      <c r="B224" s="110">
        <f t="shared" si="1"/>
        <v>2099</v>
      </c>
      <c r="C224" s="135">
        <f>[17]С2.5!$CF$11</f>
        <v>0</v>
      </c>
    </row>
    <row r="225" spans="2:3" ht="13.5" hidden="1" thickBot="1" x14ac:dyDescent="0.25">
      <c r="B225" s="112">
        <f>B162+1</f>
        <v>2038</v>
      </c>
      <c r="C225" s="136" t="e">
        <f>[17]С2.5!#REF!</f>
        <v>#REF!</v>
      </c>
    </row>
    <row r="226" spans="2:3" x14ac:dyDescent="0.2">
      <c r="B226" s="137"/>
      <c r="C226" s="138"/>
    </row>
  </sheetData>
  <mergeCells count="9">
    <mergeCell ref="B143:C143"/>
    <mergeCell ref="A14:C14"/>
    <mergeCell ref="B1:C1"/>
    <mergeCell ref="B27:C27"/>
    <mergeCell ref="B45:C45"/>
    <mergeCell ref="B90:C90"/>
    <mergeCell ref="B101:C101"/>
    <mergeCell ref="B126:C126"/>
    <mergeCell ref="B129:C129"/>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3313" r:id="rId3" name="Button 1">
              <controlPr defaultSize="0" print="0" autoFill="0" autoPict="0" macro="[8]!Лист29.PrintBlock">
                <anchor moveWithCells="1" sizeWithCells="1">
                  <from>
                    <xdr:col>3</xdr:col>
                    <xdr:colOff>0</xdr:colOff>
                    <xdr:row>0</xdr:row>
                    <xdr:rowOff>104775</xdr:rowOff>
                  </from>
                  <to>
                    <xdr:col>4</xdr:col>
                    <xdr:colOff>0</xdr:colOff>
                    <xdr:row>0</xdr:row>
                    <xdr:rowOff>352425</xdr:rowOff>
                  </to>
                </anchor>
              </controlPr>
            </control>
          </mc:Choice>
        </mc:AlternateContent>
        <mc:AlternateContent xmlns:mc="http://schemas.openxmlformats.org/markup-compatibility/2006">
          <mc:Choice Requires="x14">
            <control shapeId="13314" r:id="rId4" name="Button 2">
              <controlPr defaultSize="0" print="0" autoFill="0" autoPict="0" macro="[17]!Лист29.PrintBlock">
                <anchor moveWithCells="1" sizeWithCells="1">
                  <from>
                    <xdr:col>3</xdr:col>
                    <xdr:colOff>47625</xdr:colOff>
                    <xdr:row>0</xdr:row>
                    <xdr:rowOff>104775</xdr:rowOff>
                  </from>
                  <to>
                    <xdr:col>4</xdr:col>
                    <xdr:colOff>1095375</xdr:colOff>
                    <xdr:row>0</xdr:row>
                    <xdr:rowOff>352425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63" t="s">
        <v>0</v>
      </c>
      <c r="C1" s="163"/>
    </row>
    <row r="2" spans="1:3" x14ac:dyDescent="0.2">
      <c r="A2" s="3"/>
      <c r="B2" s="4" t="s">
        <v>1</v>
      </c>
      <c r="C2" s="5">
        <v>45317</v>
      </c>
    </row>
    <row r="3" spans="1:3" x14ac:dyDescent="0.2">
      <c r="A3" s="3"/>
      <c r="B3" s="6" t="s">
        <v>2</v>
      </c>
    </row>
    <row r="4" spans="1:3" ht="25.5" x14ac:dyDescent="0.2">
      <c r="A4" s="8"/>
      <c r="B4" s="9" t="str">
        <f>[18]И1!D13</f>
        <v>Субъект Российской Федерации</v>
      </c>
      <c r="C4" s="10" t="str">
        <f>[18]И1!E13</f>
        <v>Новосибирская область</v>
      </c>
    </row>
    <row r="5" spans="1:3" ht="46.9" customHeight="1" x14ac:dyDescent="0.2">
      <c r="A5" s="8"/>
      <c r="B5" s="9" t="str">
        <f>[18]И1!D14</f>
        <v>Тип муниципального образования (выберите из списка)</v>
      </c>
      <c r="C5" s="10" t="str">
        <f>[18]И1!E14</f>
        <v>поселок Степной, Искитимский муниципальный район</v>
      </c>
    </row>
    <row r="6" spans="1:3" x14ac:dyDescent="0.2">
      <c r="A6" s="8"/>
      <c r="B6" s="9" t="str">
        <f>IF([18]И1!E15="","",[18]И1!D15)</f>
        <v/>
      </c>
      <c r="C6" s="10" t="str">
        <f>IF([18]И1!E15="","",[18]И1!E15)</f>
        <v/>
      </c>
    </row>
    <row r="7" spans="1:3" x14ac:dyDescent="0.2">
      <c r="A7" s="8"/>
      <c r="B7" s="9" t="str">
        <f>[18]И1!D16</f>
        <v>Код ОКТМО</v>
      </c>
      <c r="C7" s="11" t="str">
        <f>[18]И1!E16</f>
        <v xml:space="preserve"> (50615425101)</v>
      </c>
    </row>
    <row r="8" spans="1:3" x14ac:dyDescent="0.2">
      <c r="A8" s="8"/>
      <c r="B8" s="12" t="str">
        <f>[18]И1!D17</f>
        <v>Система теплоснабжения</v>
      </c>
      <c r="C8" s="13">
        <f>[18]И1!E17</f>
        <v>0</v>
      </c>
    </row>
    <row r="9" spans="1:3" x14ac:dyDescent="0.2">
      <c r="A9" s="8"/>
      <c r="B9" s="9" t="str">
        <f>[18]И1!D8</f>
        <v>Период регулирования (i)-й</v>
      </c>
      <c r="C9" s="14">
        <f>[18]И1!E8</f>
        <v>2024</v>
      </c>
    </row>
    <row r="10" spans="1:3" x14ac:dyDescent="0.2">
      <c r="A10" s="8"/>
      <c r="B10" s="9" t="str">
        <f>[18]И1!D9</f>
        <v>Период регулирования (i-1)-й</v>
      </c>
      <c r="C10" s="14">
        <f>[18]И1!E9</f>
        <v>2023</v>
      </c>
    </row>
    <row r="11" spans="1:3" x14ac:dyDescent="0.2">
      <c r="A11" s="8"/>
      <c r="B11" s="9" t="str">
        <f>[18]И1!D10</f>
        <v>Период регулирования (i-2)-й</v>
      </c>
      <c r="C11" s="14">
        <f>[18]И1!E10</f>
        <v>2022</v>
      </c>
    </row>
    <row r="12" spans="1:3" x14ac:dyDescent="0.2">
      <c r="A12" s="8"/>
      <c r="B12" s="9" t="str">
        <f>[18]И1!D11</f>
        <v>Базовый год (б)</v>
      </c>
      <c r="C12" s="14">
        <f>[18]И1!E11</f>
        <v>2019</v>
      </c>
    </row>
    <row r="13" spans="1:3" ht="38.25" x14ac:dyDescent="0.2">
      <c r="A13" s="8"/>
      <c r="B13" s="9" t="str">
        <f>[18]И1!D18</f>
        <v>Вид топлива, использование которого преобладает в системе теплоснабжения</v>
      </c>
      <c r="C13" s="15" t="str">
        <f>[18]С1.1!E13</f>
        <v>уголь (вид угля не указан в топливном балансе)</v>
      </c>
    </row>
    <row r="14" spans="1:3" ht="31.7" customHeight="1" thickBot="1" x14ac:dyDescent="0.25">
      <c r="A14" s="162" t="s">
        <v>3</v>
      </c>
      <c r="B14" s="162"/>
      <c r="C14" s="16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3738.6091205254761</v>
      </c>
    </row>
    <row r="18" spans="1:3" ht="42.75" x14ac:dyDescent="0.2">
      <c r="A18" s="22" t="s">
        <v>8</v>
      </c>
      <c r="B18" s="25" t="s">
        <v>9</v>
      </c>
      <c r="C18" s="26">
        <f>[18]С1!F12</f>
        <v>744.53988101969924</v>
      </c>
    </row>
    <row r="19" spans="1:3" ht="42.75" x14ac:dyDescent="0.2">
      <c r="A19" s="22" t="s">
        <v>10</v>
      </c>
      <c r="B19" s="25" t="s">
        <v>11</v>
      </c>
      <c r="C19" s="26">
        <f>[18]С2!F12</f>
        <v>2000.3680279558928</v>
      </c>
    </row>
    <row r="20" spans="1:3" ht="30" x14ac:dyDescent="0.2">
      <c r="A20" s="22" t="s">
        <v>12</v>
      </c>
      <c r="B20" s="25" t="s">
        <v>13</v>
      </c>
      <c r="C20" s="26">
        <f>[18]С3!F12</f>
        <v>475.74490066496389</v>
      </c>
    </row>
    <row r="21" spans="1:3" ht="42.75" x14ac:dyDescent="0.2">
      <c r="A21" s="22" t="s">
        <v>14</v>
      </c>
      <c r="B21" s="25" t="s">
        <v>15</v>
      </c>
      <c r="C21" s="26">
        <f>[18]С4!F12</f>
        <v>444.6502496981459</v>
      </c>
    </row>
    <row r="22" spans="1:3" ht="30" x14ac:dyDescent="0.2">
      <c r="A22" s="22" t="s">
        <v>16</v>
      </c>
      <c r="B22" s="25" t="s">
        <v>17</v>
      </c>
      <c r="C22" s="26">
        <f>[18]С5!F12</f>
        <v>73.306061186774045</v>
      </c>
    </row>
    <row r="23" spans="1:3" ht="43.5" thickBot="1" x14ac:dyDescent="0.25">
      <c r="A23" s="27" t="s">
        <v>18</v>
      </c>
      <c r="B23" s="140" t="s">
        <v>19</v>
      </c>
      <c r="C23" s="28" t="str">
        <f>[18]С6!F12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64" t="s">
        <v>20</v>
      </c>
      <c r="C27" s="164"/>
    </row>
    <row r="28" spans="1:3" x14ac:dyDescent="0.2">
      <c r="A28" s="22" t="s">
        <v>8</v>
      </c>
      <c r="B28" s="33" t="s">
        <v>21</v>
      </c>
      <c r="C28" s="34">
        <f>[18]С1.1!E16</f>
        <v>5100</v>
      </c>
    </row>
    <row r="29" spans="1:3" ht="42.75" x14ac:dyDescent="0.2">
      <c r="A29" s="22" t="s">
        <v>10</v>
      </c>
      <c r="B29" s="33" t="s">
        <v>22</v>
      </c>
      <c r="C29" s="34">
        <f>[18]С1.1!E27</f>
        <v>3345.2500000000005</v>
      </c>
    </row>
    <row r="30" spans="1:3" ht="17.25" x14ac:dyDescent="0.2">
      <c r="A30" s="22" t="s">
        <v>12</v>
      </c>
      <c r="B30" s="33" t="s">
        <v>23</v>
      </c>
      <c r="C30" s="35">
        <f>[18]С1.1!E19</f>
        <v>-0.19900000000000001</v>
      </c>
    </row>
    <row r="31" spans="1:3" ht="17.25" x14ac:dyDescent="0.2">
      <c r="A31" s="22" t="s">
        <v>14</v>
      </c>
      <c r="B31" s="33" t="s">
        <v>24</v>
      </c>
      <c r="C31" s="35">
        <f>[18]С1.1!E20</f>
        <v>5.7000000000000002E-2</v>
      </c>
    </row>
    <row r="32" spans="1:3" ht="30" x14ac:dyDescent="0.2">
      <c r="A32" s="22" t="s">
        <v>16</v>
      </c>
      <c r="B32" s="36" t="s">
        <v>25</v>
      </c>
      <c r="C32" s="37">
        <f>[18]С1!F13</f>
        <v>176.4</v>
      </c>
    </row>
    <row r="33" spans="1:3" x14ac:dyDescent="0.2">
      <c r="A33" s="22" t="s">
        <v>18</v>
      </c>
      <c r="B33" s="36" t="s">
        <v>26</v>
      </c>
      <c r="C33" s="38">
        <f>[18]С1!F16</f>
        <v>7000</v>
      </c>
    </row>
    <row r="34" spans="1:3" ht="14.25" x14ac:dyDescent="0.2">
      <c r="A34" s="22" t="s">
        <v>27</v>
      </c>
      <c r="B34" s="39" t="s">
        <v>28</v>
      </c>
      <c r="C34" s="40">
        <f>[18]С1!F17</f>
        <v>0.72857142857142854</v>
      </c>
    </row>
    <row r="35" spans="1:3" ht="15.75" x14ac:dyDescent="0.2">
      <c r="A35" s="41" t="s">
        <v>29</v>
      </c>
      <c r="B35" s="42" t="s">
        <v>30</v>
      </c>
      <c r="C35" s="40">
        <f>[18]С1!F20</f>
        <v>21.588411179999994</v>
      </c>
    </row>
    <row r="36" spans="1:3" ht="15.75" x14ac:dyDescent="0.2">
      <c r="A36" s="41" t="s">
        <v>31</v>
      </c>
      <c r="B36" s="43" t="s">
        <v>32</v>
      </c>
      <c r="C36" s="40">
        <f>[18]С1!F21</f>
        <v>20.818139999999996</v>
      </c>
    </row>
    <row r="37" spans="1:3" ht="14.25" x14ac:dyDescent="0.2">
      <c r="A37" s="41" t="s">
        <v>33</v>
      </c>
      <c r="B37" s="44" t="s">
        <v>34</v>
      </c>
      <c r="C37" s="40">
        <f>[18]С1!F22</f>
        <v>1.0369999999999999</v>
      </c>
    </row>
    <row r="38" spans="1:3" ht="53.25" thickBot="1" x14ac:dyDescent="0.25">
      <c r="A38" s="27" t="s">
        <v>35</v>
      </c>
      <c r="B38" s="45" t="s">
        <v>36</v>
      </c>
      <c r="C38" s="46">
        <f>[18]С1!F23</f>
        <v>1.0469999999999999</v>
      </c>
    </row>
    <row r="39" spans="1:3" ht="13.5" thickBot="1" x14ac:dyDescent="0.25">
      <c r="A39" s="47"/>
      <c r="B39" s="48"/>
      <c r="C39" s="49"/>
    </row>
    <row r="40" spans="1:3" ht="30" customHeight="1" x14ac:dyDescent="0.2">
      <c r="A40" s="50" t="s">
        <v>37</v>
      </c>
      <c r="B40" s="165" t="s">
        <v>38</v>
      </c>
      <c r="C40" s="165"/>
    </row>
    <row r="41" spans="1:3" ht="25.5" x14ac:dyDescent="0.2">
      <c r="A41" s="22" t="s">
        <v>39</v>
      </c>
      <c r="B41" s="36" t="s">
        <v>40</v>
      </c>
      <c r="C41" s="51" t="str">
        <f>[18]С2.1!E12</f>
        <v>V</v>
      </c>
    </row>
    <row r="42" spans="1:3" ht="25.5" x14ac:dyDescent="0.2">
      <c r="A42" s="22" t="s">
        <v>41</v>
      </c>
      <c r="B42" s="33" t="s">
        <v>42</v>
      </c>
      <c r="C42" s="51" t="str">
        <f>[18]С2.1!E13</f>
        <v>6 и менее баллов</v>
      </c>
    </row>
    <row r="43" spans="1:3" ht="25.5" x14ac:dyDescent="0.2">
      <c r="A43" s="22" t="s">
        <v>43</v>
      </c>
      <c r="B43" s="33" t="s">
        <v>44</v>
      </c>
      <c r="C43" s="51" t="str">
        <f>[18]С2.1!E14</f>
        <v>от 200 до 500</v>
      </c>
    </row>
    <row r="44" spans="1:3" ht="25.5" x14ac:dyDescent="0.2">
      <c r="A44" s="22" t="s">
        <v>45</v>
      </c>
      <c r="B44" s="33" t="s">
        <v>46</v>
      </c>
      <c r="C44" s="52" t="str">
        <f>[18]С2.1!E15</f>
        <v>нет</v>
      </c>
    </row>
    <row r="45" spans="1:3" ht="30" x14ac:dyDescent="0.2">
      <c r="A45" s="22" t="s">
        <v>47</v>
      </c>
      <c r="B45" s="33" t="s">
        <v>48</v>
      </c>
      <c r="C45" s="34">
        <f>[18]С2!F18</f>
        <v>35106.652004551666</v>
      </c>
    </row>
    <row r="46" spans="1:3" ht="30" x14ac:dyDescent="0.2">
      <c r="A46" s="22" t="s">
        <v>49</v>
      </c>
      <c r="B46" s="53" t="s">
        <v>50</v>
      </c>
      <c r="C46" s="34">
        <f>IF([18]С2!F19&gt;0,[18]С2!F19,[18]С2!F20)</f>
        <v>23441.524932855718</v>
      </c>
    </row>
    <row r="47" spans="1:3" ht="25.5" x14ac:dyDescent="0.2">
      <c r="A47" s="22" t="s">
        <v>51</v>
      </c>
      <c r="B47" s="54" t="s">
        <v>52</v>
      </c>
      <c r="C47" s="34">
        <f>[18]С2.1!E19</f>
        <v>-38</v>
      </c>
    </row>
    <row r="48" spans="1:3" ht="25.5" x14ac:dyDescent="0.2">
      <c r="A48" s="22" t="s">
        <v>53</v>
      </c>
      <c r="B48" s="54" t="s">
        <v>54</v>
      </c>
      <c r="C48" s="34" t="str">
        <f>[18]С2.1!E22</f>
        <v>нет</v>
      </c>
    </row>
    <row r="49" spans="1:3" ht="38.25" x14ac:dyDescent="0.2">
      <c r="A49" s="22" t="s">
        <v>55</v>
      </c>
      <c r="B49" s="55" t="s">
        <v>56</v>
      </c>
      <c r="C49" s="34">
        <f>[18]С2.2!E10</f>
        <v>1287</v>
      </c>
    </row>
    <row r="50" spans="1:3" ht="25.5" x14ac:dyDescent="0.2">
      <c r="A50" s="22" t="s">
        <v>57</v>
      </c>
      <c r="B50" s="56" t="s">
        <v>58</v>
      </c>
      <c r="C50" s="34">
        <f>[18]С2.2!E12</f>
        <v>5.97</v>
      </c>
    </row>
    <row r="51" spans="1:3" ht="52.5" x14ac:dyDescent="0.2">
      <c r="A51" s="22" t="s">
        <v>59</v>
      </c>
      <c r="B51" s="57" t="s">
        <v>60</v>
      </c>
      <c r="C51" s="34">
        <f>[18]С2.2!E13</f>
        <v>1</v>
      </c>
    </row>
    <row r="52" spans="1:3" ht="27.75" x14ac:dyDescent="0.2">
      <c r="A52" s="22" t="s">
        <v>61</v>
      </c>
      <c r="B52" s="56" t="s">
        <v>62</v>
      </c>
      <c r="C52" s="34">
        <f>[18]С2.2!E14</f>
        <v>12104</v>
      </c>
    </row>
    <row r="53" spans="1:3" ht="25.5" x14ac:dyDescent="0.2">
      <c r="A53" s="22" t="s">
        <v>63</v>
      </c>
      <c r="B53" s="57" t="s">
        <v>64</v>
      </c>
      <c r="C53" s="35">
        <f>[18]С2.2!E15</f>
        <v>4.8000000000000001E-2</v>
      </c>
    </row>
    <row r="54" spans="1:3" x14ac:dyDescent="0.2">
      <c r="A54" s="22" t="s">
        <v>65</v>
      </c>
      <c r="B54" s="57" t="s">
        <v>66</v>
      </c>
      <c r="C54" s="34">
        <f>[18]С2.2!E16</f>
        <v>1</v>
      </c>
    </row>
    <row r="55" spans="1:3" ht="15.75" x14ac:dyDescent="0.2">
      <c r="A55" s="22" t="s">
        <v>67</v>
      </c>
      <c r="B55" s="58" t="s">
        <v>68</v>
      </c>
      <c r="C55" s="34">
        <f>[18]С2!F21</f>
        <v>1</v>
      </c>
    </row>
    <row r="56" spans="1:3" ht="30" x14ac:dyDescent="0.2">
      <c r="A56" s="59" t="s">
        <v>69</v>
      </c>
      <c r="B56" s="33" t="s">
        <v>70</v>
      </c>
      <c r="C56" s="34">
        <f>[18]С2!F13</f>
        <v>183796.83936385796</v>
      </c>
    </row>
    <row r="57" spans="1:3" ht="30" x14ac:dyDescent="0.2">
      <c r="A57" s="59" t="s">
        <v>71</v>
      </c>
      <c r="B57" s="58" t="s">
        <v>72</v>
      </c>
      <c r="C57" s="34">
        <f>[18]С2!F14</f>
        <v>113455</v>
      </c>
    </row>
    <row r="58" spans="1:3" ht="15.75" x14ac:dyDescent="0.2">
      <c r="A58" s="59" t="s">
        <v>73</v>
      </c>
      <c r="B58" s="60" t="s">
        <v>74</v>
      </c>
      <c r="C58" s="40">
        <f>[18]С2!F15</f>
        <v>1.071</v>
      </c>
    </row>
    <row r="59" spans="1:3" ht="15.75" x14ac:dyDescent="0.2">
      <c r="A59" s="59" t="s">
        <v>75</v>
      </c>
      <c r="B59" s="60" t="s">
        <v>76</v>
      </c>
      <c r="C59" s="40">
        <f>[18]С2!F16</f>
        <v>1</v>
      </c>
    </row>
    <row r="60" spans="1:3" ht="17.25" x14ac:dyDescent="0.2">
      <c r="A60" s="59" t="s">
        <v>77</v>
      </c>
      <c r="B60" s="58" t="s">
        <v>78</v>
      </c>
      <c r="C60" s="34">
        <f>[18]С2!F17</f>
        <v>1.01</v>
      </c>
    </row>
    <row r="61" spans="1:3" s="63" customFormat="1" ht="14.25" x14ac:dyDescent="0.2">
      <c r="A61" s="59" t="s">
        <v>79</v>
      </c>
      <c r="B61" s="61" t="s">
        <v>80</v>
      </c>
      <c r="C61" s="62">
        <f>[18]С2!F33</f>
        <v>10</v>
      </c>
    </row>
    <row r="62" spans="1:3" ht="30" x14ac:dyDescent="0.2">
      <c r="A62" s="59" t="s">
        <v>81</v>
      </c>
      <c r="B62" s="64" t="s">
        <v>82</v>
      </c>
      <c r="C62" s="34">
        <f>[18]С2!F26</f>
        <v>2780.7867618428891</v>
      </c>
    </row>
    <row r="63" spans="1:3" ht="17.25" x14ac:dyDescent="0.2">
      <c r="A63" s="59" t="s">
        <v>83</v>
      </c>
      <c r="B63" s="53" t="s">
        <v>84</v>
      </c>
      <c r="C63" s="34">
        <f>[18]С2!F27</f>
        <v>0.44209422600000003</v>
      </c>
    </row>
    <row r="64" spans="1:3" ht="17.25" x14ac:dyDescent="0.2">
      <c r="A64" s="59" t="s">
        <v>85</v>
      </c>
      <c r="B64" s="58" t="s">
        <v>86</v>
      </c>
      <c r="C64" s="62">
        <f>[18]С2!F28</f>
        <v>4200</v>
      </c>
    </row>
    <row r="65" spans="1:3" ht="42.75" x14ac:dyDescent="0.2">
      <c r="A65" s="59" t="s">
        <v>87</v>
      </c>
      <c r="B65" s="33" t="s">
        <v>88</v>
      </c>
      <c r="C65" s="34">
        <f>[18]С2!F22</f>
        <v>38698.422798410109</v>
      </c>
    </row>
    <row r="66" spans="1:3" ht="30" x14ac:dyDescent="0.2">
      <c r="A66" s="59" t="s">
        <v>89</v>
      </c>
      <c r="B66" s="60" t="s">
        <v>90</v>
      </c>
      <c r="C66" s="34">
        <f>[18]С2!F23</f>
        <v>1990</v>
      </c>
    </row>
    <row r="67" spans="1:3" ht="30" x14ac:dyDescent="0.2">
      <c r="A67" s="59" t="s">
        <v>91</v>
      </c>
      <c r="B67" s="53" t="s">
        <v>92</v>
      </c>
      <c r="C67" s="34">
        <f>[18]С2.1!E27</f>
        <v>14307.876789999998</v>
      </c>
    </row>
    <row r="68" spans="1:3" ht="38.25" x14ac:dyDescent="0.2">
      <c r="A68" s="59" t="s">
        <v>93</v>
      </c>
      <c r="B68" s="65" t="s">
        <v>94</v>
      </c>
      <c r="C68" s="52">
        <f>[18]С2.3!E21</f>
        <v>0</v>
      </c>
    </row>
    <row r="69" spans="1:3" ht="25.5" x14ac:dyDescent="0.2">
      <c r="A69" s="59" t="s">
        <v>95</v>
      </c>
      <c r="B69" s="66" t="s">
        <v>96</v>
      </c>
      <c r="C69" s="67">
        <f>[18]С2.3!E11</f>
        <v>9.89</v>
      </c>
    </row>
    <row r="70" spans="1:3" ht="25.5" x14ac:dyDescent="0.2">
      <c r="A70" s="59" t="s">
        <v>97</v>
      </c>
      <c r="B70" s="66" t="s">
        <v>98</v>
      </c>
      <c r="C70" s="62">
        <f>[18]С2.3!E13</f>
        <v>300</v>
      </c>
    </row>
    <row r="71" spans="1:3" ht="25.5" x14ac:dyDescent="0.2">
      <c r="A71" s="59" t="s">
        <v>99</v>
      </c>
      <c r="B71" s="65" t="s">
        <v>100</v>
      </c>
      <c r="C71" s="68">
        <f>IF([18]С2.3!E22&gt;0,[18]С2.3!E22,[18]С2.3!E14)</f>
        <v>61211</v>
      </c>
    </row>
    <row r="72" spans="1:3" ht="38.25" x14ac:dyDescent="0.2">
      <c r="A72" s="59" t="s">
        <v>101</v>
      </c>
      <c r="B72" s="65" t="s">
        <v>102</v>
      </c>
      <c r="C72" s="68">
        <f>IF([18]С2.3!E23&gt;0,[18]С2.3!E23,[18]С2.3!E15)</f>
        <v>45675</v>
      </c>
    </row>
    <row r="73" spans="1:3" ht="30" x14ac:dyDescent="0.2">
      <c r="A73" s="59" t="s">
        <v>103</v>
      </c>
      <c r="B73" s="53" t="s">
        <v>104</v>
      </c>
      <c r="C73" s="34">
        <f>[18]С2.1!E28</f>
        <v>9541.9567200000001</v>
      </c>
    </row>
    <row r="74" spans="1:3" ht="38.25" x14ac:dyDescent="0.2">
      <c r="A74" s="59" t="s">
        <v>105</v>
      </c>
      <c r="B74" s="65" t="s">
        <v>106</v>
      </c>
      <c r="C74" s="52">
        <f>[18]С2.3!E25</f>
        <v>0</v>
      </c>
    </row>
    <row r="75" spans="1:3" ht="25.5" x14ac:dyDescent="0.2">
      <c r="A75" s="59" t="s">
        <v>107</v>
      </c>
      <c r="B75" s="66" t="s">
        <v>108</v>
      </c>
      <c r="C75" s="67">
        <f>[18]С2.3!E12</f>
        <v>0.56000000000000005</v>
      </c>
    </row>
    <row r="76" spans="1:3" ht="25.5" x14ac:dyDescent="0.2">
      <c r="A76" s="59" t="s">
        <v>109</v>
      </c>
      <c r="B76" s="66" t="s">
        <v>98</v>
      </c>
      <c r="C76" s="62">
        <f>[18]С2.3!E13</f>
        <v>300</v>
      </c>
    </row>
    <row r="77" spans="1:3" ht="25.5" x14ac:dyDescent="0.2">
      <c r="A77" s="59" t="s">
        <v>110</v>
      </c>
      <c r="B77" s="69" t="s">
        <v>111</v>
      </c>
      <c r="C77" s="68">
        <f>IF([18]С2.3!E26&gt;0,[18]С2.3!E26,[18]С2.3!E16)</f>
        <v>65637</v>
      </c>
    </row>
    <row r="78" spans="1:3" ht="38.25" x14ac:dyDescent="0.2">
      <c r="A78" s="59" t="s">
        <v>112</v>
      </c>
      <c r="B78" s="69" t="s">
        <v>113</v>
      </c>
      <c r="C78" s="68">
        <f>IF([18]С2.3!E27&gt;0,[18]С2.3!E27,[18]С2.3!E17)</f>
        <v>31684</v>
      </c>
    </row>
    <row r="79" spans="1:3" ht="17.25" x14ac:dyDescent="0.2">
      <c r="A79" s="59" t="s">
        <v>114</v>
      </c>
      <c r="B79" s="33" t="s">
        <v>115</v>
      </c>
      <c r="C79" s="35">
        <f>[18]С2!F29</f>
        <v>9.5962865259740182E-2</v>
      </c>
    </row>
    <row r="80" spans="1:3" ht="30" x14ac:dyDescent="0.2">
      <c r="A80" s="59" t="s">
        <v>116</v>
      </c>
      <c r="B80" s="53" t="s">
        <v>117</v>
      </c>
      <c r="C80" s="70">
        <f>[18]С2!F30</f>
        <v>8.4029304029304031E-2</v>
      </c>
    </row>
    <row r="81" spans="1:3" ht="17.25" x14ac:dyDescent="0.2">
      <c r="A81" s="59" t="s">
        <v>118</v>
      </c>
      <c r="B81" s="71" t="s">
        <v>119</v>
      </c>
      <c r="C81" s="35">
        <f>[18]С2!F31</f>
        <v>0.13880000000000001</v>
      </c>
    </row>
    <row r="82" spans="1:3" s="63" customFormat="1" ht="18" thickBot="1" x14ac:dyDescent="0.25">
      <c r="A82" s="72" t="s">
        <v>120</v>
      </c>
      <c r="B82" s="73" t="s">
        <v>121</v>
      </c>
      <c r="C82" s="74">
        <f>[18]С2!F32</f>
        <v>0.12640000000000001</v>
      </c>
    </row>
    <row r="83" spans="1:3" ht="13.5" thickBot="1" x14ac:dyDescent="0.25">
      <c r="A83" s="47"/>
      <c r="B83" s="75"/>
      <c r="C83" s="15"/>
    </row>
    <row r="84" spans="1:3" s="63" customFormat="1" ht="30" customHeight="1" x14ac:dyDescent="0.2">
      <c r="A84" s="76" t="s">
        <v>122</v>
      </c>
      <c r="B84" s="165" t="s">
        <v>123</v>
      </c>
      <c r="C84" s="165"/>
    </row>
    <row r="85" spans="1:3" s="63" customFormat="1" ht="30" x14ac:dyDescent="0.2">
      <c r="A85" s="77" t="s">
        <v>124</v>
      </c>
      <c r="B85" s="33" t="s">
        <v>125</v>
      </c>
      <c r="C85" s="34">
        <f>[18]С3!F14</f>
        <v>6117.6201782637581</v>
      </c>
    </row>
    <row r="86" spans="1:3" s="63" customFormat="1" ht="42.75" x14ac:dyDescent="0.2">
      <c r="A86" s="77" t="s">
        <v>126</v>
      </c>
      <c r="B86" s="53" t="s">
        <v>127</v>
      </c>
      <c r="C86" s="78">
        <f>[18]С3!F15</f>
        <v>0.2</v>
      </c>
    </row>
    <row r="87" spans="1:3" s="63" customFormat="1" ht="14.25" x14ac:dyDescent="0.2">
      <c r="A87" s="77" t="s">
        <v>128</v>
      </c>
      <c r="B87" s="79" t="s">
        <v>129</v>
      </c>
      <c r="C87" s="62">
        <f>[18]С3!F18</f>
        <v>15</v>
      </c>
    </row>
    <row r="88" spans="1:3" s="63" customFormat="1" ht="17.25" x14ac:dyDescent="0.2">
      <c r="A88" s="77" t="s">
        <v>130</v>
      </c>
      <c r="B88" s="33" t="s">
        <v>131</v>
      </c>
      <c r="C88" s="34">
        <f>[18]С3!F19</f>
        <v>3778.1614077800232</v>
      </c>
    </row>
    <row r="89" spans="1:3" s="63" customFormat="1" ht="55.5" x14ac:dyDescent="0.2">
      <c r="A89" s="77" t="s">
        <v>132</v>
      </c>
      <c r="B89" s="53" t="s">
        <v>133</v>
      </c>
      <c r="C89" s="80">
        <f>[18]С3!F20</f>
        <v>2.1999999999999999E-2</v>
      </c>
    </row>
    <row r="90" spans="1:3" s="63" customFormat="1" ht="14.25" x14ac:dyDescent="0.2">
      <c r="A90" s="77" t="s">
        <v>134</v>
      </c>
      <c r="B90" s="58" t="s">
        <v>80</v>
      </c>
      <c r="C90" s="62">
        <f>[18]С3!F21</f>
        <v>10</v>
      </c>
    </row>
    <row r="91" spans="1:3" s="63" customFormat="1" ht="17.25" x14ac:dyDescent="0.2">
      <c r="A91" s="77" t="s">
        <v>135</v>
      </c>
      <c r="B91" s="33" t="s">
        <v>136</v>
      </c>
      <c r="C91" s="34">
        <f>[18]С3!F22</f>
        <v>8.3423602855286667</v>
      </c>
    </row>
    <row r="92" spans="1:3" s="63" customFormat="1" ht="55.5" x14ac:dyDescent="0.2">
      <c r="A92" s="77" t="s">
        <v>137</v>
      </c>
      <c r="B92" s="53" t="s">
        <v>138</v>
      </c>
      <c r="C92" s="80">
        <f>[18]С3!F23</f>
        <v>3.0000000000000001E-3</v>
      </c>
    </row>
    <row r="93" spans="1:3" s="63" customFormat="1" ht="27.75" thickBot="1" x14ac:dyDescent="0.25">
      <c r="A93" s="81" t="s">
        <v>139</v>
      </c>
      <c r="B93" s="82" t="s">
        <v>140</v>
      </c>
      <c r="C93" s="83">
        <f>[18]С3!F24</f>
        <v>2780.7867618428891</v>
      </c>
    </row>
    <row r="94" spans="1:3" ht="13.5" thickBot="1" x14ac:dyDescent="0.25">
      <c r="A94" s="47"/>
      <c r="B94" s="75"/>
      <c r="C94" s="15"/>
    </row>
    <row r="95" spans="1:3" ht="30" customHeight="1" x14ac:dyDescent="0.2">
      <c r="A95" s="84" t="s">
        <v>141</v>
      </c>
      <c r="B95" s="165" t="s">
        <v>142</v>
      </c>
      <c r="C95" s="165"/>
    </row>
    <row r="96" spans="1:3" ht="30" x14ac:dyDescent="0.2">
      <c r="A96" s="59" t="s">
        <v>143</v>
      </c>
      <c r="B96" s="33" t="s">
        <v>144</v>
      </c>
      <c r="C96" s="34">
        <f>[18]С4!F16</f>
        <v>1652.5</v>
      </c>
    </row>
    <row r="97" spans="1:3" ht="30" x14ac:dyDescent="0.2">
      <c r="A97" s="59" t="s">
        <v>145</v>
      </c>
      <c r="B97" s="58" t="s">
        <v>146</v>
      </c>
      <c r="C97" s="34">
        <f>[18]С4!F17</f>
        <v>73547</v>
      </c>
    </row>
    <row r="98" spans="1:3" ht="17.25" x14ac:dyDescent="0.2">
      <c r="A98" s="59" t="s">
        <v>147</v>
      </c>
      <c r="B98" s="58" t="s">
        <v>148</v>
      </c>
      <c r="C98" s="40">
        <f>[18]С4!F18</f>
        <v>0.02</v>
      </c>
    </row>
    <row r="99" spans="1:3" ht="30" x14ac:dyDescent="0.2">
      <c r="A99" s="59" t="s">
        <v>149</v>
      </c>
      <c r="B99" s="58" t="s">
        <v>150</v>
      </c>
      <c r="C99" s="34">
        <f>[18]С4!F19</f>
        <v>12104</v>
      </c>
    </row>
    <row r="100" spans="1:3" ht="31.5" x14ac:dyDescent="0.2">
      <c r="A100" s="59" t="s">
        <v>151</v>
      </c>
      <c r="B100" s="58" t="s">
        <v>152</v>
      </c>
      <c r="C100" s="40">
        <f>[18]С4!F20</f>
        <v>1.4999999999999999E-2</v>
      </c>
    </row>
    <row r="101" spans="1:3" ht="30" x14ac:dyDescent="0.2">
      <c r="A101" s="59" t="s">
        <v>153</v>
      </c>
      <c r="B101" s="33" t="s">
        <v>154</v>
      </c>
      <c r="C101" s="34">
        <f>[18]С4!F21</f>
        <v>1933.1949342509995</v>
      </c>
    </row>
    <row r="102" spans="1:3" ht="24" customHeight="1" x14ac:dyDescent="0.2">
      <c r="A102" s="59" t="s">
        <v>155</v>
      </c>
      <c r="B102" s="53" t="s">
        <v>156</v>
      </c>
      <c r="C102" s="85">
        <f>IF([18]С4.2!F8="да",[18]С4.2!D21,[18]С4.2!D15)</f>
        <v>0</v>
      </c>
    </row>
    <row r="103" spans="1:3" ht="68.25" x14ac:dyDescent="0.2">
      <c r="A103" s="59" t="s">
        <v>157</v>
      </c>
      <c r="B103" s="53" t="s">
        <v>158</v>
      </c>
      <c r="C103" s="34">
        <f>[18]С4!F22</f>
        <v>3.6112641666666665</v>
      </c>
    </row>
    <row r="104" spans="1:3" ht="30" x14ac:dyDescent="0.2">
      <c r="A104" s="59" t="s">
        <v>159</v>
      </c>
      <c r="B104" s="58" t="s">
        <v>160</v>
      </c>
      <c r="C104" s="34">
        <f>[18]С4!F23</f>
        <v>180</v>
      </c>
    </row>
    <row r="105" spans="1:3" ht="14.25" x14ac:dyDescent="0.2">
      <c r="A105" s="59" t="s">
        <v>161</v>
      </c>
      <c r="B105" s="53" t="s">
        <v>162</v>
      </c>
      <c r="C105" s="34">
        <f>[18]С4!F24</f>
        <v>8497.1999999999989</v>
      </c>
    </row>
    <row r="106" spans="1:3" ht="14.25" x14ac:dyDescent="0.2">
      <c r="A106" s="59" t="s">
        <v>163</v>
      </c>
      <c r="B106" s="58" t="s">
        <v>164</v>
      </c>
      <c r="C106" s="40">
        <f>[18]С4!F25</f>
        <v>0.35</v>
      </c>
    </row>
    <row r="107" spans="1:3" ht="17.25" x14ac:dyDescent="0.2">
      <c r="A107" s="59" t="s">
        <v>165</v>
      </c>
      <c r="B107" s="33" t="s">
        <v>166</v>
      </c>
      <c r="C107" s="34">
        <f>[18]С4!F26</f>
        <v>85.988129999999998</v>
      </c>
    </row>
    <row r="108" spans="1:3" ht="25.5" x14ac:dyDescent="0.2">
      <c r="A108" s="59" t="s">
        <v>167</v>
      </c>
      <c r="B108" s="53" t="s">
        <v>94</v>
      </c>
      <c r="C108" s="85">
        <f>[18]С4.3!E16</f>
        <v>0</v>
      </c>
    </row>
    <row r="109" spans="1:3" ht="25.5" x14ac:dyDescent="0.2">
      <c r="A109" s="59" t="s">
        <v>168</v>
      </c>
      <c r="B109" s="53" t="s">
        <v>169</v>
      </c>
      <c r="C109" s="34">
        <f>[18]С4.3!E17</f>
        <v>20.350000000000001</v>
      </c>
    </row>
    <row r="110" spans="1:3" ht="38.25" x14ac:dyDescent="0.2">
      <c r="A110" s="59" t="s">
        <v>170</v>
      </c>
      <c r="B110" s="53" t="s">
        <v>106</v>
      </c>
      <c r="C110" s="85">
        <f>[18]С4.3!E18</f>
        <v>0</v>
      </c>
    </row>
    <row r="111" spans="1:3" x14ac:dyDescent="0.2">
      <c r="A111" s="59" t="s">
        <v>171</v>
      </c>
      <c r="B111" s="53" t="s">
        <v>172</v>
      </c>
      <c r="C111" s="34">
        <f>[18]С4.3!E19</f>
        <v>71.67</v>
      </c>
    </row>
    <row r="112" spans="1:3" x14ac:dyDescent="0.2">
      <c r="A112" s="59" t="s">
        <v>173</v>
      </c>
      <c r="B112" s="58" t="s">
        <v>174</v>
      </c>
      <c r="C112" s="34">
        <f>[18]С4.3!E11</f>
        <v>1871</v>
      </c>
    </row>
    <row r="113" spans="1:3" x14ac:dyDescent="0.2">
      <c r="A113" s="59" t="s">
        <v>175</v>
      </c>
      <c r="B113" s="58" t="s">
        <v>176</v>
      </c>
      <c r="C113" s="52">
        <f>[18]С4.3!E12</f>
        <v>1636</v>
      </c>
    </row>
    <row r="114" spans="1:3" x14ac:dyDescent="0.2">
      <c r="A114" s="59" t="s">
        <v>177</v>
      </c>
      <c r="B114" s="58" t="s">
        <v>178</v>
      </c>
      <c r="C114" s="52">
        <f>[18]С4.3!E13</f>
        <v>204</v>
      </c>
    </row>
    <row r="115" spans="1:3" ht="30" x14ac:dyDescent="0.2">
      <c r="A115" s="59" t="s">
        <v>179</v>
      </c>
      <c r="B115" s="33" t="s">
        <v>180</v>
      </c>
      <c r="C115" s="34">
        <f>[18]С4!F27</f>
        <v>1291.2863994686898</v>
      </c>
    </row>
    <row r="116" spans="1:3" ht="25.5" x14ac:dyDescent="0.2">
      <c r="A116" s="59" t="s">
        <v>181</v>
      </c>
      <c r="B116" s="53" t="s">
        <v>182</v>
      </c>
      <c r="C116" s="34">
        <f>[18]С4!F28</f>
        <v>991.77142816335618</v>
      </c>
    </row>
    <row r="117" spans="1:3" ht="42.75" x14ac:dyDescent="0.2">
      <c r="A117" s="59" t="s">
        <v>183</v>
      </c>
      <c r="B117" s="53" t="s">
        <v>184</v>
      </c>
      <c r="C117" s="34">
        <f>[18]С4!F29</f>
        <v>299.51497130533357</v>
      </c>
    </row>
    <row r="118" spans="1:3" ht="30" x14ac:dyDescent="0.2">
      <c r="A118" s="59" t="s">
        <v>185</v>
      </c>
      <c r="B118" s="39" t="s">
        <v>186</v>
      </c>
      <c r="C118" s="34">
        <f>[18]С4!F30</f>
        <v>1824.1159128452543</v>
      </c>
    </row>
    <row r="119" spans="1:3" ht="42.75" x14ac:dyDescent="0.2">
      <c r="A119" s="59" t="s">
        <v>187</v>
      </c>
      <c r="B119" s="86" t="s">
        <v>188</v>
      </c>
      <c r="C119" s="34">
        <f>[18]С4!F33</f>
        <v>1102.0361645056007</v>
      </c>
    </row>
    <row r="120" spans="1:3" ht="30" x14ac:dyDescent="0.2">
      <c r="A120" s="59" t="s">
        <v>189</v>
      </c>
      <c r="B120" s="87" t="s">
        <v>190</v>
      </c>
      <c r="C120" s="34">
        <f>[18]С4!F35</f>
        <v>17.040680999999999</v>
      </c>
    </row>
    <row r="121" spans="1:3" ht="14.25" x14ac:dyDescent="0.2">
      <c r="A121" s="59" t="s">
        <v>191</v>
      </c>
      <c r="B121" s="56" t="s">
        <v>192</v>
      </c>
      <c r="C121" s="34">
        <f>[18]С4!F36</f>
        <v>14319.9</v>
      </c>
    </row>
    <row r="122" spans="1:3" ht="28.5" thickBot="1" x14ac:dyDescent="0.25">
      <c r="A122" s="72" t="s">
        <v>193</v>
      </c>
      <c r="B122" s="88" t="s">
        <v>194</v>
      </c>
      <c r="C122" s="83">
        <f>[18]С4!F37</f>
        <v>1.19</v>
      </c>
    </row>
    <row r="123" spans="1:3" s="89" customFormat="1" ht="13.5" thickBot="1" x14ac:dyDescent="0.25">
      <c r="A123" s="47"/>
      <c r="B123" s="75"/>
      <c r="C123" s="15"/>
    </row>
    <row r="124" spans="1:3" s="63" customFormat="1" ht="30" customHeight="1" x14ac:dyDescent="0.2">
      <c r="A124" s="76" t="s">
        <v>195</v>
      </c>
      <c r="B124" s="165" t="s">
        <v>196</v>
      </c>
      <c r="C124" s="165"/>
    </row>
    <row r="125" spans="1:3" ht="16.5" thickBot="1" x14ac:dyDescent="0.25">
      <c r="A125" s="27" t="s">
        <v>197</v>
      </c>
      <c r="B125" s="90" t="s">
        <v>198</v>
      </c>
      <c r="C125" s="83">
        <f>[18]С5!F17</f>
        <v>0.02</v>
      </c>
    </row>
    <row r="126" spans="1:3" s="89" customFormat="1" ht="13.5" thickBot="1" x14ac:dyDescent="0.25">
      <c r="A126" s="47"/>
      <c r="B126" s="75"/>
      <c r="C126" s="15"/>
    </row>
    <row r="127" spans="1:3" ht="42.75" customHeight="1" x14ac:dyDescent="0.2">
      <c r="A127" s="84" t="s">
        <v>199</v>
      </c>
      <c r="B127" s="166" t="s">
        <v>200</v>
      </c>
      <c r="C127" s="166"/>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[18]С2!F37</f>
        <v>20.818139999999996</v>
      </c>
    </row>
    <row r="136" spans="1:4" ht="14.25" x14ac:dyDescent="0.2">
      <c r="A136" s="59" t="s">
        <v>216</v>
      </c>
      <c r="B136" s="101" t="s">
        <v>217</v>
      </c>
      <c r="C136" s="34">
        <f>[18]С2!F38</f>
        <v>7</v>
      </c>
    </row>
    <row r="137" spans="1:4" ht="17.25" x14ac:dyDescent="0.2">
      <c r="A137" s="59" t="s">
        <v>218</v>
      </c>
      <c r="B137" s="101" t="s">
        <v>219</v>
      </c>
      <c r="C137" s="34">
        <f>[18]С2!F40</f>
        <v>0.97</v>
      </c>
    </row>
    <row r="138" spans="1:4" ht="15" thickBot="1" x14ac:dyDescent="0.25">
      <c r="A138" s="72" t="s">
        <v>220</v>
      </c>
      <c r="B138" s="102" t="s">
        <v>221</v>
      </c>
      <c r="C138" s="46">
        <f>[18]С2!F42</f>
        <v>0.35</v>
      </c>
    </row>
    <row r="139" spans="1:4" s="89" customFormat="1" ht="13.5" thickBot="1" x14ac:dyDescent="0.25">
      <c r="A139" s="47"/>
      <c r="B139" s="75"/>
      <c r="C139" s="15"/>
    </row>
    <row r="140" spans="1:4" ht="30" x14ac:dyDescent="0.2">
      <c r="A140" s="84" t="s">
        <v>222</v>
      </c>
      <c r="B140" s="103" t="s">
        <v>223</v>
      </c>
      <c r="C140" s="104">
        <f>[18]С2!F35</f>
        <v>1.4976266307379205</v>
      </c>
      <c r="D140" s="89"/>
    </row>
    <row r="141" spans="1:4" ht="22.7" customHeight="1" thickBot="1" x14ac:dyDescent="0.25">
      <c r="A141" s="72" t="s">
        <v>224</v>
      </c>
      <c r="B141" s="161" t="s">
        <v>225</v>
      </c>
      <c r="C141" s="161"/>
      <c r="D141" s="89"/>
    </row>
    <row r="142" spans="1:4" ht="13.5" thickBot="1" x14ac:dyDescent="0.25">
      <c r="A142" s="105"/>
      <c r="B142" s="106" t="s">
        <v>226</v>
      </c>
      <c r="C142" s="107"/>
      <c r="D142" s="89"/>
    </row>
    <row r="143" spans="1:4" x14ac:dyDescent="0.2">
      <c r="A143" s="105"/>
      <c r="B143" s="108">
        <v>2020</v>
      </c>
      <c r="C143" s="109">
        <f>[18]С2.5!$E$11</f>
        <v>-2.9000000000000026E-2</v>
      </c>
      <c r="D143" s="89"/>
    </row>
    <row r="144" spans="1:4" x14ac:dyDescent="0.2">
      <c r="A144" s="105"/>
      <c r="B144" s="110">
        <f>B143+1</f>
        <v>2021</v>
      </c>
      <c r="C144" s="111">
        <f>[18]С2.5!$F$11</f>
        <v>0.245</v>
      </c>
      <c r="D144" s="89"/>
    </row>
    <row r="145" spans="1:4" x14ac:dyDescent="0.2">
      <c r="A145" s="105"/>
      <c r="B145" s="110">
        <f t="shared" ref="B145:B208" si="0">B144+1</f>
        <v>2022</v>
      </c>
      <c r="C145" s="111">
        <f>[18]С2.5!$G$11</f>
        <v>0.114</v>
      </c>
      <c r="D145" s="89"/>
    </row>
    <row r="146" spans="1:4" ht="13.5" thickBot="1" x14ac:dyDescent="0.25">
      <c r="A146" s="105"/>
      <c r="B146" s="112">
        <f t="shared" si="0"/>
        <v>2023</v>
      </c>
      <c r="C146" s="113">
        <f>[18]С2.5!$H$11</f>
        <v>2.4E-2</v>
      </c>
      <c r="D146" s="89"/>
    </row>
    <row r="147" spans="1:4" x14ac:dyDescent="0.2">
      <c r="A147" s="105"/>
      <c r="B147" s="114">
        <f t="shared" si="0"/>
        <v>2024</v>
      </c>
      <c r="C147" s="115">
        <f>[18]С2.5!$I$11</f>
        <v>8.5999999999999993E-2</v>
      </c>
      <c r="D147" s="89"/>
    </row>
    <row r="148" spans="1:4" hidden="1" x14ac:dyDescent="0.2">
      <c r="A148" s="105"/>
      <c r="B148" s="110">
        <f t="shared" si="0"/>
        <v>2025</v>
      </c>
      <c r="C148" s="111">
        <f>[18]С2.5!$J$11</f>
        <v>0.21215960863291</v>
      </c>
      <c r="D148" s="89"/>
    </row>
    <row r="149" spans="1:4" hidden="1" x14ac:dyDescent="0.2">
      <c r="A149" s="105"/>
      <c r="B149" s="110">
        <f t="shared" si="0"/>
        <v>2026</v>
      </c>
      <c r="C149" s="111">
        <f>[18]С2.5!$K$11</f>
        <v>3.5813361771260002E-2</v>
      </c>
      <c r="D149" s="89"/>
    </row>
    <row r="150" spans="1:4" hidden="1" x14ac:dyDescent="0.2">
      <c r="A150" s="105"/>
      <c r="B150" s="110">
        <f t="shared" si="0"/>
        <v>2027</v>
      </c>
      <c r="C150" s="111">
        <f>[18]С2.5!$L$11</f>
        <v>3.2682303599220003E-2</v>
      </c>
      <c r="D150" s="89"/>
    </row>
    <row r="151" spans="1:4" hidden="1" x14ac:dyDescent="0.2">
      <c r="A151" s="105"/>
      <c r="B151" s="110">
        <f t="shared" si="0"/>
        <v>2028</v>
      </c>
      <c r="C151" s="111">
        <f>[18]С2.5!$M$11</f>
        <v>0</v>
      </c>
      <c r="D151" s="89"/>
    </row>
    <row r="152" spans="1:4" hidden="1" x14ac:dyDescent="0.2">
      <c r="A152" s="105"/>
      <c r="B152" s="110">
        <f t="shared" si="0"/>
        <v>2029</v>
      </c>
      <c r="C152" s="111">
        <f>[18]С2.5!$N$11</f>
        <v>0</v>
      </c>
      <c r="D152" s="89"/>
    </row>
    <row r="153" spans="1:4" hidden="1" x14ac:dyDescent="0.2">
      <c r="A153" s="105"/>
      <c r="B153" s="110">
        <f t="shared" si="0"/>
        <v>2030</v>
      </c>
      <c r="C153" s="111">
        <f>[18]С2.5!$O$11</f>
        <v>0</v>
      </c>
      <c r="D153" s="89"/>
    </row>
    <row r="154" spans="1:4" hidden="1" x14ac:dyDescent="0.2">
      <c r="A154" s="105"/>
      <c r="B154" s="110">
        <f t="shared" si="0"/>
        <v>2031</v>
      </c>
      <c r="C154" s="111">
        <f>[18]С2.5!$P$11</f>
        <v>0</v>
      </c>
      <c r="D154" s="89"/>
    </row>
    <row r="155" spans="1:4" hidden="1" x14ac:dyDescent="0.2">
      <c r="A155" s="89"/>
      <c r="B155" s="110">
        <f t="shared" si="0"/>
        <v>2032</v>
      </c>
      <c r="C155" s="111">
        <f>[18]С2.5!$Q$11</f>
        <v>0</v>
      </c>
      <c r="D155" s="89"/>
    </row>
    <row r="156" spans="1:4" hidden="1" x14ac:dyDescent="0.2">
      <c r="A156" s="89"/>
      <c r="B156" s="110">
        <f t="shared" si="0"/>
        <v>2033</v>
      </c>
      <c r="C156" s="111">
        <f>[18]С2.5!$R$11</f>
        <v>0</v>
      </c>
      <c r="D156" s="89"/>
    </row>
    <row r="157" spans="1:4" hidden="1" x14ac:dyDescent="0.2">
      <c r="B157" s="110">
        <f t="shared" si="0"/>
        <v>2034</v>
      </c>
      <c r="C157" s="111">
        <f>[18]С2.5!$S$11</f>
        <v>0</v>
      </c>
    </row>
    <row r="158" spans="1:4" hidden="1" x14ac:dyDescent="0.2">
      <c r="B158" s="110">
        <f t="shared" si="0"/>
        <v>2035</v>
      </c>
      <c r="C158" s="111">
        <f>[18]С2.5!$T$11</f>
        <v>0</v>
      </c>
    </row>
    <row r="159" spans="1:4" hidden="1" x14ac:dyDescent="0.2">
      <c r="B159" s="110">
        <f t="shared" si="0"/>
        <v>2036</v>
      </c>
      <c r="C159" s="111">
        <f>[18]С2.5!$U$11</f>
        <v>0</v>
      </c>
    </row>
    <row r="160" spans="1:4" hidden="1" x14ac:dyDescent="0.2">
      <c r="B160" s="110">
        <f t="shared" si="0"/>
        <v>2037</v>
      </c>
      <c r="C160" s="111">
        <f>[18]С2.5!$V$11</f>
        <v>0</v>
      </c>
    </row>
    <row r="161" spans="2:3" hidden="1" x14ac:dyDescent="0.2">
      <c r="B161" s="110">
        <f t="shared" si="0"/>
        <v>2038</v>
      </c>
      <c r="C161" s="111">
        <f>[18]С2.5!$W$11</f>
        <v>0</v>
      </c>
    </row>
    <row r="162" spans="2:3" hidden="1" x14ac:dyDescent="0.2">
      <c r="B162" s="110">
        <f t="shared" si="0"/>
        <v>2039</v>
      </c>
      <c r="C162" s="111">
        <f>[18]С2.5!$X$11</f>
        <v>0</v>
      </c>
    </row>
    <row r="163" spans="2:3" hidden="1" x14ac:dyDescent="0.2">
      <c r="B163" s="110">
        <f t="shared" si="0"/>
        <v>2040</v>
      </c>
      <c r="C163" s="111">
        <f>[18]С2.5!$Y$11</f>
        <v>0</v>
      </c>
    </row>
    <row r="164" spans="2:3" hidden="1" x14ac:dyDescent="0.2">
      <c r="B164" s="110">
        <f t="shared" si="0"/>
        <v>2041</v>
      </c>
      <c r="C164" s="111">
        <f>[18]С2.5!$Z$11</f>
        <v>0</v>
      </c>
    </row>
    <row r="165" spans="2:3" hidden="1" x14ac:dyDescent="0.2">
      <c r="B165" s="110">
        <f t="shared" si="0"/>
        <v>2042</v>
      </c>
      <c r="C165" s="111">
        <f>[18]С2.5!$AA$11</f>
        <v>0</v>
      </c>
    </row>
    <row r="166" spans="2:3" hidden="1" x14ac:dyDescent="0.2">
      <c r="B166" s="110">
        <f t="shared" si="0"/>
        <v>2043</v>
      </c>
      <c r="C166" s="111">
        <f>[18]С2.5!$AB$11</f>
        <v>0</v>
      </c>
    </row>
    <row r="167" spans="2:3" hidden="1" x14ac:dyDescent="0.2">
      <c r="B167" s="110">
        <f t="shared" si="0"/>
        <v>2044</v>
      </c>
      <c r="C167" s="111">
        <f>[18]С2.5!$AC$11</f>
        <v>0</v>
      </c>
    </row>
    <row r="168" spans="2:3" hidden="1" x14ac:dyDescent="0.2">
      <c r="B168" s="110">
        <f t="shared" si="0"/>
        <v>2045</v>
      </c>
      <c r="C168" s="111">
        <f>[18]С2.5!$AD$11</f>
        <v>0</v>
      </c>
    </row>
    <row r="169" spans="2:3" hidden="1" x14ac:dyDescent="0.2">
      <c r="B169" s="110">
        <f t="shared" si="0"/>
        <v>2046</v>
      </c>
      <c r="C169" s="111">
        <f>[18]С2.5!$AE$11</f>
        <v>0</v>
      </c>
    </row>
    <row r="170" spans="2:3" hidden="1" x14ac:dyDescent="0.2">
      <c r="B170" s="110">
        <f t="shared" si="0"/>
        <v>2047</v>
      </c>
      <c r="C170" s="111">
        <f>[18]С2.5!$AF$11</f>
        <v>0</v>
      </c>
    </row>
    <row r="171" spans="2:3" hidden="1" x14ac:dyDescent="0.2">
      <c r="B171" s="110">
        <f t="shared" si="0"/>
        <v>2048</v>
      </c>
      <c r="C171" s="111">
        <f>[18]С2.5!$AG$11</f>
        <v>0</v>
      </c>
    </row>
    <row r="172" spans="2:3" hidden="1" x14ac:dyDescent="0.2">
      <c r="B172" s="110">
        <f t="shared" si="0"/>
        <v>2049</v>
      </c>
      <c r="C172" s="111">
        <f>[18]С2.5!$AH$11</f>
        <v>0</v>
      </c>
    </row>
    <row r="173" spans="2:3" hidden="1" x14ac:dyDescent="0.2">
      <c r="B173" s="110">
        <f t="shared" si="0"/>
        <v>2050</v>
      </c>
      <c r="C173" s="111">
        <f>[18]С2.5!$AI$11</f>
        <v>0</v>
      </c>
    </row>
    <row r="174" spans="2:3" hidden="1" x14ac:dyDescent="0.2">
      <c r="B174" s="110">
        <f t="shared" si="0"/>
        <v>2051</v>
      </c>
      <c r="C174" s="111">
        <f>[18]С2.5!$AJ$11</f>
        <v>0</v>
      </c>
    </row>
    <row r="175" spans="2:3" hidden="1" x14ac:dyDescent="0.2">
      <c r="B175" s="110">
        <f t="shared" si="0"/>
        <v>2052</v>
      </c>
      <c r="C175" s="111">
        <f>[18]С2.5!$AK$11</f>
        <v>0</v>
      </c>
    </row>
    <row r="176" spans="2:3" hidden="1" x14ac:dyDescent="0.2">
      <c r="B176" s="110">
        <f t="shared" si="0"/>
        <v>2053</v>
      </c>
      <c r="C176" s="111">
        <f>[18]С2.5!$AL$11</f>
        <v>0</v>
      </c>
    </row>
    <row r="177" spans="2:3" hidden="1" x14ac:dyDescent="0.2">
      <c r="B177" s="110">
        <f t="shared" si="0"/>
        <v>2054</v>
      </c>
      <c r="C177" s="111">
        <f>[18]С2.5!$AM$11</f>
        <v>0</v>
      </c>
    </row>
    <row r="178" spans="2:3" hidden="1" x14ac:dyDescent="0.2">
      <c r="B178" s="110">
        <f t="shared" si="0"/>
        <v>2055</v>
      </c>
      <c r="C178" s="111">
        <f>[18]С2.5!$AN$11</f>
        <v>0</v>
      </c>
    </row>
    <row r="179" spans="2:3" hidden="1" x14ac:dyDescent="0.2">
      <c r="B179" s="110">
        <f t="shared" si="0"/>
        <v>2056</v>
      </c>
      <c r="C179" s="111">
        <f>[18]С2.5!$AO$11</f>
        <v>0</v>
      </c>
    </row>
    <row r="180" spans="2:3" hidden="1" x14ac:dyDescent="0.2">
      <c r="B180" s="110">
        <f t="shared" si="0"/>
        <v>2057</v>
      </c>
      <c r="C180" s="111">
        <f>[18]С2.5!$AP$11</f>
        <v>0</v>
      </c>
    </row>
    <row r="181" spans="2:3" hidden="1" x14ac:dyDescent="0.2">
      <c r="B181" s="110">
        <f t="shared" si="0"/>
        <v>2058</v>
      </c>
      <c r="C181" s="111">
        <f>[18]С2.5!$AQ$11</f>
        <v>0</v>
      </c>
    </row>
    <row r="182" spans="2:3" hidden="1" x14ac:dyDescent="0.2">
      <c r="B182" s="110">
        <f t="shared" si="0"/>
        <v>2059</v>
      </c>
      <c r="C182" s="111">
        <f>[18]С2.5!$AR$11</f>
        <v>0</v>
      </c>
    </row>
    <row r="183" spans="2:3" hidden="1" x14ac:dyDescent="0.2">
      <c r="B183" s="110">
        <f t="shared" si="0"/>
        <v>2060</v>
      </c>
      <c r="C183" s="111">
        <f>[18]С2.5!$AS$11</f>
        <v>0</v>
      </c>
    </row>
    <row r="184" spans="2:3" hidden="1" x14ac:dyDescent="0.2">
      <c r="B184" s="110">
        <f t="shared" si="0"/>
        <v>2061</v>
      </c>
      <c r="C184" s="111">
        <f>[18]С2.5!$AT$11</f>
        <v>0</v>
      </c>
    </row>
    <row r="185" spans="2:3" hidden="1" x14ac:dyDescent="0.2">
      <c r="B185" s="110">
        <f t="shared" si="0"/>
        <v>2062</v>
      </c>
      <c r="C185" s="111">
        <f>[18]С2.5!$AU$11</f>
        <v>0</v>
      </c>
    </row>
    <row r="186" spans="2:3" hidden="1" x14ac:dyDescent="0.2">
      <c r="B186" s="110">
        <f t="shared" si="0"/>
        <v>2063</v>
      </c>
      <c r="C186" s="111">
        <f>[18]С2.5!$AV$11</f>
        <v>0</v>
      </c>
    </row>
    <row r="187" spans="2:3" hidden="1" x14ac:dyDescent="0.2">
      <c r="B187" s="110">
        <f t="shared" si="0"/>
        <v>2064</v>
      </c>
      <c r="C187" s="111">
        <f>[18]С2.5!$AW$11</f>
        <v>0</v>
      </c>
    </row>
    <row r="188" spans="2:3" hidden="1" x14ac:dyDescent="0.2">
      <c r="B188" s="110">
        <f t="shared" si="0"/>
        <v>2065</v>
      </c>
      <c r="C188" s="111">
        <f>[18]С2.5!$AX$11</f>
        <v>0</v>
      </c>
    </row>
    <row r="189" spans="2:3" hidden="1" x14ac:dyDescent="0.2">
      <c r="B189" s="110">
        <f t="shared" si="0"/>
        <v>2066</v>
      </c>
      <c r="C189" s="111">
        <f>[18]С2.5!$AY$11</f>
        <v>0</v>
      </c>
    </row>
    <row r="190" spans="2:3" hidden="1" x14ac:dyDescent="0.2">
      <c r="B190" s="110">
        <f t="shared" si="0"/>
        <v>2067</v>
      </c>
      <c r="C190" s="111">
        <f>[18]С2.5!$AZ$11</f>
        <v>0</v>
      </c>
    </row>
    <row r="191" spans="2:3" hidden="1" x14ac:dyDescent="0.2">
      <c r="B191" s="110">
        <f t="shared" si="0"/>
        <v>2068</v>
      </c>
      <c r="C191" s="111">
        <f>[18]С2.5!$BA$11</f>
        <v>0</v>
      </c>
    </row>
    <row r="192" spans="2:3" hidden="1" x14ac:dyDescent="0.2">
      <c r="B192" s="110">
        <f t="shared" si="0"/>
        <v>2069</v>
      </c>
      <c r="C192" s="111">
        <f>[18]С2.5!$BB$11</f>
        <v>0</v>
      </c>
    </row>
    <row r="193" spans="2:3" hidden="1" x14ac:dyDescent="0.2">
      <c r="B193" s="110">
        <f t="shared" si="0"/>
        <v>2070</v>
      </c>
      <c r="C193" s="111">
        <f>[18]С2.5!$BC$11</f>
        <v>0</v>
      </c>
    </row>
    <row r="194" spans="2:3" hidden="1" x14ac:dyDescent="0.2">
      <c r="B194" s="110">
        <f t="shared" si="0"/>
        <v>2071</v>
      </c>
      <c r="C194" s="111">
        <f>[18]С2.5!$BD$11</f>
        <v>0</v>
      </c>
    </row>
    <row r="195" spans="2:3" hidden="1" x14ac:dyDescent="0.2">
      <c r="B195" s="110">
        <f t="shared" si="0"/>
        <v>2072</v>
      </c>
      <c r="C195" s="111">
        <f>[18]С2.5!$BE$11</f>
        <v>0</v>
      </c>
    </row>
    <row r="196" spans="2:3" hidden="1" x14ac:dyDescent="0.2">
      <c r="B196" s="110">
        <f t="shared" si="0"/>
        <v>2073</v>
      </c>
      <c r="C196" s="111">
        <f>[18]С2.5!$BF$11</f>
        <v>0</v>
      </c>
    </row>
    <row r="197" spans="2:3" hidden="1" x14ac:dyDescent="0.2">
      <c r="B197" s="110">
        <f t="shared" si="0"/>
        <v>2074</v>
      </c>
      <c r="C197" s="111">
        <f>[18]С2.5!$BG$11</f>
        <v>0</v>
      </c>
    </row>
    <row r="198" spans="2:3" hidden="1" x14ac:dyDescent="0.2">
      <c r="B198" s="110">
        <f t="shared" si="0"/>
        <v>2075</v>
      </c>
      <c r="C198" s="111">
        <f>[18]С2.5!$BH$11</f>
        <v>0</v>
      </c>
    </row>
    <row r="199" spans="2:3" hidden="1" x14ac:dyDescent="0.2">
      <c r="B199" s="110">
        <f t="shared" si="0"/>
        <v>2076</v>
      </c>
      <c r="C199" s="111">
        <f>[18]С2.5!$BI$11</f>
        <v>0</v>
      </c>
    </row>
    <row r="200" spans="2:3" hidden="1" x14ac:dyDescent="0.2">
      <c r="B200" s="110">
        <f t="shared" si="0"/>
        <v>2077</v>
      </c>
      <c r="C200" s="111">
        <f>[18]С2.5!$BJ$11</f>
        <v>0</v>
      </c>
    </row>
    <row r="201" spans="2:3" hidden="1" x14ac:dyDescent="0.2">
      <c r="B201" s="110">
        <f t="shared" si="0"/>
        <v>2078</v>
      </c>
      <c r="C201" s="111">
        <f>[18]С2.5!$BK$11</f>
        <v>0</v>
      </c>
    </row>
    <row r="202" spans="2:3" hidden="1" x14ac:dyDescent="0.2">
      <c r="B202" s="110">
        <f t="shared" si="0"/>
        <v>2079</v>
      </c>
      <c r="C202" s="111">
        <f>[18]С2.5!$BL$11</f>
        <v>0</v>
      </c>
    </row>
    <row r="203" spans="2:3" hidden="1" x14ac:dyDescent="0.2">
      <c r="B203" s="110">
        <f t="shared" si="0"/>
        <v>2080</v>
      </c>
      <c r="C203" s="111">
        <f>[18]С2.5!$BM$11</f>
        <v>0</v>
      </c>
    </row>
    <row r="204" spans="2:3" hidden="1" x14ac:dyDescent="0.2">
      <c r="B204" s="110">
        <f t="shared" si="0"/>
        <v>2081</v>
      </c>
      <c r="C204" s="111">
        <f>[18]С2.5!$BN$11</f>
        <v>0</v>
      </c>
    </row>
    <row r="205" spans="2:3" hidden="1" x14ac:dyDescent="0.2">
      <c r="B205" s="110">
        <f t="shared" si="0"/>
        <v>2082</v>
      </c>
      <c r="C205" s="111">
        <f>[18]С2.5!$BO$11</f>
        <v>0</v>
      </c>
    </row>
    <row r="206" spans="2:3" hidden="1" x14ac:dyDescent="0.2">
      <c r="B206" s="110">
        <f t="shared" si="0"/>
        <v>2083</v>
      </c>
      <c r="C206" s="111">
        <f>[18]С2.5!$BP$11</f>
        <v>0</v>
      </c>
    </row>
    <row r="207" spans="2:3" hidden="1" x14ac:dyDescent="0.2">
      <c r="B207" s="110">
        <f t="shared" si="0"/>
        <v>2084</v>
      </c>
      <c r="C207" s="111">
        <f>[18]С2.5!$BQ$11</f>
        <v>0</v>
      </c>
    </row>
    <row r="208" spans="2:3" hidden="1" x14ac:dyDescent="0.2">
      <c r="B208" s="110">
        <f t="shared" si="0"/>
        <v>2085</v>
      </c>
      <c r="C208" s="111">
        <f>[18]С2.5!$BR$11</f>
        <v>0</v>
      </c>
    </row>
    <row r="209" spans="2:3" hidden="1" x14ac:dyDescent="0.2">
      <c r="B209" s="110">
        <f t="shared" ref="B209:B223" si="1">B208+1</f>
        <v>2086</v>
      </c>
      <c r="C209" s="111">
        <f>[18]С2.5!$BS$11</f>
        <v>0</v>
      </c>
    </row>
    <row r="210" spans="2:3" hidden="1" x14ac:dyDescent="0.2">
      <c r="B210" s="110">
        <f t="shared" si="1"/>
        <v>2087</v>
      </c>
      <c r="C210" s="111">
        <f>[18]С2.5!$BT$11</f>
        <v>0</v>
      </c>
    </row>
    <row r="211" spans="2:3" hidden="1" x14ac:dyDescent="0.2">
      <c r="B211" s="110">
        <f t="shared" si="1"/>
        <v>2088</v>
      </c>
      <c r="C211" s="111">
        <f>[18]С2.5!$BU$11</f>
        <v>0</v>
      </c>
    </row>
    <row r="212" spans="2:3" hidden="1" x14ac:dyDescent="0.2">
      <c r="B212" s="110">
        <f t="shared" si="1"/>
        <v>2089</v>
      </c>
      <c r="C212" s="111">
        <f>[18]С2.5!$BV$11</f>
        <v>0</v>
      </c>
    </row>
    <row r="213" spans="2:3" hidden="1" x14ac:dyDescent="0.2">
      <c r="B213" s="110">
        <f t="shared" si="1"/>
        <v>2090</v>
      </c>
      <c r="C213" s="111">
        <f>[18]С2.5!$BW$11</f>
        <v>0</v>
      </c>
    </row>
    <row r="214" spans="2:3" hidden="1" x14ac:dyDescent="0.2">
      <c r="B214" s="110">
        <f t="shared" si="1"/>
        <v>2091</v>
      </c>
      <c r="C214" s="111">
        <f>[18]С2.5!$BX$11</f>
        <v>0</v>
      </c>
    </row>
    <row r="215" spans="2:3" hidden="1" x14ac:dyDescent="0.2">
      <c r="B215" s="110">
        <f t="shared" si="1"/>
        <v>2092</v>
      </c>
      <c r="C215" s="111">
        <f>[18]С2.5!$BY$11</f>
        <v>0</v>
      </c>
    </row>
    <row r="216" spans="2:3" hidden="1" x14ac:dyDescent="0.2">
      <c r="B216" s="110">
        <f t="shared" si="1"/>
        <v>2093</v>
      </c>
      <c r="C216" s="111">
        <f>[18]С2.5!$BZ$11</f>
        <v>0</v>
      </c>
    </row>
    <row r="217" spans="2:3" hidden="1" x14ac:dyDescent="0.2">
      <c r="B217" s="110">
        <f t="shared" si="1"/>
        <v>2094</v>
      </c>
      <c r="C217" s="111">
        <f>[18]С2.5!$CA$11</f>
        <v>0</v>
      </c>
    </row>
    <row r="218" spans="2:3" hidden="1" x14ac:dyDescent="0.2">
      <c r="B218" s="110">
        <f t="shared" si="1"/>
        <v>2095</v>
      </c>
      <c r="C218" s="111">
        <f>[18]С2.5!$CB$11</f>
        <v>0</v>
      </c>
    </row>
    <row r="219" spans="2:3" hidden="1" x14ac:dyDescent="0.2">
      <c r="B219" s="110">
        <f t="shared" si="1"/>
        <v>2096</v>
      </c>
      <c r="C219" s="111">
        <f>[18]С2.5!$CC$11</f>
        <v>0</v>
      </c>
    </row>
    <row r="220" spans="2:3" hidden="1" x14ac:dyDescent="0.2">
      <c r="B220" s="110">
        <f t="shared" si="1"/>
        <v>2097</v>
      </c>
      <c r="C220" s="111">
        <f>[18]С2.5!$CD$11</f>
        <v>0</v>
      </c>
    </row>
    <row r="221" spans="2:3" hidden="1" x14ac:dyDescent="0.2">
      <c r="B221" s="110">
        <f t="shared" si="1"/>
        <v>2098</v>
      </c>
      <c r="C221" s="111">
        <f>[18]С2.5!$CE$11</f>
        <v>0</v>
      </c>
    </row>
    <row r="222" spans="2:3" hidden="1" x14ac:dyDescent="0.2">
      <c r="B222" s="110">
        <f t="shared" si="1"/>
        <v>2099</v>
      </c>
      <c r="C222" s="111">
        <f>[18]С2.5!$CF$11</f>
        <v>0</v>
      </c>
    </row>
    <row r="223" spans="2:3" ht="13.5" hidden="1" thickBot="1" x14ac:dyDescent="0.25">
      <c r="B223" s="112">
        <f t="shared" si="1"/>
        <v>2100</v>
      </c>
      <c r="C223" s="113">
        <f>[18]С2.5!$CG$11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37" r:id="rId3" name="Button 1">
              <controlPr defaultSize="0" print="0" autoFill="0" autoPict="0" macro="[8]!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14338" r:id="rId4" name="Button 2">
              <controlPr defaultSize="0" print="0" autoFill="0" autoPict="0" macro="[18]!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7.28515625" style="2" customWidth="1"/>
    <col min="2" max="2" width="100.7109375" style="2" customWidth="1"/>
    <col min="3" max="3" width="20.85546875" style="139" customWidth="1"/>
    <col min="4" max="4" width="5.140625" style="2" customWidth="1"/>
    <col min="5" max="5" width="17.5703125" style="2" customWidth="1"/>
    <col min="6" max="158" width="9.140625" style="2"/>
    <col min="159" max="240" width="0" style="2" hidden="1" customWidth="1"/>
    <col min="241" max="249" width="9.140625" style="2"/>
    <col min="250" max="250" width="3.710937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710937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710937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710937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710937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710937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710937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710937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710937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710937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710937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710937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710937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710937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710937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710937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710937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710937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710937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710937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710937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710937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710937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710937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710937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710937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710937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710937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710937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710937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710937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710937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710937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710937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710937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710937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710937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710937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710937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710937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710937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710937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710937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710937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710937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710937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710937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710937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710937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710937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710937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710937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710937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710937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710937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710937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710937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710937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710937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710937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710937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710937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710937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3"/>
      <c r="B1" s="163" t="s">
        <v>227</v>
      </c>
      <c r="C1" s="163"/>
    </row>
    <row r="2" spans="1:3" x14ac:dyDescent="0.2">
      <c r="A2" s="3"/>
      <c r="B2" s="4" t="s">
        <v>1</v>
      </c>
      <c r="C2" s="5">
        <v>45317</v>
      </c>
    </row>
    <row r="3" spans="1:3" x14ac:dyDescent="0.2">
      <c r="A3" s="3"/>
      <c r="B3" s="117" t="s">
        <v>2</v>
      </c>
      <c r="C3" s="7"/>
    </row>
    <row r="4" spans="1:3" ht="25.5" x14ac:dyDescent="0.2">
      <c r="A4" s="8"/>
      <c r="B4" s="9" t="str">
        <f>[19]И1!D13</f>
        <v>Субъект Российской Федерации</v>
      </c>
      <c r="C4" s="10" t="str">
        <f>[19]И1!E13</f>
        <v>Новосибирская область</v>
      </c>
    </row>
    <row r="5" spans="1:3" ht="48.6" customHeight="1" x14ac:dyDescent="0.2">
      <c r="A5" s="8"/>
      <c r="B5" s="9" t="str">
        <f>[19]И1!D14</f>
        <v>Тип муниципального образования (выберите из списка)</v>
      </c>
      <c r="C5" s="10" t="str">
        <f>[19]И1!E14</f>
        <v xml:space="preserve">село Тальменка, Искитимский муниципальный район </v>
      </c>
    </row>
    <row r="6" spans="1:3" x14ac:dyDescent="0.2">
      <c r="A6" s="8"/>
      <c r="B6" s="9" t="str">
        <f>IF([19]И1!E15="","",[19]И1!D15)</f>
        <v/>
      </c>
      <c r="C6" s="7" t="str">
        <f>IF([19]И1!E15="","",[19]И1!E15)</f>
        <v/>
      </c>
    </row>
    <row r="7" spans="1:3" x14ac:dyDescent="0.2">
      <c r="A7" s="8"/>
      <c r="B7" s="9" t="str">
        <f>[19]И1!D16</f>
        <v>Код ОКТМО</v>
      </c>
      <c r="C7" s="11" t="str">
        <f>[19]И1!E16</f>
        <v>(50615428101)</v>
      </c>
    </row>
    <row r="8" spans="1:3" x14ac:dyDescent="0.2">
      <c r="A8" s="8"/>
      <c r="B8" s="12" t="str">
        <f>[19]И1!D17</f>
        <v>Система теплоснабжения</v>
      </c>
      <c r="C8" s="13">
        <f>[19]И1!E17</f>
        <v>0</v>
      </c>
    </row>
    <row r="9" spans="1:3" x14ac:dyDescent="0.2">
      <c r="A9" s="8"/>
      <c r="B9" s="9" t="str">
        <f>[19]И1!D8</f>
        <v>Период регулирования (i)-й</v>
      </c>
      <c r="C9" s="14">
        <f>[19]И1!E8</f>
        <v>2024</v>
      </c>
    </row>
    <row r="10" spans="1:3" x14ac:dyDescent="0.2">
      <c r="A10" s="8"/>
      <c r="B10" s="9" t="str">
        <f>[19]И1!D9</f>
        <v>Период регулирования (i-1)-й</v>
      </c>
      <c r="C10" s="14">
        <f>[19]И1!E9</f>
        <v>2023</v>
      </c>
    </row>
    <row r="11" spans="1:3" x14ac:dyDescent="0.2">
      <c r="A11" s="8"/>
      <c r="B11" s="9" t="str">
        <f>[19]И1!D10</f>
        <v>Период регулирования (i-2)-й</v>
      </c>
      <c r="C11" s="14">
        <f>[19]И1!E10</f>
        <v>2022</v>
      </c>
    </row>
    <row r="12" spans="1:3" x14ac:dyDescent="0.2">
      <c r="A12" s="8"/>
      <c r="B12" s="9" t="str">
        <f>[19]И1!D11</f>
        <v>Базовый год (б)</v>
      </c>
      <c r="C12" s="14">
        <f>[19]И1!E11</f>
        <v>2019</v>
      </c>
    </row>
    <row r="13" spans="1:3" x14ac:dyDescent="0.2">
      <c r="A13" s="8"/>
      <c r="B13" s="9" t="str">
        <f>[19]И1!D18</f>
        <v>Вид топлива, использование которого преобладает в системе теплоснабжения</v>
      </c>
      <c r="C13" s="15" t="str">
        <f>[19]И1!E18</f>
        <v>Газ</v>
      </c>
    </row>
    <row r="14" spans="1:3" ht="26.25" customHeight="1" thickBot="1" x14ac:dyDescent="0.25">
      <c r="A14" s="167" t="s">
        <v>3</v>
      </c>
      <c r="B14" s="167"/>
      <c r="C14" s="167"/>
    </row>
    <row r="15" spans="1:3" x14ac:dyDescent="0.2">
      <c r="A15" s="16" t="s">
        <v>4</v>
      </c>
      <c r="B15" s="30" t="s">
        <v>5</v>
      </c>
      <c r="C15" s="118" t="s">
        <v>6</v>
      </c>
    </row>
    <row r="16" spans="1:3" x14ac:dyDescent="0.2">
      <c r="A16" s="19">
        <v>1</v>
      </c>
      <c r="B16" s="119">
        <v>2</v>
      </c>
      <c r="C16" s="120">
        <v>3</v>
      </c>
    </row>
    <row r="17" spans="1:3" x14ac:dyDescent="0.2">
      <c r="A17" s="22">
        <v>1</v>
      </c>
      <c r="B17" s="23" t="s">
        <v>7</v>
      </c>
      <c r="C17" s="24">
        <f>SUM(C18:C23)</f>
        <v>2939.204068798766</v>
      </c>
    </row>
    <row r="18" spans="1:3" ht="42.75" x14ac:dyDescent="0.2">
      <c r="A18" s="22" t="s">
        <v>8</v>
      </c>
      <c r="B18" s="25" t="s">
        <v>9</v>
      </c>
      <c r="C18" s="26">
        <f>[19]С1!F12</f>
        <v>994.35037159416254</v>
      </c>
    </row>
    <row r="19" spans="1:3" ht="42.75" x14ac:dyDescent="0.2">
      <c r="A19" s="22" t="s">
        <v>10</v>
      </c>
      <c r="B19" s="25" t="s">
        <v>11</v>
      </c>
      <c r="C19" s="26">
        <f>[19]С2!F12</f>
        <v>1338.5714783459885</v>
      </c>
    </row>
    <row r="20" spans="1:3" ht="30" x14ac:dyDescent="0.2">
      <c r="A20" s="22" t="s">
        <v>12</v>
      </c>
      <c r="B20" s="25" t="s">
        <v>13</v>
      </c>
      <c r="C20" s="26">
        <f>[19]С3!F12</f>
        <v>317.98065232680995</v>
      </c>
    </row>
    <row r="21" spans="1:3" ht="42.75" x14ac:dyDescent="0.2">
      <c r="A21" s="22" t="s">
        <v>14</v>
      </c>
      <c r="B21" s="25" t="s">
        <v>228</v>
      </c>
      <c r="C21" s="26">
        <f>[19]С4!F12</f>
        <v>230.67011420241766</v>
      </c>
    </row>
    <row r="22" spans="1:3" ht="33" customHeight="1" x14ac:dyDescent="0.2">
      <c r="A22" s="22" t="s">
        <v>16</v>
      </c>
      <c r="B22" s="25" t="s">
        <v>229</v>
      </c>
      <c r="C22" s="26">
        <f>[19]С5!F12</f>
        <v>57.631452329387571</v>
      </c>
    </row>
    <row r="23" spans="1:3" ht="45.75" customHeight="1" thickBot="1" x14ac:dyDescent="0.25">
      <c r="A23" s="27" t="s">
        <v>18</v>
      </c>
      <c r="B23" s="140" t="s">
        <v>230</v>
      </c>
      <c r="C23" s="28">
        <f>[19]С6!F12</f>
        <v>0</v>
      </c>
    </row>
    <row r="24" spans="1:3" ht="13.5" thickBot="1" x14ac:dyDescent="0.25">
      <c r="A24" s="3"/>
      <c r="C24" s="7"/>
    </row>
    <row r="25" spans="1:3" x14ac:dyDescent="0.2">
      <c r="A25" s="16" t="s">
        <v>4</v>
      </c>
      <c r="B25" s="29" t="s">
        <v>5</v>
      </c>
      <c r="C25" s="30" t="s">
        <v>6</v>
      </c>
    </row>
    <row r="26" spans="1:3" x14ac:dyDescent="0.2">
      <c r="A26" s="19">
        <v>1</v>
      </c>
      <c r="B26" s="31">
        <v>2</v>
      </c>
      <c r="C26" s="32">
        <v>3</v>
      </c>
    </row>
    <row r="27" spans="1:3" ht="30" customHeight="1" x14ac:dyDescent="0.2">
      <c r="A27" s="22">
        <v>1</v>
      </c>
      <c r="B27" s="164" t="s">
        <v>20</v>
      </c>
      <c r="C27" s="164"/>
    </row>
    <row r="28" spans="1:3" x14ac:dyDescent="0.2">
      <c r="A28" s="22" t="s">
        <v>8</v>
      </c>
      <c r="B28" s="33" t="s">
        <v>231</v>
      </c>
      <c r="C28" s="34">
        <f>[19]С1.1!E16</f>
        <v>7900</v>
      </c>
    </row>
    <row r="29" spans="1:3" ht="42.75" x14ac:dyDescent="0.2">
      <c r="A29" s="22" t="s">
        <v>10</v>
      </c>
      <c r="B29" s="33" t="s">
        <v>232</v>
      </c>
      <c r="C29" s="34">
        <f>[19]С1.1!E32</f>
        <v>5751.37</v>
      </c>
    </row>
    <row r="30" spans="1:3" ht="38.25" x14ac:dyDescent="0.2">
      <c r="A30" s="22" t="s">
        <v>233</v>
      </c>
      <c r="B30" s="33" t="s">
        <v>234</v>
      </c>
      <c r="C30" s="85" t="str">
        <f>[19]С1.1!E25</f>
        <v>ООО "Газпром газораспределение Томск"</v>
      </c>
    </row>
    <row r="31" spans="1:3" ht="38.25" x14ac:dyDescent="0.2">
      <c r="A31" s="22" t="s">
        <v>235</v>
      </c>
      <c r="B31" s="33" t="str">
        <f>[19]С1.1!D26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4">
        <f>[19]С1.1!E26</f>
        <v>4699.5</v>
      </c>
    </row>
    <row r="32" spans="1:3" ht="25.5" x14ac:dyDescent="0.2">
      <c r="A32" s="22" t="s">
        <v>236</v>
      </c>
      <c r="B32" s="33" t="str">
        <f>[19]С1.1!D27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4">
        <f>[19]С1.1!E27</f>
        <v>795.43</v>
      </c>
    </row>
    <row r="33" spans="1:3" ht="25.5" x14ac:dyDescent="0.2">
      <c r="A33" s="22" t="s">
        <v>237</v>
      </c>
      <c r="B33" s="33" t="str">
        <f>[19]С1.1!D28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4">
        <f>[19]С1.1!E28</f>
        <v>136.54</v>
      </c>
    </row>
    <row r="34" spans="1:3" ht="38.25" x14ac:dyDescent="0.2">
      <c r="A34" s="22" t="s">
        <v>238</v>
      </c>
      <c r="B34" s="33" t="str">
        <f>[19]С1.1!D29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4">
        <f>[19]С1.1!E29</f>
        <v>119.9</v>
      </c>
    </row>
    <row r="35" spans="1:3" ht="17.25" x14ac:dyDescent="0.2">
      <c r="A35" s="22" t="s">
        <v>12</v>
      </c>
      <c r="B35" s="33" t="s">
        <v>23</v>
      </c>
      <c r="C35" s="35">
        <f>[19]С1.1!E20</f>
        <v>8.5000000000000006E-2</v>
      </c>
    </row>
    <row r="36" spans="1:3" ht="17.25" x14ac:dyDescent="0.2">
      <c r="A36" s="22" t="s">
        <v>14</v>
      </c>
      <c r="B36" s="33" t="s">
        <v>24</v>
      </c>
      <c r="C36" s="35">
        <f>[19]С1.1!E21</f>
        <v>0.112</v>
      </c>
    </row>
    <row r="37" spans="1:3" ht="30" x14ac:dyDescent="0.2">
      <c r="A37" s="22" t="s">
        <v>16</v>
      </c>
      <c r="B37" s="36" t="s">
        <v>239</v>
      </c>
      <c r="C37" s="121">
        <f>[19]С1!F13</f>
        <v>156.1</v>
      </c>
    </row>
    <row r="38" spans="1:3" x14ac:dyDescent="0.2">
      <c r="A38" s="22" t="s">
        <v>18</v>
      </c>
      <c r="B38" s="36" t="s">
        <v>26</v>
      </c>
      <c r="C38" s="38">
        <f>[19]С1!F16</f>
        <v>7000</v>
      </c>
    </row>
    <row r="39" spans="1:3" ht="14.25" x14ac:dyDescent="0.2">
      <c r="A39" s="122" t="s">
        <v>27</v>
      </c>
      <c r="B39" s="39" t="s">
        <v>240</v>
      </c>
      <c r="C39" s="40">
        <f>[19]С1!F17</f>
        <v>1.1285714285714286</v>
      </c>
    </row>
    <row r="40" spans="1:3" ht="15.75" x14ac:dyDescent="0.2">
      <c r="A40" s="123" t="s">
        <v>29</v>
      </c>
      <c r="B40" s="42" t="s">
        <v>30</v>
      </c>
      <c r="C40" s="40">
        <f>[19]С1!F20</f>
        <v>22.307053372799995</v>
      </c>
    </row>
    <row r="41" spans="1:3" ht="15.75" x14ac:dyDescent="0.2">
      <c r="A41" s="123" t="s">
        <v>31</v>
      </c>
      <c r="B41" s="43" t="s">
        <v>32</v>
      </c>
      <c r="C41" s="40">
        <f>[19]С1!F21</f>
        <v>21.531904799999996</v>
      </c>
    </row>
    <row r="42" spans="1:3" ht="14.25" x14ac:dyDescent="0.2">
      <c r="A42" s="123" t="s">
        <v>33</v>
      </c>
      <c r="B42" s="44" t="s">
        <v>34</v>
      </c>
      <c r="C42" s="40">
        <f>[19]С1!F22</f>
        <v>1.036</v>
      </c>
    </row>
    <row r="43" spans="1:3" ht="53.25" thickBot="1" x14ac:dyDescent="0.25">
      <c r="A43" s="27" t="s">
        <v>35</v>
      </c>
      <c r="B43" s="45" t="s">
        <v>36</v>
      </c>
      <c r="C43" s="46" t="str">
        <f>[19]С1!F23</f>
        <v>-</v>
      </c>
    </row>
    <row r="44" spans="1:3" ht="13.5" thickBot="1" x14ac:dyDescent="0.25">
      <c r="A44" s="47"/>
      <c r="B44" s="75"/>
      <c r="C44" s="15"/>
    </row>
    <row r="45" spans="1:3" ht="30" customHeight="1" x14ac:dyDescent="0.2">
      <c r="A45" s="50" t="s">
        <v>37</v>
      </c>
      <c r="B45" s="165" t="s">
        <v>38</v>
      </c>
      <c r="C45" s="165"/>
    </row>
    <row r="46" spans="1:3" ht="25.5" x14ac:dyDescent="0.2">
      <c r="A46" s="22" t="s">
        <v>39</v>
      </c>
      <c r="B46" s="36" t="s">
        <v>40</v>
      </c>
      <c r="C46" s="51" t="str">
        <f>[19]С2.1!E12</f>
        <v>V</v>
      </c>
    </row>
    <row r="47" spans="1:3" ht="25.5" x14ac:dyDescent="0.2">
      <c r="A47" s="22" t="s">
        <v>41</v>
      </c>
      <c r="B47" s="33" t="s">
        <v>42</v>
      </c>
      <c r="C47" s="51" t="str">
        <f>[19]С2.1!E13</f>
        <v>6 и менее баллов</v>
      </c>
    </row>
    <row r="48" spans="1:3" ht="25.5" x14ac:dyDescent="0.2">
      <c r="A48" s="22" t="s">
        <v>43</v>
      </c>
      <c r="B48" s="33" t="s">
        <v>241</v>
      </c>
      <c r="C48" s="51" t="str">
        <f>[19]С2.1!E14</f>
        <v>от 200 до 500</v>
      </c>
    </row>
    <row r="49" spans="1:3" ht="25.5" x14ac:dyDescent="0.2">
      <c r="A49" s="22" t="s">
        <v>45</v>
      </c>
      <c r="B49" s="33" t="s">
        <v>242</v>
      </c>
      <c r="C49" s="52" t="str">
        <f>[19]С2.1!E15</f>
        <v>нет</v>
      </c>
    </row>
    <row r="50" spans="1:3" ht="30" x14ac:dyDescent="0.2">
      <c r="A50" s="22" t="s">
        <v>47</v>
      </c>
      <c r="B50" s="33" t="s">
        <v>48</v>
      </c>
      <c r="C50" s="34">
        <f>[19]С2!F18</f>
        <v>35106.652004551666</v>
      </c>
    </row>
    <row r="51" spans="1:3" ht="30" x14ac:dyDescent="0.2">
      <c r="A51" s="22" t="s">
        <v>49</v>
      </c>
      <c r="B51" s="53" t="s">
        <v>50</v>
      </c>
      <c r="C51" s="34">
        <f>IF([19]С2!F19&gt;0,[19]С2!F19,[19]С2!F20)</f>
        <v>23441.524932855718</v>
      </c>
    </row>
    <row r="52" spans="1:3" ht="25.5" x14ac:dyDescent="0.2">
      <c r="A52" s="22" t="s">
        <v>51</v>
      </c>
      <c r="B52" s="54" t="s">
        <v>52</v>
      </c>
      <c r="C52" s="34">
        <f>[19]С2.1!E20</f>
        <v>-38</v>
      </c>
    </row>
    <row r="53" spans="1:3" ht="25.5" x14ac:dyDescent="0.2">
      <c r="A53" s="22" t="s">
        <v>53</v>
      </c>
      <c r="B53" s="54" t="s">
        <v>54</v>
      </c>
      <c r="C53" s="34" t="str">
        <f>[19]С2.1!E23</f>
        <v>нет</v>
      </c>
    </row>
    <row r="54" spans="1:3" ht="38.25" x14ac:dyDescent="0.2">
      <c r="A54" s="22" t="s">
        <v>55</v>
      </c>
      <c r="B54" s="55" t="s">
        <v>56</v>
      </c>
      <c r="C54" s="34">
        <f>[19]С2.2!E10</f>
        <v>1287</v>
      </c>
    </row>
    <row r="55" spans="1:3" ht="25.5" x14ac:dyDescent="0.2">
      <c r="A55" s="22" t="s">
        <v>57</v>
      </c>
      <c r="B55" s="56" t="s">
        <v>58</v>
      </c>
      <c r="C55" s="34">
        <f>[19]С2.2!E12</f>
        <v>5.97</v>
      </c>
    </row>
    <row r="56" spans="1:3" ht="52.5" x14ac:dyDescent="0.2">
      <c r="A56" s="22" t="s">
        <v>59</v>
      </c>
      <c r="B56" s="57" t="s">
        <v>60</v>
      </c>
      <c r="C56" s="34">
        <f>[19]С2.2!E13</f>
        <v>1</v>
      </c>
    </row>
    <row r="57" spans="1:3" ht="27.75" x14ac:dyDescent="0.2">
      <c r="A57" s="22" t="s">
        <v>61</v>
      </c>
      <c r="B57" s="56" t="s">
        <v>62</v>
      </c>
      <c r="C57" s="34">
        <f>[19]С2.2!E14</f>
        <v>12104</v>
      </c>
    </row>
    <row r="58" spans="1:3" ht="25.5" x14ac:dyDescent="0.2">
      <c r="A58" s="22" t="s">
        <v>63</v>
      </c>
      <c r="B58" s="57" t="s">
        <v>64</v>
      </c>
      <c r="C58" s="35">
        <f>[19]С2.2!E15</f>
        <v>4.8000000000000001E-2</v>
      </c>
    </row>
    <row r="59" spans="1:3" x14ac:dyDescent="0.2">
      <c r="A59" s="22" t="s">
        <v>65</v>
      </c>
      <c r="B59" s="57" t="s">
        <v>66</v>
      </c>
      <c r="C59" s="124">
        <f>[19]С2.2!E16</f>
        <v>1</v>
      </c>
    </row>
    <row r="60" spans="1:3" ht="15.75" x14ac:dyDescent="0.2">
      <c r="A60" s="22" t="s">
        <v>67</v>
      </c>
      <c r="B60" s="58" t="s">
        <v>68</v>
      </c>
      <c r="C60" s="34">
        <f>[19]С2!F21</f>
        <v>1</v>
      </c>
    </row>
    <row r="61" spans="1:3" ht="30" x14ac:dyDescent="0.2">
      <c r="A61" s="59" t="s">
        <v>69</v>
      </c>
      <c r="B61" s="33" t="s">
        <v>243</v>
      </c>
      <c r="C61" s="34">
        <f>[19]С2!F13</f>
        <v>105136.23090983224</v>
      </c>
    </row>
    <row r="62" spans="1:3" ht="30" x14ac:dyDescent="0.2">
      <c r="A62" s="59" t="s">
        <v>71</v>
      </c>
      <c r="B62" s="60" t="s">
        <v>244</v>
      </c>
      <c r="C62" s="34">
        <f>[19]С2!F14</f>
        <v>64899</v>
      </c>
    </row>
    <row r="63" spans="1:3" ht="15.75" x14ac:dyDescent="0.2">
      <c r="A63" s="59" t="s">
        <v>73</v>
      </c>
      <c r="B63" s="60" t="s">
        <v>74</v>
      </c>
      <c r="C63" s="40">
        <f>[19]С2!F15</f>
        <v>1.071</v>
      </c>
    </row>
    <row r="64" spans="1:3" ht="15.75" x14ac:dyDescent="0.2">
      <c r="A64" s="59" t="s">
        <v>75</v>
      </c>
      <c r="B64" s="60" t="s">
        <v>76</v>
      </c>
      <c r="C64" s="125">
        <f>[19]С2!F16</f>
        <v>1</v>
      </c>
    </row>
    <row r="65" spans="1:3" ht="17.25" x14ac:dyDescent="0.2">
      <c r="A65" s="59" t="s">
        <v>77</v>
      </c>
      <c r="B65" s="60" t="s">
        <v>78</v>
      </c>
      <c r="C65" s="126">
        <f>[19]С2!F17</f>
        <v>1.01</v>
      </c>
    </row>
    <row r="66" spans="1:3" s="63" customFormat="1" ht="14.25" x14ac:dyDescent="0.2">
      <c r="A66" s="59" t="s">
        <v>79</v>
      </c>
      <c r="B66" s="61" t="s">
        <v>80</v>
      </c>
      <c r="C66" s="62">
        <f>[19]С2!F35</f>
        <v>10</v>
      </c>
    </row>
    <row r="67" spans="1:3" ht="30" x14ac:dyDescent="0.2">
      <c r="A67" s="59" t="s">
        <v>81</v>
      </c>
      <c r="B67" s="64" t="s">
        <v>82</v>
      </c>
      <c r="C67" s="34">
        <f>[19]С2!F28</f>
        <v>331.04604307653443</v>
      </c>
    </row>
    <row r="68" spans="1:3" ht="17.25" x14ac:dyDescent="0.2">
      <c r="A68" s="59" t="s">
        <v>83</v>
      </c>
      <c r="B68" s="53" t="s">
        <v>245</v>
      </c>
      <c r="C68" s="40">
        <f>[19]С2!F29</f>
        <v>0.44209422600000003</v>
      </c>
    </row>
    <row r="69" spans="1:3" ht="17.25" x14ac:dyDescent="0.2">
      <c r="A69" s="59" t="s">
        <v>85</v>
      </c>
      <c r="B69" s="58" t="s">
        <v>246</v>
      </c>
      <c r="C69" s="62">
        <f>[19]С2!F30</f>
        <v>500</v>
      </c>
    </row>
    <row r="70" spans="1:3" ht="42.75" x14ac:dyDescent="0.2">
      <c r="A70" s="59" t="s">
        <v>87</v>
      </c>
      <c r="B70" s="33" t="s">
        <v>247</v>
      </c>
      <c r="C70" s="34">
        <f>[19]С2!F22</f>
        <v>39638.324046481182</v>
      </c>
    </row>
    <row r="71" spans="1:3" ht="30" x14ac:dyDescent="0.2">
      <c r="A71" s="59" t="s">
        <v>89</v>
      </c>
      <c r="B71" s="60" t="s">
        <v>248</v>
      </c>
      <c r="C71" s="34">
        <f>[19]С2!F23</f>
        <v>21</v>
      </c>
    </row>
    <row r="72" spans="1:3" ht="30" x14ac:dyDescent="0.2">
      <c r="A72" s="59" t="s">
        <v>91</v>
      </c>
      <c r="B72" s="53" t="s">
        <v>92</v>
      </c>
      <c r="C72" s="34">
        <f>[19]С2.1!E28</f>
        <v>14036.09995</v>
      </c>
    </row>
    <row r="73" spans="1:3" ht="38.25" x14ac:dyDescent="0.2">
      <c r="A73" s="59" t="s">
        <v>93</v>
      </c>
      <c r="B73" s="65" t="s">
        <v>94</v>
      </c>
      <c r="C73" s="52">
        <f>[19]С2.3!E21</f>
        <v>0</v>
      </c>
    </row>
    <row r="74" spans="1:3" ht="25.5" x14ac:dyDescent="0.2">
      <c r="A74" s="59" t="s">
        <v>95</v>
      </c>
      <c r="B74" s="66" t="s">
        <v>96</v>
      </c>
      <c r="C74" s="67">
        <f>[19]С2.3!E11</f>
        <v>5.45</v>
      </c>
    </row>
    <row r="75" spans="1:3" ht="25.5" x14ac:dyDescent="0.2">
      <c r="A75" s="59" t="s">
        <v>97</v>
      </c>
      <c r="B75" s="66" t="s">
        <v>98</v>
      </c>
      <c r="C75" s="62">
        <f>[19]С2.3!E13</f>
        <v>300</v>
      </c>
    </row>
    <row r="76" spans="1:3" ht="25.5" x14ac:dyDescent="0.2">
      <c r="A76" s="59" t="s">
        <v>99</v>
      </c>
      <c r="B76" s="65" t="s">
        <v>100</v>
      </c>
      <c r="C76" s="68">
        <f>IF([19]С2.3!E22&gt;0,[19]С2.3!E22,[19]С2.3!E14)</f>
        <v>61211</v>
      </c>
    </row>
    <row r="77" spans="1:3" ht="38.25" x14ac:dyDescent="0.2">
      <c r="A77" s="59" t="s">
        <v>101</v>
      </c>
      <c r="B77" s="65" t="s">
        <v>102</v>
      </c>
      <c r="C77" s="68">
        <f>IF([19]С2.3!E23&gt;0,[19]С2.3!E23,[19]С2.3!E15)</f>
        <v>45675</v>
      </c>
    </row>
    <row r="78" spans="1:3" ht="30" x14ac:dyDescent="0.2">
      <c r="A78" s="59" t="s">
        <v>103</v>
      </c>
      <c r="B78" s="53" t="s">
        <v>104</v>
      </c>
      <c r="C78" s="34">
        <f>[19]С2.1!E29</f>
        <v>9518.3274000000001</v>
      </c>
    </row>
    <row r="79" spans="1:3" ht="38.25" x14ac:dyDescent="0.2">
      <c r="A79" s="59" t="s">
        <v>105</v>
      </c>
      <c r="B79" s="65" t="s">
        <v>106</v>
      </c>
      <c r="C79" s="52">
        <f>[19]С2.3!E25</f>
        <v>0</v>
      </c>
    </row>
    <row r="80" spans="1:3" ht="25.5" x14ac:dyDescent="0.2">
      <c r="A80" s="59" t="s">
        <v>107</v>
      </c>
      <c r="B80" s="66" t="s">
        <v>108</v>
      </c>
      <c r="C80" s="67">
        <f>[19]С2.3!E12</f>
        <v>0.2</v>
      </c>
    </row>
    <row r="81" spans="1:3" ht="25.5" x14ac:dyDescent="0.2">
      <c r="A81" s="59" t="s">
        <v>109</v>
      </c>
      <c r="B81" s="66" t="s">
        <v>98</v>
      </c>
      <c r="C81" s="62">
        <f>[19]С2.3!E13</f>
        <v>300</v>
      </c>
    </row>
    <row r="82" spans="1:3" ht="25.5" x14ac:dyDescent="0.2">
      <c r="A82" s="59" t="s">
        <v>110</v>
      </c>
      <c r="B82" s="69" t="s">
        <v>111</v>
      </c>
      <c r="C82" s="68">
        <f>IF([19]С2.3!E26&gt;0,[19]С2.3!E26,[19]С2.3!E16)</f>
        <v>65637</v>
      </c>
    </row>
    <row r="83" spans="1:3" ht="38.25" x14ac:dyDescent="0.2">
      <c r="A83" s="59" t="s">
        <v>112</v>
      </c>
      <c r="B83" s="69" t="s">
        <v>113</v>
      </c>
      <c r="C83" s="68">
        <f>IF([19]С2.3!E27&gt;0,[19]С2.3!E27,[19]С2.3!E17)</f>
        <v>31684</v>
      </c>
    </row>
    <row r="84" spans="1:3" ht="30" x14ac:dyDescent="0.2">
      <c r="A84" s="59" t="s">
        <v>249</v>
      </c>
      <c r="B84" s="60" t="s">
        <v>250</v>
      </c>
      <c r="C84" s="68">
        <f>IF([19]С2.1!E19&gt;0,[19]С2.1!E19,[19]С2!F26)</f>
        <v>2892</v>
      </c>
    </row>
    <row r="85" spans="1:3" ht="17.25" x14ac:dyDescent="0.2">
      <c r="A85" s="59" t="s">
        <v>114</v>
      </c>
      <c r="B85" s="33" t="s">
        <v>115</v>
      </c>
      <c r="C85" s="35">
        <f>[19]С2!F31</f>
        <v>9.5962865259740182E-2</v>
      </c>
    </row>
    <row r="86" spans="1:3" ht="30" x14ac:dyDescent="0.2">
      <c r="A86" s="59" t="s">
        <v>116</v>
      </c>
      <c r="B86" s="53" t="s">
        <v>117</v>
      </c>
      <c r="C86" s="70">
        <f>[19]С2!F32</f>
        <v>8.4029304029304031E-2</v>
      </c>
    </row>
    <row r="87" spans="1:3" ht="17.25" x14ac:dyDescent="0.2">
      <c r="A87" s="59" t="s">
        <v>118</v>
      </c>
      <c r="B87" s="71" t="s">
        <v>119</v>
      </c>
      <c r="C87" s="35">
        <f>[19]С2!F33</f>
        <v>0.13880000000000001</v>
      </c>
    </row>
    <row r="88" spans="1:3" s="63" customFormat="1" ht="18" thickBot="1" x14ac:dyDescent="0.25">
      <c r="A88" s="72" t="s">
        <v>120</v>
      </c>
      <c r="B88" s="73" t="s">
        <v>121</v>
      </c>
      <c r="C88" s="74">
        <f>[19]С2!F34</f>
        <v>0.12640000000000001</v>
      </c>
    </row>
    <row r="89" spans="1:3" ht="13.5" thickBot="1" x14ac:dyDescent="0.25">
      <c r="A89" s="47"/>
      <c r="B89" s="75"/>
      <c r="C89" s="15"/>
    </row>
    <row r="90" spans="1:3" s="63" customFormat="1" ht="30" customHeight="1" x14ac:dyDescent="0.2">
      <c r="A90" s="76" t="s">
        <v>122</v>
      </c>
      <c r="B90" s="165" t="s">
        <v>123</v>
      </c>
      <c r="C90" s="165"/>
    </row>
    <row r="91" spans="1:3" s="63" customFormat="1" ht="30" x14ac:dyDescent="0.2">
      <c r="A91" s="77" t="s">
        <v>124</v>
      </c>
      <c r="B91" s="33" t="s">
        <v>125</v>
      </c>
      <c r="C91" s="34">
        <f>[19]С3!F14</f>
        <v>4207.4782939208517</v>
      </c>
    </row>
    <row r="92" spans="1:3" s="63" customFormat="1" ht="42.75" x14ac:dyDescent="0.2">
      <c r="A92" s="77" t="s">
        <v>126</v>
      </c>
      <c r="B92" s="53" t="s">
        <v>127</v>
      </c>
      <c r="C92" s="78">
        <f>[19]С3!F15</f>
        <v>0.2</v>
      </c>
    </row>
    <row r="93" spans="1:3" s="63" customFormat="1" ht="14.25" x14ac:dyDescent="0.2">
      <c r="A93" s="77" t="s">
        <v>128</v>
      </c>
      <c r="B93" s="79" t="s">
        <v>129</v>
      </c>
      <c r="C93" s="62">
        <f>[19]С3!F18</f>
        <v>15</v>
      </c>
    </row>
    <row r="94" spans="1:3" s="63" customFormat="1" ht="17.25" x14ac:dyDescent="0.2">
      <c r="A94" s="77" t="s">
        <v>130</v>
      </c>
      <c r="B94" s="33" t="s">
        <v>131</v>
      </c>
      <c r="C94" s="34">
        <f>[19]С3!F19</f>
        <v>2638.2577020926874</v>
      </c>
    </row>
    <row r="95" spans="1:3" s="63" customFormat="1" ht="55.5" x14ac:dyDescent="0.2">
      <c r="A95" s="77" t="s">
        <v>132</v>
      </c>
      <c r="B95" s="53" t="s">
        <v>133</v>
      </c>
      <c r="C95" s="80">
        <f>[19]С3!F20</f>
        <v>2.1999999999999999E-2</v>
      </c>
    </row>
    <row r="96" spans="1:3" s="63" customFormat="1" ht="14.25" x14ac:dyDescent="0.2">
      <c r="A96" s="77" t="s">
        <v>134</v>
      </c>
      <c r="B96" s="58" t="s">
        <v>80</v>
      </c>
      <c r="C96" s="62">
        <f>[19]С3!F21</f>
        <v>10</v>
      </c>
    </row>
    <row r="97" spans="1:3" s="63" customFormat="1" ht="17.25" x14ac:dyDescent="0.2">
      <c r="A97" s="77" t="s">
        <v>135</v>
      </c>
      <c r="B97" s="33" t="s">
        <v>136</v>
      </c>
      <c r="C97" s="34">
        <f>[19]С3!F22</f>
        <v>0.99313812922960332</v>
      </c>
    </row>
    <row r="98" spans="1:3" s="63" customFormat="1" ht="55.5" x14ac:dyDescent="0.2">
      <c r="A98" s="77" t="s">
        <v>137</v>
      </c>
      <c r="B98" s="53" t="s">
        <v>138</v>
      </c>
      <c r="C98" s="80">
        <f>[19]С3!F23</f>
        <v>3.0000000000000001E-3</v>
      </c>
    </row>
    <row r="99" spans="1:3" s="63" customFormat="1" ht="30.75" thickBot="1" x14ac:dyDescent="0.25">
      <c r="A99" s="81" t="s">
        <v>139</v>
      </c>
      <c r="B99" s="82" t="s">
        <v>82</v>
      </c>
      <c r="C99" s="83">
        <f>[19]С3!F24</f>
        <v>331.04604307653443</v>
      </c>
    </row>
    <row r="100" spans="1:3" ht="13.5" thickBot="1" x14ac:dyDescent="0.25">
      <c r="A100" s="47"/>
      <c r="B100" s="75"/>
      <c r="C100" s="15"/>
    </row>
    <row r="101" spans="1:3" ht="30" customHeight="1" x14ac:dyDescent="0.2">
      <c r="A101" s="84" t="s">
        <v>141</v>
      </c>
      <c r="B101" s="165" t="s">
        <v>142</v>
      </c>
      <c r="C101" s="165"/>
    </row>
    <row r="102" spans="1:3" ht="30" x14ac:dyDescent="0.2">
      <c r="A102" s="59" t="s">
        <v>143</v>
      </c>
      <c r="B102" s="33" t="s">
        <v>251</v>
      </c>
      <c r="C102" s="34">
        <f>[19]С4!F16</f>
        <v>832.33500000000004</v>
      </c>
    </row>
    <row r="103" spans="1:3" ht="30" x14ac:dyDescent="0.2">
      <c r="A103" s="59" t="s">
        <v>145</v>
      </c>
      <c r="B103" s="58" t="s">
        <v>252</v>
      </c>
      <c r="C103" s="34">
        <f>[19]С4!F17</f>
        <v>43385</v>
      </c>
    </row>
    <row r="104" spans="1:3" ht="17.25" x14ac:dyDescent="0.2">
      <c r="A104" s="59" t="s">
        <v>147</v>
      </c>
      <c r="B104" s="58" t="s">
        <v>148</v>
      </c>
      <c r="C104" s="40">
        <f>[19]С4!F18</f>
        <v>1.4999999999999999E-2</v>
      </c>
    </row>
    <row r="105" spans="1:3" ht="30" x14ac:dyDescent="0.2">
      <c r="A105" s="59" t="s">
        <v>149</v>
      </c>
      <c r="B105" s="58" t="s">
        <v>150</v>
      </c>
      <c r="C105" s="34">
        <f>[19]С4!F19</f>
        <v>12104</v>
      </c>
    </row>
    <row r="106" spans="1:3" ht="31.5" x14ac:dyDescent="0.2">
      <c r="A106" s="59" t="s">
        <v>151</v>
      </c>
      <c r="B106" s="58" t="s">
        <v>152</v>
      </c>
      <c r="C106" s="40">
        <f>[19]С4!F20</f>
        <v>1.4999999999999999E-2</v>
      </c>
    </row>
    <row r="107" spans="1:3" ht="30" x14ac:dyDescent="0.2">
      <c r="A107" s="59" t="s">
        <v>153</v>
      </c>
      <c r="B107" s="33" t="s">
        <v>253</v>
      </c>
      <c r="C107" s="34">
        <f>[19]С4!F21</f>
        <v>1221.9019409821399</v>
      </c>
    </row>
    <row r="108" spans="1:3" ht="45.6" customHeight="1" x14ac:dyDescent="0.2">
      <c r="A108" s="59" t="s">
        <v>155</v>
      </c>
      <c r="B108" s="53" t="s">
        <v>156</v>
      </c>
      <c r="C108" s="85" t="str">
        <f>IF([19]С4.2!F8="да",[19]С4.2!D21,[19]С4.2!D15)</f>
        <v>АО "Новосибирскэнергосбыт"</v>
      </c>
    </row>
    <row r="109" spans="1:3" ht="68.25" customHeight="1" x14ac:dyDescent="0.2">
      <c r="A109" s="59" t="s">
        <v>157</v>
      </c>
      <c r="B109" s="53" t="s">
        <v>158</v>
      </c>
      <c r="C109" s="34">
        <f>[19]С4!F22</f>
        <v>3.6112641666666665</v>
      </c>
    </row>
    <row r="110" spans="1:3" ht="30" x14ac:dyDescent="0.2">
      <c r="A110" s="59" t="s">
        <v>159</v>
      </c>
      <c r="B110" s="58" t="s">
        <v>254</v>
      </c>
      <c r="C110" s="62">
        <f>[19]С4!F23</f>
        <v>110</v>
      </c>
    </row>
    <row r="111" spans="1:3" ht="14.25" x14ac:dyDescent="0.2">
      <c r="A111" s="59" t="s">
        <v>161</v>
      </c>
      <c r="B111" s="53" t="s">
        <v>162</v>
      </c>
      <c r="C111" s="34">
        <f>[19]С4!F24</f>
        <v>8497.1999999999989</v>
      </c>
    </row>
    <row r="112" spans="1:3" ht="14.25" x14ac:dyDescent="0.2">
      <c r="A112" s="59" t="s">
        <v>163</v>
      </c>
      <c r="B112" s="58" t="s">
        <v>164</v>
      </c>
      <c r="C112" s="40">
        <f>[19]С4!F25</f>
        <v>0.36199999999999999</v>
      </c>
    </row>
    <row r="113" spans="1:3" ht="17.25" x14ac:dyDescent="0.2">
      <c r="A113" s="59" t="s">
        <v>165</v>
      </c>
      <c r="B113" s="33" t="s">
        <v>166</v>
      </c>
      <c r="C113" s="34">
        <f>[19]С4!F26</f>
        <v>40.123830000000005</v>
      </c>
    </row>
    <row r="114" spans="1:3" ht="25.5" x14ac:dyDescent="0.2">
      <c r="A114" s="59" t="s">
        <v>167</v>
      </c>
      <c r="B114" s="53" t="s">
        <v>94</v>
      </c>
      <c r="C114" s="85">
        <f>[19]С4.3!E16</f>
        <v>0</v>
      </c>
    </row>
    <row r="115" spans="1:3" ht="25.5" x14ac:dyDescent="0.2">
      <c r="A115" s="59" t="s">
        <v>168</v>
      </c>
      <c r="B115" s="53" t="s">
        <v>169</v>
      </c>
      <c r="C115" s="34">
        <f>[19]С4.3!E17</f>
        <v>18.059999999999999</v>
      </c>
    </row>
    <row r="116" spans="1:3" ht="38.25" x14ac:dyDescent="0.2">
      <c r="A116" s="59" t="s">
        <v>170</v>
      </c>
      <c r="B116" s="53" t="s">
        <v>106</v>
      </c>
      <c r="C116" s="85">
        <f>[19]С4.3!E18</f>
        <v>0</v>
      </c>
    </row>
    <row r="117" spans="1:3" x14ac:dyDescent="0.2">
      <c r="A117" s="59" t="s">
        <v>171</v>
      </c>
      <c r="B117" s="53" t="s">
        <v>172</v>
      </c>
      <c r="C117" s="34">
        <f>[19]С4.3!E19</f>
        <v>71.67</v>
      </c>
    </row>
    <row r="118" spans="1:3" x14ac:dyDescent="0.2">
      <c r="A118" s="59" t="s">
        <v>173</v>
      </c>
      <c r="B118" s="58" t="s">
        <v>174</v>
      </c>
      <c r="C118" s="62">
        <f>[19]С4.3!E11</f>
        <v>1871</v>
      </c>
    </row>
    <row r="119" spans="1:3" x14ac:dyDescent="0.2">
      <c r="A119" s="59" t="s">
        <v>175</v>
      </c>
      <c r="B119" s="58" t="s">
        <v>176</v>
      </c>
      <c r="C119" s="52">
        <f>[19]С4.3!E12</f>
        <v>61</v>
      </c>
    </row>
    <row r="120" spans="1:3" x14ac:dyDescent="0.2">
      <c r="A120" s="59" t="s">
        <v>177</v>
      </c>
      <c r="B120" s="58" t="s">
        <v>178</v>
      </c>
      <c r="C120" s="52">
        <f>[19]С4.3!E13</f>
        <v>73</v>
      </c>
    </row>
    <row r="121" spans="1:3" ht="30" x14ac:dyDescent="0.2">
      <c r="A121" s="59" t="s">
        <v>179</v>
      </c>
      <c r="B121" s="33" t="s">
        <v>255</v>
      </c>
      <c r="C121" s="34">
        <f>[19]С4!F27</f>
        <v>904.62444244124072</v>
      </c>
    </row>
    <row r="122" spans="1:3" ht="25.5" x14ac:dyDescent="0.2">
      <c r="A122" s="59" t="s">
        <v>181</v>
      </c>
      <c r="B122" s="53" t="s">
        <v>256</v>
      </c>
      <c r="C122" s="34">
        <f>[19]С4!F28</f>
        <v>694.79603874135228</v>
      </c>
    </row>
    <row r="123" spans="1:3" ht="42.75" x14ac:dyDescent="0.2">
      <c r="A123" s="59" t="s">
        <v>183</v>
      </c>
      <c r="B123" s="53" t="s">
        <v>184</v>
      </c>
      <c r="C123" s="34">
        <f>[19]С4!F29</f>
        <v>209.82840369988838</v>
      </c>
    </row>
    <row r="124" spans="1:3" ht="30.75" thickBot="1" x14ac:dyDescent="0.25">
      <c r="A124" s="72" t="s">
        <v>185</v>
      </c>
      <c r="B124" s="90" t="s">
        <v>186</v>
      </c>
      <c r="C124" s="83">
        <f>[19]С4!F30</f>
        <v>475.40681839948314</v>
      </c>
    </row>
    <row r="125" spans="1:3" s="89" customFormat="1" ht="13.5" thickBot="1" x14ac:dyDescent="0.25">
      <c r="A125" s="47"/>
      <c r="B125" s="75"/>
      <c r="C125" s="15"/>
    </row>
    <row r="126" spans="1:3" s="63" customFormat="1" ht="30" customHeight="1" x14ac:dyDescent="0.2">
      <c r="A126" s="76" t="s">
        <v>195</v>
      </c>
      <c r="B126" s="165" t="s">
        <v>196</v>
      </c>
      <c r="C126" s="165"/>
    </row>
    <row r="127" spans="1:3" ht="30.6" customHeight="1" thickBot="1" x14ac:dyDescent="0.25">
      <c r="A127" s="27" t="s">
        <v>197</v>
      </c>
      <c r="B127" s="90" t="s">
        <v>198</v>
      </c>
      <c r="C127" s="83">
        <f>[19]С5!F17</f>
        <v>0.02</v>
      </c>
    </row>
    <row r="128" spans="1:3" s="89" customFormat="1" ht="13.5" thickBot="1" x14ac:dyDescent="0.25">
      <c r="A128" s="47"/>
      <c r="B128" s="75"/>
      <c r="C128" s="15"/>
    </row>
    <row r="129" spans="1:4" ht="42.75" customHeight="1" x14ac:dyDescent="0.2">
      <c r="A129" s="84" t="s">
        <v>199</v>
      </c>
      <c r="B129" s="165" t="s">
        <v>200</v>
      </c>
      <c r="C129" s="165"/>
    </row>
    <row r="130" spans="1:4" ht="68.25" x14ac:dyDescent="0.2">
      <c r="A130" s="59" t="s">
        <v>201</v>
      </c>
      <c r="B130" s="91" t="s">
        <v>202</v>
      </c>
      <c r="C130" s="34" t="str">
        <f>IF([19]С6.1!E11="нет",[19]С6!F13,"")</f>
        <v/>
      </c>
    </row>
    <row r="131" spans="1:4" ht="42.75" x14ac:dyDescent="0.2">
      <c r="A131" s="59" t="s">
        <v>204</v>
      </c>
      <c r="B131" s="86" t="s">
        <v>205</v>
      </c>
      <c r="C131" s="92" t="str">
        <f>IF([19]С6.1!E12="нет",[19]С6.1!E17,"")</f>
        <v/>
      </c>
    </row>
    <row r="132" spans="1:4" ht="68.25" x14ac:dyDescent="0.2">
      <c r="A132" s="59" t="s">
        <v>206</v>
      </c>
      <c r="B132" s="91" t="s">
        <v>207</v>
      </c>
      <c r="C132" s="127" t="str">
        <f>IF([19]С6.1!E18="нет",[19]С6!F19,"")</f>
        <v/>
      </c>
    </row>
    <row r="133" spans="1:4" ht="55.5" x14ac:dyDescent="0.2">
      <c r="A133" s="59" t="s">
        <v>208</v>
      </c>
      <c r="B133" s="86" t="s">
        <v>209</v>
      </c>
      <c r="C133" s="35" t="str">
        <f>IF([19]С6.1!E18="нет",[19]С6.1!E19,"")</f>
        <v/>
      </c>
    </row>
    <row r="134" spans="1:4" ht="61.5" customHeight="1" x14ac:dyDescent="0.2">
      <c r="A134" s="59" t="s">
        <v>210</v>
      </c>
      <c r="B134" s="86" t="s">
        <v>257</v>
      </c>
      <c r="C134" s="35" t="str">
        <f>IF([19]С6.1!E18="нет",[19]С6.1!E22,"")</f>
        <v/>
      </c>
    </row>
    <row r="135" spans="1:4" ht="69" thickBot="1" x14ac:dyDescent="0.25">
      <c r="A135" s="72" t="s">
        <v>212</v>
      </c>
      <c r="B135" s="98" t="s">
        <v>213</v>
      </c>
      <c r="C135" s="74" t="str">
        <f>IF([19]С6.1!E18="нет",[19]С6.1!E23,"")</f>
        <v/>
      </c>
    </row>
    <row r="136" spans="1:4" s="89" customFormat="1" ht="13.5" thickBot="1" x14ac:dyDescent="0.25">
      <c r="A136" s="47"/>
      <c r="B136" s="75"/>
      <c r="C136" s="15"/>
    </row>
    <row r="137" spans="1:4" ht="15.75" x14ac:dyDescent="0.2">
      <c r="A137" s="84" t="s">
        <v>214</v>
      </c>
      <c r="B137" s="99" t="s">
        <v>215</v>
      </c>
      <c r="C137" s="100">
        <f>[19]С2!F39</f>
        <v>21.531904799999996</v>
      </c>
    </row>
    <row r="138" spans="1:4" ht="14.25" x14ac:dyDescent="0.2">
      <c r="A138" s="59" t="s">
        <v>216</v>
      </c>
      <c r="B138" s="58" t="s">
        <v>217</v>
      </c>
      <c r="C138" s="34">
        <f>[19]С2!F40</f>
        <v>7</v>
      </c>
    </row>
    <row r="139" spans="1:4" ht="17.25" x14ac:dyDescent="0.2">
      <c r="A139" s="59" t="s">
        <v>218</v>
      </c>
      <c r="B139" s="58" t="s">
        <v>219</v>
      </c>
      <c r="C139" s="34">
        <f>[19]С2!F42</f>
        <v>0.97</v>
      </c>
    </row>
    <row r="140" spans="1:4" ht="15" thickBot="1" x14ac:dyDescent="0.25">
      <c r="A140" s="72" t="s">
        <v>220</v>
      </c>
      <c r="B140" s="73" t="s">
        <v>221</v>
      </c>
      <c r="C140" s="46">
        <f>[19]С2!F44</f>
        <v>0.36199999999999999</v>
      </c>
    </row>
    <row r="141" spans="1:4" s="89" customFormat="1" ht="13.5" thickBot="1" x14ac:dyDescent="0.25">
      <c r="A141" s="47"/>
      <c r="B141" s="75"/>
      <c r="C141" s="15"/>
    </row>
    <row r="142" spans="1:4" ht="17.25" x14ac:dyDescent="0.2">
      <c r="A142" s="84" t="s">
        <v>222</v>
      </c>
      <c r="B142" s="103" t="s">
        <v>258</v>
      </c>
      <c r="C142" s="128">
        <f>[19]С2!F37</f>
        <v>1.4976266307379205</v>
      </c>
      <c r="D142" s="89"/>
    </row>
    <row r="143" spans="1:4" ht="17.25" customHeight="1" thickBot="1" x14ac:dyDescent="0.25">
      <c r="A143" s="72" t="s">
        <v>224</v>
      </c>
      <c r="B143" s="161" t="s">
        <v>225</v>
      </c>
      <c r="C143" s="161"/>
      <c r="D143" s="89"/>
    </row>
    <row r="144" spans="1:4" x14ac:dyDescent="0.2">
      <c r="A144" s="105"/>
      <c r="B144" s="129" t="s">
        <v>226</v>
      </c>
      <c r="C144" s="130"/>
    </row>
    <row r="145" spans="1:3" x14ac:dyDescent="0.2">
      <c r="A145" s="105"/>
      <c r="B145" s="131">
        <v>2020</v>
      </c>
      <c r="C145" s="132">
        <f>[19]С2.5!$E$11</f>
        <v>-2.9000000000000026E-2</v>
      </c>
    </row>
    <row r="146" spans="1:3" x14ac:dyDescent="0.2">
      <c r="B146" s="131">
        <f>B145+1</f>
        <v>2021</v>
      </c>
      <c r="C146" s="133">
        <f>[19]С2.5!$F$11</f>
        <v>0.245</v>
      </c>
    </row>
    <row r="147" spans="1:3" x14ac:dyDescent="0.2">
      <c r="B147" s="131">
        <f t="shared" ref="B147:B210" si="0">B146+1</f>
        <v>2022</v>
      </c>
      <c r="C147" s="134">
        <f>[19]С2.5!$G$11</f>
        <v>0.114</v>
      </c>
    </row>
    <row r="148" spans="1:3" x14ac:dyDescent="0.2">
      <c r="B148" s="110">
        <f t="shared" si="0"/>
        <v>2023</v>
      </c>
      <c r="C148" s="135">
        <f>[19]С2.5!$H$11</f>
        <v>2.4E-2</v>
      </c>
    </row>
    <row r="149" spans="1:3" ht="13.5" thickBot="1" x14ac:dyDescent="0.25">
      <c r="B149" s="110">
        <f t="shared" si="0"/>
        <v>2024</v>
      </c>
      <c r="C149" s="135">
        <f>[19]С2.5!$I$11</f>
        <v>8.5999999999999993E-2</v>
      </c>
    </row>
    <row r="150" spans="1:3" ht="13.5" hidden="1" thickBot="1" x14ac:dyDescent="0.25">
      <c r="B150" s="110">
        <f t="shared" si="0"/>
        <v>2025</v>
      </c>
      <c r="C150" s="135">
        <f>[19]С2.5!$J$11</f>
        <v>0</v>
      </c>
    </row>
    <row r="151" spans="1:3" ht="13.5" hidden="1" thickBot="1" x14ac:dyDescent="0.25">
      <c r="B151" s="110">
        <f t="shared" si="0"/>
        <v>2026</v>
      </c>
      <c r="C151" s="135">
        <f>[19]С2.5!$K$11</f>
        <v>0</v>
      </c>
    </row>
    <row r="152" spans="1:3" ht="13.5" hidden="1" thickBot="1" x14ac:dyDescent="0.25">
      <c r="B152" s="110">
        <f t="shared" si="0"/>
        <v>2027</v>
      </c>
      <c r="C152" s="135">
        <f>[19]С2.5!$L$11</f>
        <v>0</v>
      </c>
    </row>
    <row r="153" spans="1:3" ht="13.5" hidden="1" thickBot="1" x14ac:dyDescent="0.25">
      <c r="B153" s="110">
        <f t="shared" si="0"/>
        <v>2028</v>
      </c>
      <c r="C153" s="135">
        <f>[19]С2.5!$M$11</f>
        <v>0</v>
      </c>
    </row>
    <row r="154" spans="1:3" ht="13.5" hidden="1" thickBot="1" x14ac:dyDescent="0.25">
      <c r="B154" s="110">
        <f t="shared" si="0"/>
        <v>2029</v>
      </c>
      <c r="C154" s="135">
        <f>[19]С2.5!$N$11</f>
        <v>0</v>
      </c>
    </row>
    <row r="155" spans="1:3" ht="13.5" hidden="1" thickBot="1" x14ac:dyDescent="0.25">
      <c r="B155" s="110">
        <f t="shared" si="0"/>
        <v>2030</v>
      </c>
      <c r="C155" s="135">
        <f>[19]С2.5!$O$11</f>
        <v>0</v>
      </c>
    </row>
    <row r="156" spans="1:3" ht="13.5" hidden="1" thickBot="1" x14ac:dyDescent="0.25">
      <c r="B156" s="110">
        <f t="shared" si="0"/>
        <v>2031</v>
      </c>
      <c r="C156" s="135">
        <f>[19]С2.5!$P$11</f>
        <v>0</v>
      </c>
    </row>
    <row r="157" spans="1:3" ht="13.5" hidden="1" thickBot="1" x14ac:dyDescent="0.25">
      <c r="B157" s="110">
        <f t="shared" si="0"/>
        <v>2032</v>
      </c>
      <c r="C157" s="135">
        <f>[19]С2.5!$Q$11</f>
        <v>0</v>
      </c>
    </row>
    <row r="158" spans="1:3" ht="13.5" hidden="1" thickBot="1" x14ac:dyDescent="0.25">
      <c r="B158" s="110">
        <f t="shared" si="0"/>
        <v>2033</v>
      </c>
      <c r="C158" s="135">
        <f>[19]С2.5!$R$11</f>
        <v>0</v>
      </c>
    </row>
    <row r="159" spans="1:3" ht="13.5" hidden="1" thickBot="1" x14ac:dyDescent="0.25">
      <c r="B159" s="110">
        <f t="shared" si="0"/>
        <v>2034</v>
      </c>
      <c r="C159" s="135">
        <f>[19]С2.5!$S$11</f>
        <v>0</v>
      </c>
    </row>
    <row r="160" spans="1:3" ht="13.5" hidden="1" thickBot="1" x14ac:dyDescent="0.25">
      <c r="B160" s="110">
        <f t="shared" si="0"/>
        <v>2035</v>
      </c>
      <c r="C160" s="135">
        <f>[19]С2.5!$T$11</f>
        <v>0</v>
      </c>
    </row>
    <row r="161" spans="2:3" ht="13.5" hidden="1" thickBot="1" x14ac:dyDescent="0.25">
      <c r="B161" s="110">
        <f t="shared" si="0"/>
        <v>2036</v>
      </c>
      <c r="C161" s="135">
        <f>[19]С2.5!$U$11</f>
        <v>0</v>
      </c>
    </row>
    <row r="162" spans="2:3" ht="13.5" hidden="1" thickBot="1" x14ac:dyDescent="0.25">
      <c r="B162" s="110">
        <f t="shared" si="0"/>
        <v>2037</v>
      </c>
      <c r="C162" s="135">
        <f>[19]С2.5!$V$11</f>
        <v>0</v>
      </c>
    </row>
    <row r="163" spans="2:3" ht="13.5" hidden="1" thickBot="1" x14ac:dyDescent="0.25">
      <c r="B163" s="110">
        <f t="shared" si="0"/>
        <v>2038</v>
      </c>
      <c r="C163" s="135">
        <f>[19]С2.5!$W$11</f>
        <v>0</v>
      </c>
    </row>
    <row r="164" spans="2:3" ht="13.5" hidden="1" thickBot="1" x14ac:dyDescent="0.25">
      <c r="B164" s="110">
        <f t="shared" si="0"/>
        <v>2039</v>
      </c>
      <c r="C164" s="135">
        <f>[19]С2.5!$X$11</f>
        <v>0</v>
      </c>
    </row>
    <row r="165" spans="2:3" ht="13.5" hidden="1" thickBot="1" x14ac:dyDescent="0.25">
      <c r="B165" s="110">
        <f t="shared" si="0"/>
        <v>2040</v>
      </c>
      <c r="C165" s="135">
        <f>[19]С2.5!$Y$11</f>
        <v>0</v>
      </c>
    </row>
    <row r="166" spans="2:3" ht="13.5" hidden="1" thickBot="1" x14ac:dyDescent="0.25">
      <c r="B166" s="110">
        <f t="shared" si="0"/>
        <v>2041</v>
      </c>
      <c r="C166" s="135">
        <f>[19]С2.5!$Z$11</f>
        <v>0</v>
      </c>
    </row>
    <row r="167" spans="2:3" ht="13.5" hidden="1" thickBot="1" x14ac:dyDescent="0.25">
      <c r="B167" s="110">
        <f t="shared" si="0"/>
        <v>2042</v>
      </c>
      <c r="C167" s="135">
        <f>[19]С2.5!$AA$11</f>
        <v>0</v>
      </c>
    </row>
    <row r="168" spans="2:3" ht="13.5" hidden="1" thickBot="1" x14ac:dyDescent="0.25">
      <c r="B168" s="110">
        <f t="shared" si="0"/>
        <v>2043</v>
      </c>
      <c r="C168" s="135">
        <f>[19]С2.5!$AB$11</f>
        <v>0</v>
      </c>
    </row>
    <row r="169" spans="2:3" ht="13.5" hidden="1" thickBot="1" x14ac:dyDescent="0.25">
      <c r="B169" s="110">
        <f t="shared" si="0"/>
        <v>2044</v>
      </c>
      <c r="C169" s="135">
        <f>[19]С2.5!$AC$11</f>
        <v>0</v>
      </c>
    </row>
    <row r="170" spans="2:3" ht="13.5" hidden="1" thickBot="1" x14ac:dyDescent="0.25">
      <c r="B170" s="110">
        <f t="shared" si="0"/>
        <v>2045</v>
      </c>
      <c r="C170" s="135">
        <f>[19]С2.5!$AD$11</f>
        <v>0</v>
      </c>
    </row>
    <row r="171" spans="2:3" ht="13.5" hidden="1" thickBot="1" x14ac:dyDescent="0.25">
      <c r="B171" s="110">
        <f t="shared" si="0"/>
        <v>2046</v>
      </c>
      <c r="C171" s="135">
        <f>[19]С2.5!$AE$11</f>
        <v>0</v>
      </c>
    </row>
    <row r="172" spans="2:3" ht="13.5" hidden="1" thickBot="1" x14ac:dyDescent="0.25">
      <c r="B172" s="110">
        <f t="shared" si="0"/>
        <v>2047</v>
      </c>
      <c r="C172" s="135">
        <f>[19]С2.5!$AF$11</f>
        <v>0</v>
      </c>
    </row>
    <row r="173" spans="2:3" ht="13.5" hidden="1" thickBot="1" x14ac:dyDescent="0.25">
      <c r="B173" s="110">
        <f t="shared" si="0"/>
        <v>2048</v>
      </c>
      <c r="C173" s="135">
        <f>[19]С2.5!$AG$11</f>
        <v>0</v>
      </c>
    </row>
    <row r="174" spans="2:3" ht="13.5" hidden="1" thickBot="1" x14ac:dyDescent="0.25">
      <c r="B174" s="110">
        <f t="shared" si="0"/>
        <v>2049</v>
      </c>
      <c r="C174" s="135">
        <f>[19]С2.5!$AH$11</f>
        <v>0</v>
      </c>
    </row>
    <row r="175" spans="2:3" ht="13.5" hidden="1" thickBot="1" x14ac:dyDescent="0.25">
      <c r="B175" s="110">
        <f t="shared" si="0"/>
        <v>2050</v>
      </c>
      <c r="C175" s="135">
        <f>[19]С2.5!$AI$11</f>
        <v>0</v>
      </c>
    </row>
    <row r="176" spans="2:3" ht="13.5" hidden="1" thickBot="1" x14ac:dyDescent="0.25">
      <c r="B176" s="110">
        <f t="shared" si="0"/>
        <v>2051</v>
      </c>
      <c r="C176" s="135">
        <f>[19]С2.5!$AJ$11</f>
        <v>0</v>
      </c>
    </row>
    <row r="177" spans="2:3" ht="13.5" hidden="1" thickBot="1" x14ac:dyDescent="0.25">
      <c r="B177" s="110">
        <f t="shared" si="0"/>
        <v>2052</v>
      </c>
      <c r="C177" s="135">
        <f>[19]С2.5!$AK$11</f>
        <v>0</v>
      </c>
    </row>
    <row r="178" spans="2:3" ht="13.5" hidden="1" thickBot="1" x14ac:dyDescent="0.25">
      <c r="B178" s="110">
        <f t="shared" si="0"/>
        <v>2053</v>
      </c>
      <c r="C178" s="135">
        <f>[19]С2.5!$AL$11</f>
        <v>0</v>
      </c>
    </row>
    <row r="179" spans="2:3" ht="13.5" hidden="1" thickBot="1" x14ac:dyDescent="0.25">
      <c r="B179" s="110">
        <f t="shared" si="0"/>
        <v>2054</v>
      </c>
      <c r="C179" s="135">
        <f>[19]С2.5!$AM$11</f>
        <v>0</v>
      </c>
    </row>
    <row r="180" spans="2:3" ht="13.5" hidden="1" thickBot="1" x14ac:dyDescent="0.25">
      <c r="B180" s="110">
        <f t="shared" si="0"/>
        <v>2055</v>
      </c>
      <c r="C180" s="135">
        <f>[19]С2.5!$AN$11</f>
        <v>0</v>
      </c>
    </row>
    <row r="181" spans="2:3" ht="13.5" hidden="1" thickBot="1" x14ac:dyDescent="0.25">
      <c r="B181" s="110">
        <f t="shared" si="0"/>
        <v>2056</v>
      </c>
      <c r="C181" s="135">
        <f>[19]С2.5!$AO$11</f>
        <v>0</v>
      </c>
    </row>
    <row r="182" spans="2:3" ht="13.5" hidden="1" thickBot="1" x14ac:dyDescent="0.25">
      <c r="B182" s="110">
        <f t="shared" si="0"/>
        <v>2057</v>
      </c>
      <c r="C182" s="135">
        <f>[19]С2.5!$AP$11</f>
        <v>0</v>
      </c>
    </row>
    <row r="183" spans="2:3" ht="13.5" hidden="1" thickBot="1" x14ac:dyDescent="0.25">
      <c r="B183" s="110">
        <f t="shared" si="0"/>
        <v>2058</v>
      </c>
      <c r="C183" s="135">
        <f>[19]С2.5!$AQ$11</f>
        <v>0</v>
      </c>
    </row>
    <row r="184" spans="2:3" ht="13.5" hidden="1" thickBot="1" x14ac:dyDescent="0.25">
      <c r="B184" s="110">
        <f t="shared" si="0"/>
        <v>2059</v>
      </c>
      <c r="C184" s="135">
        <f>[19]С2.5!$AR$11</f>
        <v>0</v>
      </c>
    </row>
    <row r="185" spans="2:3" ht="13.5" hidden="1" thickBot="1" x14ac:dyDescent="0.25">
      <c r="B185" s="110">
        <f t="shared" si="0"/>
        <v>2060</v>
      </c>
      <c r="C185" s="135">
        <f>[19]С2.5!$AS$11</f>
        <v>0</v>
      </c>
    </row>
    <row r="186" spans="2:3" ht="13.5" hidden="1" thickBot="1" x14ac:dyDescent="0.25">
      <c r="B186" s="110">
        <f t="shared" si="0"/>
        <v>2061</v>
      </c>
      <c r="C186" s="135">
        <f>[19]С2.5!$AT$11</f>
        <v>0</v>
      </c>
    </row>
    <row r="187" spans="2:3" ht="13.5" hidden="1" thickBot="1" x14ac:dyDescent="0.25">
      <c r="B187" s="110">
        <f t="shared" si="0"/>
        <v>2062</v>
      </c>
      <c r="C187" s="135">
        <f>[19]С2.5!$AU$11</f>
        <v>0</v>
      </c>
    </row>
    <row r="188" spans="2:3" ht="13.5" hidden="1" thickBot="1" x14ac:dyDescent="0.25">
      <c r="B188" s="110">
        <f t="shared" si="0"/>
        <v>2063</v>
      </c>
      <c r="C188" s="135">
        <f>[19]С2.5!$AV$11</f>
        <v>0</v>
      </c>
    </row>
    <row r="189" spans="2:3" ht="13.5" hidden="1" thickBot="1" x14ac:dyDescent="0.25">
      <c r="B189" s="110">
        <f t="shared" si="0"/>
        <v>2064</v>
      </c>
      <c r="C189" s="135">
        <f>[19]С2.5!$AW$11</f>
        <v>0</v>
      </c>
    </row>
    <row r="190" spans="2:3" ht="13.5" hidden="1" thickBot="1" x14ac:dyDescent="0.25">
      <c r="B190" s="110">
        <f t="shared" si="0"/>
        <v>2065</v>
      </c>
      <c r="C190" s="135">
        <f>[19]С2.5!$AX$11</f>
        <v>0</v>
      </c>
    </row>
    <row r="191" spans="2:3" ht="13.5" hidden="1" thickBot="1" x14ac:dyDescent="0.25">
      <c r="B191" s="110">
        <f t="shared" si="0"/>
        <v>2066</v>
      </c>
      <c r="C191" s="135">
        <f>[19]С2.5!$AY$11</f>
        <v>0</v>
      </c>
    </row>
    <row r="192" spans="2:3" ht="13.5" hidden="1" thickBot="1" x14ac:dyDescent="0.25">
      <c r="B192" s="110">
        <f t="shared" si="0"/>
        <v>2067</v>
      </c>
      <c r="C192" s="135">
        <f>[19]С2.5!$AZ$11</f>
        <v>0</v>
      </c>
    </row>
    <row r="193" spans="2:3" ht="13.5" hidden="1" thickBot="1" x14ac:dyDescent="0.25">
      <c r="B193" s="110">
        <f t="shared" si="0"/>
        <v>2068</v>
      </c>
      <c r="C193" s="135">
        <f>[19]С2.5!$BA$11</f>
        <v>0</v>
      </c>
    </row>
    <row r="194" spans="2:3" ht="13.5" hidden="1" thickBot="1" x14ac:dyDescent="0.25">
      <c r="B194" s="110">
        <f t="shared" si="0"/>
        <v>2069</v>
      </c>
      <c r="C194" s="135">
        <f>[19]С2.5!$BB$11</f>
        <v>0</v>
      </c>
    </row>
    <row r="195" spans="2:3" ht="13.5" hidden="1" thickBot="1" x14ac:dyDescent="0.25">
      <c r="B195" s="110">
        <f t="shared" si="0"/>
        <v>2070</v>
      </c>
      <c r="C195" s="135">
        <f>[19]С2.5!$BC$11</f>
        <v>0</v>
      </c>
    </row>
    <row r="196" spans="2:3" ht="13.5" hidden="1" thickBot="1" x14ac:dyDescent="0.25">
      <c r="B196" s="110">
        <f t="shared" si="0"/>
        <v>2071</v>
      </c>
      <c r="C196" s="135">
        <f>[19]С2.5!$BD$11</f>
        <v>0</v>
      </c>
    </row>
    <row r="197" spans="2:3" ht="13.5" hidden="1" thickBot="1" x14ac:dyDescent="0.25">
      <c r="B197" s="110">
        <f t="shared" si="0"/>
        <v>2072</v>
      </c>
      <c r="C197" s="135">
        <f>[19]С2.5!$BE$11</f>
        <v>0</v>
      </c>
    </row>
    <row r="198" spans="2:3" ht="13.5" hidden="1" thickBot="1" x14ac:dyDescent="0.25">
      <c r="B198" s="110">
        <f t="shared" si="0"/>
        <v>2073</v>
      </c>
      <c r="C198" s="135">
        <f>[19]С2.5!$BF$11</f>
        <v>0</v>
      </c>
    </row>
    <row r="199" spans="2:3" ht="13.5" hidden="1" thickBot="1" x14ac:dyDescent="0.25">
      <c r="B199" s="110">
        <f t="shared" si="0"/>
        <v>2074</v>
      </c>
      <c r="C199" s="135">
        <f>[19]С2.5!$BG$11</f>
        <v>0</v>
      </c>
    </row>
    <row r="200" spans="2:3" ht="13.5" hidden="1" thickBot="1" x14ac:dyDescent="0.25">
      <c r="B200" s="110">
        <f t="shared" si="0"/>
        <v>2075</v>
      </c>
      <c r="C200" s="135">
        <f>[19]С2.5!$BH$11</f>
        <v>0</v>
      </c>
    </row>
    <row r="201" spans="2:3" ht="13.5" hidden="1" thickBot="1" x14ac:dyDescent="0.25">
      <c r="B201" s="110">
        <f t="shared" si="0"/>
        <v>2076</v>
      </c>
      <c r="C201" s="135">
        <f>[19]С2.5!$BI$11</f>
        <v>0</v>
      </c>
    </row>
    <row r="202" spans="2:3" ht="13.5" hidden="1" thickBot="1" x14ac:dyDescent="0.25">
      <c r="B202" s="110">
        <f t="shared" si="0"/>
        <v>2077</v>
      </c>
      <c r="C202" s="135">
        <f>[19]С2.5!$BJ$11</f>
        <v>0</v>
      </c>
    </row>
    <row r="203" spans="2:3" ht="13.5" hidden="1" thickBot="1" x14ac:dyDescent="0.25">
      <c r="B203" s="110">
        <f t="shared" si="0"/>
        <v>2078</v>
      </c>
      <c r="C203" s="135">
        <f>[19]С2.5!$BK$11</f>
        <v>0</v>
      </c>
    </row>
    <row r="204" spans="2:3" ht="13.5" hidden="1" thickBot="1" x14ac:dyDescent="0.25">
      <c r="B204" s="110">
        <f t="shared" si="0"/>
        <v>2079</v>
      </c>
      <c r="C204" s="135">
        <f>[19]С2.5!$BL$11</f>
        <v>0</v>
      </c>
    </row>
    <row r="205" spans="2:3" ht="13.5" hidden="1" thickBot="1" x14ac:dyDescent="0.25">
      <c r="B205" s="110">
        <f t="shared" si="0"/>
        <v>2080</v>
      </c>
      <c r="C205" s="135">
        <f>[19]С2.5!$BM$11</f>
        <v>0</v>
      </c>
    </row>
    <row r="206" spans="2:3" ht="13.5" hidden="1" thickBot="1" x14ac:dyDescent="0.25">
      <c r="B206" s="110">
        <f t="shared" si="0"/>
        <v>2081</v>
      </c>
      <c r="C206" s="135">
        <f>[19]С2.5!$BN$11</f>
        <v>0</v>
      </c>
    </row>
    <row r="207" spans="2:3" ht="13.5" hidden="1" thickBot="1" x14ac:dyDescent="0.25">
      <c r="B207" s="110">
        <f t="shared" si="0"/>
        <v>2082</v>
      </c>
      <c r="C207" s="135">
        <f>[19]С2.5!$BO$11</f>
        <v>0</v>
      </c>
    </row>
    <row r="208" spans="2:3" ht="13.5" hidden="1" thickBot="1" x14ac:dyDescent="0.25">
      <c r="B208" s="110">
        <f t="shared" si="0"/>
        <v>2083</v>
      </c>
      <c r="C208" s="135">
        <f>[19]С2.5!$BP$11</f>
        <v>0</v>
      </c>
    </row>
    <row r="209" spans="2:3" ht="13.5" hidden="1" thickBot="1" x14ac:dyDescent="0.25">
      <c r="B209" s="110">
        <f t="shared" si="0"/>
        <v>2084</v>
      </c>
      <c r="C209" s="135">
        <f>[19]С2.5!$BQ$11</f>
        <v>0</v>
      </c>
    </row>
    <row r="210" spans="2:3" ht="13.5" hidden="1" thickBot="1" x14ac:dyDescent="0.25">
      <c r="B210" s="110">
        <f t="shared" si="0"/>
        <v>2085</v>
      </c>
      <c r="C210" s="135">
        <f>[19]С2.5!$BR$11</f>
        <v>0</v>
      </c>
    </row>
    <row r="211" spans="2:3" ht="13.5" hidden="1" thickBot="1" x14ac:dyDescent="0.25">
      <c r="B211" s="110">
        <f t="shared" ref="B211:B224" si="1">B210+1</f>
        <v>2086</v>
      </c>
      <c r="C211" s="135">
        <f>[19]С2.5!$BS$11</f>
        <v>0</v>
      </c>
    </row>
    <row r="212" spans="2:3" ht="13.5" hidden="1" thickBot="1" x14ac:dyDescent="0.25">
      <c r="B212" s="110">
        <f t="shared" si="1"/>
        <v>2087</v>
      </c>
      <c r="C212" s="135">
        <f>[19]С2.5!$BT$11</f>
        <v>0</v>
      </c>
    </row>
    <row r="213" spans="2:3" ht="13.5" hidden="1" thickBot="1" x14ac:dyDescent="0.25">
      <c r="B213" s="110">
        <f t="shared" si="1"/>
        <v>2088</v>
      </c>
      <c r="C213" s="135">
        <f>[19]С2.5!$BU$11</f>
        <v>0</v>
      </c>
    </row>
    <row r="214" spans="2:3" ht="13.5" hidden="1" thickBot="1" x14ac:dyDescent="0.25">
      <c r="B214" s="110">
        <f t="shared" si="1"/>
        <v>2089</v>
      </c>
      <c r="C214" s="135">
        <f>[19]С2.5!$BV$11</f>
        <v>0</v>
      </c>
    </row>
    <row r="215" spans="2:3" ht="13.5" hidden="1" thickBot="1" x14ac:dyDescent="0.25">
      <c r="B215" s="110">
        <f t="shared" si="1"/>
        <v>2090</v>
      </c>
      <c r="C215" s="135">
        <f>[19]С2.5!$BW$11</f>
        <v>0</v>
      </c>
    </row>
    <row r="216" spans="2:3" ht="13.5" hidden="1" thickBot="1" x14ac:dyDescent="0.25">
      <c r="B216" s="110">
        <f t="shared" si="1"/>
        <v>2091</v>
      </c>
      <c r="C216" s="135">
        <f>[19]С2.5!$BX$11</f>
        <v>0</v>
      </c>
    </row>
    <row r="217" spans="2:3" ht="13.5" hidden="1" thickBot="1" x14ac:dyDescent="0.25">
      <c r="B217" s="110">
        <f t="shared" si="1"/>
        <v>2092</v>
      </c>
      <c r="C217" s="135">
        <f>[19]С2.5!$BY$11</f>
        <v>0</v>
      </c>
    </row>
    <row r="218" spans="2:3" ht="13.5" hidden="1" thickBot="1" x14ac:dyDescent="0.25">
      <c r="B218" s="110">
        <f t="shared" si="1"/>
        <v>2093</v>
      </c>
      <c r="C218" s="135">
        <f>[19]С2.5!$BZ$11</f>
        <v>0</v>
      </c>
    </row>
    <row r="219" spans="2:3" ht="13.5" hidden="1" thickBot="1" x14ac:dyDescent="0.25">
      <c r="B219" s="110">
        <f t="shared" si="1"/>
        <v>2094</v>
      </c>
      <c r="C219" s="135">
        <f>[19]С2.5!$CA$11</f>
        <v>0</v>
      </c>
    </row>
    <row r="220" spans="2:3" ht="13.5" hidden="1" thickBot="1" x14ac:dyDescent="0.25">
      <c r="B220" s="110">
        <f t="shared" si="1"/>
        <v>2095</v>
      </c>
      <c r="C220" s="135">
        <f>[19]С2.5!$CB$11</f>
        <v>0</v>
      </c>
    </row>
    <row r="221" spans="2:3" ht="13.5" hidden="1" thickBot="1" x14ac:dyDescent="0.25">
      <c r="B221" s="110">
        <f t="shared" si="1"/>
        <v>2096</v>
      </c>
      <c r="C221" s="135">
        <f>[19]С2.5!$CC$11</f>
        <v>0</v>
      </c>
    </row>
    <row r="222" spans="2:3" ht="13.5" hidden="1" thickBot="1" x14ac:dyDescent="0.25">
      <c r="B222" s="110">
        <f t="shared" si="1"/>
        <v>2097</v>
      </c>
      <c r="C222" s="135">
        <f>[19]С2.5!$CD$11</f>
        <v>0</v>
      </c>
    </row>
    <row r="223" spans="2:3" ht="13.5" hidden="1" thickBot="1" x14ac:dyDescent="0.25">
      <c r="B223" s="110">
        <f t="shared" si="1"/>
        <v>2098</v>
      </c>
      <c r="C223" s="135">
        <f>[19]С2.5!$CE$11</f>
        <v>0</v>
      </c>
    </row>
    <row r="224" spans="2:3" ht="13.5" hidden="1" thickBot="1" x14ac:dyDescent="0.25">
      <c r="B224" s="110">
        <f t="shared" si="1"/>
        <v>2099</v>
      </c>
      <c r="C224" s="135">
        <f>[19]С2.5!$CF$11</f>
        <v>0</v>
      </c>
    </row>
    <row r="225" spans="2:3" ht="13.5" hidden="1" thickBot="1" x14ac:dyDescent="0.25">
      <c r="B225" s="112">
        <f>B162+1</f>
        <v>2038</v>
      </c>
      <c r="C225" s="136" t="e">
        <f>[19]С2.5!#REF!</f>
        <v>#REF!</v>
      </c>
    </row>
    <row r="226" spans="2:3" x14ac:dyDescent="0.2">
      <c r="B226" s="137"/>
      <c r="C226" s="138"/>
    </row>
  </sheetData>
  <mergeCells count="9">
    <mergeCell ref="B143:C143"/>
    <mergeCell ref="A14:C14"/>
    <mergeCell ref="B1:C1"/>
    <mergeCell ref="B27:C27"/>
    <mergeCell ref="B45:C45"/>
    <mergeCell ref="B90:C90"/>
    <mergeCell ref="B101:C101"/>
    <mergeCell ref="B126:C126"/>
    <mergeCell ref="B129:C129"/>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5361" r:id="rId3" name="Button 1">
              <controlPr defaultSize="0" print="0" autoFill="0" autoPict="0" macro="[8]!Лист29.PrintBlock">
                <anchor moveWithCells="1" sizeWithCells="1">
                  <from>
                    <xdr:col>3</xdr:col>
                    <xdr:colOff>0</xdr:colOff>
                    <xdr:row>0</xdr:row>
                    <xdr:rowOff>104775</xdr:rowOff>
                  </from>
                  <to>
                    <xdr:col>4</xdr:col>
                    <xdr:colOff>0</xdr:colOff>
                    <xdr:row>0</xdr:row>
                    <xdr:rowOff>352425</xdr:rowOff>
                  </to>
                </anchor>
              </controlPr>
            </control>
          </mc:Choice>
        </mc:AlternateContent>
        <mc:AlternateContent xmlns:mc="http://schemas.openxmlformats.org/markup-compatibility/2006">
          <mc:Choice Requires="x14">
            <control shapeId="15362" r:id="rId4" name="Button 2">
              <controlPr defaultSize="0" print="0" autoFill="0" autoPict="0" macro="[19]!Лист29.PrintBlock">
                <anchor moveWithCells="1" sizeWithCells="1">
                  <from>
                    <xdr:col>3</xdr:col>
                    <xdr:colOff>47625</xdr:colOff>
                    <xdr:row>0</xdr:row>
                    <xdr:rowOff>104775</xdr:rowOff>
                  </from>
                  <to>
                    <xdr:col>4</xdr:col>
                    <xdr:colOff>1095375</xdr:colOff>
                    <xdr:row>0</xdr:row>
                    <xdr:rowOff>352425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63" t="s">
        <v>0</v>
      </c>
      <c r="C1" s="163"/>
    </row>
    <row r="2" spans="1:3" x14ac:dyDescent="0.2">
      <c r="A2" s="3"/>
      <c r="B2" s="4" t="s">
        <v>1</v>
      </c>
      <c r="C2" s="5">
        <v>45317</v>
      </c>
    </row>
    <row r="3" spans="1:3" x14ac:dyDescent="0.2">
      <c r="A3" s="3"/>
      <c r="B3" s="6" t="s">
        <v>2</v>
      </c>
    </row>
    <row r="4" spans="1:3" ht="25.5" x14ac:dyDescent="0.2">
      <c r="A4" s="8"/>
      <c r="B4" s="9" t="str">
        <f>[20]И1!D13</f>
        <v>Субъект Российской Федерации</v>
      </c>
      <c r="C4" s="10" t="str">
        <f>[20]И1!E13</f>
        <v>Новосибирская область</v>
      </c>
    </row>
    <row r="5" spans="1:3" ht="46.9" customHeight="1" x14ac:dyDescent="0.2">
      <c r="A5" s="8"/>
      <c r="B5" s="9" t="str">
        <f>[20]И1!D14</f>
        <v>Тип муниципального образования (выберите из списка)</v>
      </c>
      <c r="C5" s="10" t="str">
        <f>[20]И1!E14</f>
        <v>село Улыбино, Искитимский муниципальный район</v>
      </c>
    </row>
    <row r="6" spans="1:3" x14ac:dyDescent="0.2">
      <c r="A6" s="8"/>
      <c r="B6" s="9" t="str">
        <f>IF([20]И1!E15="","",[20]И1!D15)</f>
        <v/>
      </c>
      <c r="C6" s="10" t="str">
        <f>IF([20]И1!E15="","",[20]И1!E15)</f>
        <v/>
      </c>
    </row>
    <row r="7" spans="1:3" x14ac:dyDescent="0.2">
      <c r="A7" s="8"/>
      <c r="B7" s="9" t="str">
        <f>[20]И1!D16</f>
        <v>Код ОКТМО</v>
      </c>
      <c r="C7" s="11" t="str">
        <f>[20]И1!E16</f>
        <v xml:space="preserve"> (50615431101)</v>
      </c>
    </row>
    <row r="8" spans="1:3" x14ac:dyDescent="0.2">
      <c r="A8" s="8"/>
      <c r="B8" s="12" t="str">
        <f>[20]И1!D17</f>
        <v>Система теплоснабжения</v>
      </c>
      <c r="C8" s="13">
        <f>[20]И1!E17</f>
        <v>0</v>
      </c>
    </row>
    <row r="9" spans="1:3" x14ac:dyDescent="0.2">
      <c r="A9" s="8"/>
      <c r="B9" s="9" t="str">
        <f>[20]И1!D8</f>
        <v>Период регулирования (i)-й</v>
      </c>
      <c r="C9" s="14">
        <f>[20]И1!E8</f>
        <v>2024</v>
      </c>
    </row>
    <row r="10" spans="1:3" x14ac:dyDescent="0.2">
      <c r="A10" s="8"/>
      <c r="B10" s="9" t="str">
        <f>[20]И1!D9</f>
        <v>Период регулирования (i-1)-й</v>
      </c>
      <c r="C10" s="14">
        <f>[20]И1!E9</f>
        <v>2023</v>
      </c>
    </row>
    <row r="11" spans="1:3" x14ac:dyDescent="0.2">
      <c r="A11" s="8"/>
      <c r="B11" s="9" t="str">
        <f>[20]И1!D10</f>
        <v>Период регулирования (i-2)-й</v>
      </c>
      <c r="C11" s="14">
        <f>[20]И1!E10</f>
        <v>2022</v>
      </c>
    </row>
    <row r="12" spans="1:3" x14ac:dyDescent="0.2">
      <c r="A12" s="8"/>
      <c r="B12" s="9" t="str">
        <f>[20]И1!D11</f>
        <v>Базовый год (б)</v>
      </c>
      <c r="C12" s="14">
        <f>[20]И1!E11</f>
        <v>2019</v>
      </c>
    </row>
    <row r="13" spans="1:3" ht="38.25" x14ac:dyDescent="0.2">
      <c r="A13" s="8"/>
      <c r="B13" s="9" t="str">
        <f>[20]И1!D18</f>
        <v>Вид топлива, использование которого преобладает в системе теплоснабжения</v>
      </c>
      <c r="C13" s="15" t="str">
        <f>[20]С1.1!E13</f>
        <v>уголь (вид угля не указан в топливном балансе)</v>
      </c>
    </row>
    <row r="14" spans="1:3" ht="31.7" customHeight="1" thickBot="1" x14ac:dyDescent="0.25">
      <c r="A14" s="162" t="s">
        <v>3</v>
      </c>
      <c r="B14" s="162"/>
      <c r="C14" s="16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3652.0526007687163</v>
      </c>
    </row>
    <row r="18" spans="1:3" ht="42.75" x14ac:dyDescent="0.2">
      <c r="A18" s="22" t="s">
        <v>8</v>
      </c>
      <c r="B18" s="25" t="s">
        <v>9</v>
      </c>
      <c r="C18" s="26">
        <f>[20]С1!F12</f>
        <v>665.23209308057574</v>
      </c>
    </row>
    <row r="19" spans="1:3" ht="42.75" x14ac:dyDescent="0.2">
      <c r="A19" s="22" t="s">
        <v>10</v>
      </c>
      <c r="B19" s="25" t="s">
        <v>11</v>
      </c>
      <c r="C19" s="26">
        <f>[20]С2!F12</f>
        <v>2000.3680279558928</v>
      </c>
    </row>
    <row r="20" spans="1:3" ht="30" x14ac:dyDescent="0.2">
      <c r="A20" s="22" t="s">
        <v>12</v>
      </c>
      <c r="B20" s="25" t="s">
        <v>13</v>
      </c>
      <c r="C20" s="26">
        <f>[20]С3!F12</f>
        <v>475.74490066496389</v>
      </c>
    </row>
    <row r="21" spans="1:3" ht="42.75" x14ac:dyDescent="0.2">
      <c r="A21" s="22" t="s">
        <v>14</v>
      </c>
      <c r="B21" s="25" t="s">
        <v>15</v>
      </c>
      <c r="C21" s="26">
        <f>[20]С4!F12</f>
        <v>439.09870454240729</v>
      </c>
    </row>
    <row r="22" spans="1:3" ht="30" x14ac:dyDescent="0.2">
      <c r="A22" s="22" t="s">
        <v>16</v>
      </c>
      <c r="B22" s="25" t="s">
        <v>17</v>
      </c>
      <c r="C22" s="26">
        <f>[20]С5!F12</f>
        <v>71.608874524876796</v>
      </c>
    </row>
    <row r="23" spans="1:3" ht="43.5" thickBot="1" x14ac:dyDescent="0.25">
      <c r="A23" s="27" t="s">
        <v>18</v>
      </c>
      <c r="B23" s="140" t="s">
        <v>19</v>
      </c>
      <c r="C23" s="28" t="str">
        <f>[20]С6!F12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64" t="s">
        <v>20</v>
      </c>
      <c r="C27" s="164"/>
    </row>
    <row r="28" spans="1:3" x14ac:dyDescent="0.2">
      <c r="A28" s="22" t="s">
        <v>8</v>
      </c>
      <c r="B28" s="33" t="s">
        <v>21</v>
      </c>
      <c r="C28" s="34">
        <f>[20]С1.1!E16</f>
        <v>5100</v>
      </c>
    </row>
    <row r="29" spans="1:3" ht="42.75" x14ac:dyDescent="0.2">
      <c r="A29" s="22" t="s">
        <v>10</v>
      </c>
      <c r="B29" s="33" t="s">
        <v>22</v>
      </c>
      <c r="C29" s="34">
        <f>[20]С1.1!E27</f>
        <v>2988.9166666666665</v>
      </c>
    </row>
    <row r="30" spans="1:3" ht="17.25" x14ac:dyDescent="0.2">
      <c r="A30" s="22" t="s">
        <v>12</v>
      </c>
      <c r="B30" s="33" t="s">
        <v>23</v>
      </c>
      <c r="C30" s="35">
        <f>[20]С1.1!E19</f>
        <v>-0.19900000000000001</v>
      </c>
    </row>
    <row r="31" spans="1:3" ht="17.25" x14ac:dyDescent="0.2">
      <c r="A31" s="22" t="s">
        <v>14</v>
      </c>
      <c r="B31" s="33" t="s">
        <v>24</v>
      </c>
      <c r="C31" s="35">
        <f>[20]С1.1!E20</f>
        <v>5.7000000000000002E-2</v>
      </c>
    </row>
    <row r="32" spans="1:3" ht="30" x14ac:dyDescent="0.2">
      <c r="A32" s="22" t="s">
        <v>16</v>
      </c>
      <c r="B32" s="36" t="s">
        <v>25</v>
      </c>
      <c r="C32" s="37">
        <f>[20]С1!F13</f>
        <v>176.4</v>
      </c>
    </row>
    <row r="33" spans="1:3" x14ac:dyDescent="0.2">
      <c r="A33" s="22" t="s">
        <v>18</v>
      </c>
      <c r="B33" s="36" t="s">
        <v>26</v>
      </c>
      <c r="C33" s="38">
        <f>[20]С1!F16</f>
        <v>7000</v>
      </c>
    </row>
    <row r="34" spans="1:3" ht="14.25" x14ac:dyDescent="0.2">
      <c r="A34" s="22" t="s">
        <v>27</v>
      </c>
      <c r="B34" s="39" t="s">
        <v>28</v>
      </c>
      <c r="C34" s="40">
        <f>[20]С1!F17</f>
        <v>0.72857142857142854</v>
      </c>
    </row>
    <row r="35" spans="1:3" ht="15.75" x14ac:dyDescent="0.2">
      <c r="A35" s="41" t="s">
        <v>29</v>
      </c>
      <c r="B35" s="42" t="s">
        <v>30</v>
      </c>
      <c r="C35" s="40">
        <f>[20]С1!F20</f>
        <v>21.588411179999994</v>
      </c>
    </row>
    <row r="36" spans="1:3" ht="15.75" x14ac:dyDescent="0.2">
      <c r="A36" s="41" t="s">
        <v>31</v>
      </c>
      <c r="B36" s="43" t="s">
        <v>32</v>
      </c>
      <c r="C36" s="40">
        <f>[20]С1!F21</f>
        <v>20.818139999999996</v>
      </c>
    </row>
    <row r="37" spans="1:3" ht="14.25" x14ac:dyDescent="0.2">
      <c r="A37" s="41" t="s">
        <v>33</v>
      </c>
      <c r="B37" s="44" t="s">
        <v>34</v>
      </c>
      <c r="C37" s="40">
        <f>[20]С1!F22</f>
        <v>1.0369999999999999</v>
      </c>
    </row>
    <row r="38" spans="1:3" ht="53.25" thickBot="1" x14ac:dyDescent="0.25">
      <c r="A38" s="27" t="s">
        <v>35</v>
      </c>
      <c r="B38" s="45" t="s">
        <v>36</v>
      </c>
      <c r="C38" s="46">
        <f>[20]С1!F23</f>
        <v>1.0469999999999999</v>
      </c>
    </row>
    <row r="39" spans="1:3" ht="13.5" thickBot="1" x14ac:dyDescent="0.25">
      <c r="A39" s="47"/>
      <c r="B39" s="48"/>
      <c r="C39" s="49"/>
    </row>
    <row r="40" spans="1:3" ht="30" customHeight="1" x14ac:dyDescent="0.2">
      <c r="A40" s="50" t="s">
        <v>37</v>
      </c>
      <c r="B40" s="165" t="s">
        <v>38</v>
      </c>
      <c r="C40" s="165"/>
    </row>
    <row r="41" spans="1:3" ht="25.5" x14ac:dyDescent="0.2">
      <c r="A41" s="22" t="s">
        <v>39</v>
      </c>
      <c r="B41" s="36" t="s">
        <v>40</v>
      </c>
      <c r="C41" s="51" t="str">
        <f>[20]С2.1!E12</f>
        <v>V</v>
      </c>
    </row>
    <row r="42" spans="1:3" ht="25.5" x14ac:dyDescent="0.2">
      <c r="A42" s="22" t="s">
        <v>41</v>
      </c>
      <c r="B42" s="33" t="s">
        <v>42</v>
      </c>
      <c r="C42" s="51" t="str">
        <f>[20]С2.1!E13</f>
        <v>6 и менее баллов</v>
      </c>
    </row>
    <row r="43" spans="1:3" ht="25.5" x14ac:dyDescent="0.2">
      <c r="A43" s="22" t="s">
        <v>43</v>
      </c>
      <c r="B43" s="33" t="s">
        <v>44</v>
      </c>
      <c r="C43" s="51" t="str">
        <f>[20]С2.1!E14</f>
        <v>от 200 до 500</v>
      </c>
    </row>
    <row r="44" spans="1:3" ht="25.5" x14ac:dyDescent="0.2">
      <c r="A44" s="22" t="s">
        <v>45</v>
      </c>
      <c r="B44" s="33" t="s">
        <v>46</v>
      </c>
      <c r="C44" s="52" t="str">
        <f>[20]С2.1!E15</f>
        <v>нет</v>
      </c>
    </row>
    <row r="45" spans="1:3" ht="30" x14ac:dyDescent="0.2">
      <c r="A45" s="22" t="s">
        <v>47</v>
      </c>
      <c r="B45" s="33" t="s">
        <v>48</v>
      </c>
      <c r="C45" s="34">
        <f>[20]С2!F18</f>
        <v>35106.652004551666</v>
      </c>
    </row>
    <row r="46" spans="1:3" ht="30" x14ac:dyDescent="0.2">
      <c r="A46" s="22" t="s">
        <v>49</v>
      </c>
      <c r="B46" s="53" t="s">
        <v>50</v>
      </c>
      <c r="C46" s="34">
        <f>IF([20]С2!F19&gt;0,[20]С2!F19,[20]С2!F20)</f>
        <v>23441.524932855718</v>
      </c>
    </row>
    <row r="47" spans="1:3" ht="25.5" x14ac:dyDescent="0.2">
      <c r="A47" s="22" t="s">
        <v>51</v>
      </c>
      <c r="B47" s="54" t="s">
        <v>52</v>
      </c>
      <c r="C47" s="34">
        <f>[20]С2.1!E19</f>
        <v>-38</v>
      </c>
    </row>
    <row r="48" spans="1:3" ht="25.5" x14ac:dyDescent="0.2">
      <c r="A48" s="22" t="s">
        <v>53</v>
      </c>
      <c r="B48" s="54" t="s">
        <v>54</v>
      </c>
      <c r="C48" s="34" t="str">
        <f>[20]С2.1!E22</f>
        <v>нет</v>
      </c>
    </row>
    <row r="49" spans="1:3" ht="38.25" x14ac:dyDescent="0.2">
      <c r="A49" s="22" t="s">
        <v>55</v>
      </c>
      <c r="B49" s="55" t="s">
        <v>56</v>
      </c>
      <c r="C49" s="34">
        <f>[20]С2.2!E10</f>
        <v>1287</v>
      </c>
    </row>
    <row r="50" spans="1:3" ht="25.5" x14ac:dyDescent="0.2">
      <c r="A50" s="22" t="s">
        <v>57</v>
      </c>
      <c r="B50" s="56" t="s">
        <v>58</v>
      </c>
      <c r="C50" s="34">
        <f>[20]С2.2!E12</f>
        <v>5.97</v>
      </c>
    </row>
    <row r="51" spans="1:3" ht="52.5" x14ac:dyDescent="0.2">
      <c r="A51" s="22" t="s">
        <v>59</v>
      </c>
      <c r="B51" s="57" t="s">
        <v>60</v>
      </c>
      <c r="C51" s="34">
        <f>[20]С2.2!E13</f>
        <v>1</v>
      </c>
    </row>
    <row r="52" spans="1:3" ht="27.75" x14ac:dyDescent="0.2">
      <c r="A52" s="22" t="s">
        <v>61</v>
      </c>
      <c r="B52" s="56" t="s">
        <v>62</v>
      </c>
      <c r="C52" s="34">
        <f>[20]С2.2!E14</f>
        <v>12104</v>
      </c>
    </row>
    <row r="53" spans="1:3" ht="25.5" x14ac:dyDescent="0.2">
      <c r="A53" s="22" t="s">
        <v>63</v>
      </c>
      <c r="B53" s="57" t="s">
        <v>64</v>
      </c>
      <c r="C53" s="35">
        <f>[20]С2.2!E15</f>
        <v>4.8000000000000001E-2</v>
      </c>
    </row>
    <row r="54" spans="1:3" x14ac:dyDescent="0.2">
      <c r="A54" s="22" t="s">
        <v>65</v>
      </c>
      <c r="B54" s="57" t="s">
        <v>66</v>
      </c>
      <c r="C54" s="34">
        <f>[20]С2.2!E16</f>
        <v>1</v>
      </c>
    </row>
    <row r="55" spans="1:3" ht="15.75" x14ac:dyDescent="0.2">
      <c r="A55" s="22" t="s">
        <v>67</v>
      </c>
      <c r="B55" s="58" t="s">
        <v>68</v>
      </c>
      <c r="C55" s="34">
        <f>[20]С2!F21</f>
        <v>1</v>
      </c>
    </row>
    <row r="56" spans="1:3" ht="30" x14ac:dyDescent="0.2">
      <c r="A56" s="59" t="s">
        <v>69</v>
      </c>
      <c r="B56" s="33" t="s">
        <v>70</v>
      </c>
      <c r="C56" s="34">
        <f>[20]С2!F13</f>
        <v>183796.83936385796</v>
      </c>
    </row>
    <row r="57" spans="1:3" ht="30" x14ac:dyDescent="0.2">
      <c r="A57" s="59" t="s">
        <v>71</v>
      </c>
      <c r="B57" s="58" t="s">
        <v>72</v>
      </c>
      <c r="C57" s="34">
        <f>[20]С2!F14</f>
        <v>113455</v>
      </c>
    </row>
    <row r="58" spans="1:3" ht="15.75" x14ac:dyDescent="0.2">
      <c r="A58" s="59" t="s">
        <v>73</v>
      </c>
      <c r="B58" s="60" t="s">
        <v>74</v>
      </c>
      <c r="C58" s="40">
        <f>[20]С2!F15</f>
        <v>1.071</v>
      </c>
    </row>
    <row r="59" spans="1:3" ht="15.75" x14ac:dyDescent="0.2">
      <c r="A59" s="59" t="s">
        <v>75</v>
      </c>
      <c r="B59" s="60" t="s">
        <v>76</v>
      </c>
      <c r="C59" s="40">
        <f>[20]С2!F16</f>
        <v>1</v>
      </c>
    </row>
    <row r="60" spans="1:3" ht="17.25" x14ac:dyDescent="0.2">
      <c r="A60" s="59" t="s">
        <v>77</v>
      </c>
      <c r="B60" s="58" t="s">
        <v>78</v>
      </c>
      <c r="C60" s="34">
        <f>[20]С2!F17</f>
        <v>1.01</v>
      </c>
    </row>
    <row r="61" spans="1:3" s="63" customFormat="1" ht="14.25" x14ac:dyDescent="0.2">
      <c r="A61" s="59" t="s">
        <v>79</v>
      </c>
      <c r="B61" s="61" t="s">
        <v>80</v>
      </c>
      <c r="C61" s="62">
        <f>[20]С2!F33</f>
        <v>10</v>
      </c>
    </row>
    <row r="62" spans="1:3" ht="30" x14ac:dyDescent="0.2">
      <c r="A62" s="59" t="s">
        <v>81</v>
      </c>
      <c r="B62" s="64" t="s">
        <v>82</v>
      </c>
      <c r="C62" s="34">
        <f>[20]С2!F26</f>
        <v>2780.7867618428891</v>
      </c>
    </row>
    <row r="63" spans="1:3" ht="17.25" x14ac:dyDescent="0.2">
      <c r="A63" s="59" t="s">
        <v>83</v>
      </c>
      <c r="B63" s="53" t="s">
        <v>84</v>
      </c>
      <c r="C63" s="34">
        <f>[20]С2!F27</f>
        <v>0.44209422600000003</v>
      </c>
    </row>
    <row r="64" spans="1:3" ht="17.25" x14ac:dyDescent="0.2">
      <c r="A64" s="59" t="s">
        <v>85</v>
      </c>
      <c r="B64" s="58" t="s">
        <v>86</v>
      </c>
      <c r="C64" s="62">
        <f>[20]С2!F28</f>
        <v>4200</v>
      </c>
    </row>
    <row r="65" spans="1:3" ht="42.75" x14ac:dyDescent="0.2">
      <c r="A65" s="59" t="s">
        <v>87</v>
      </c>
      <c r="B65" s="33" t="s">
        <v>88</v>
      </c>
      <c r="C65" s="34">
        <f>[20]С2!F22</f>
        <v>38698.422798410109</v>
      </c>
    </row>
    <row r="66" spans="1:3" ht="30" x14ac:dyDescent="0.2">
      <c r="A66" s="59" t="s">
        <v>89</v>
      </c>
      <c r="B66" s="60" t="s">
        <v>90</v>
      </c>
      <c r="C66" s="34">
        <f>[20]С2!F23</f>
        <v>1990</v>
      </c>
    </row>
    <row r="67" spans="1:3" ht="30" x14ac:dyDescent="0.2">
      <c r="A67" s="59" t="s">
        <v>91</v>
      </c>
      <c r="B67" s="53" t="s">
        <v>92</v>
      </c>
      <c r="C67" s="34">
        <f>[20]С2.1!E27</f>
        <v>14307.876789999998</v>
      </c>
    </row>
    <row r="68" spans="1:3" ht="38.25" x14ac:dyDescent="0.2">
      <c r="A68" s="59" t="s">
        <v>93</v>
      </c>
      <c r="B68" s="65" t="s">
        <v>94</v>
      </c>
      <c r="C68" s="52">
        <f>[20]С2.3!E21</f>
        <v>0</v>
      </c>
    </row>
    <row r="69" spans="1:3" ht="25.5" x14ac:dyDescent="0.2">
      <c r="A69" s="59" t="s">
        <v>95</v>
      </c>
      <c r="B69" s="66" t="s">
        <v>96</v>
      </c>
      <c r="C69" s="67">
        <f>[20]С2.3!E11</f>
        <v>9.89</v>
      </c>
    </row>
    <row r="70" spans="1:3" ht="25.5" x14ac:dyDescent="0.2">
      <c r="A70" s="59" t="s">
        <v>97</v>
      </c>
      <c r="B70" s="66" t="s">
        <v>98</v>
      </c>
      <c r="C70" s="62">
        <f>[20]С2.3!E13</f>
        <v>300</v>
      </c>
    </row>
    <row r="71" spans="1:3" ht="25.5" x14ac:dyDescent="0.2">
      <c r="A71" s="59" t="s">
        <v>99</v>
      </c>
      <c r="B71" s="65" t="s">
        <v>100</v>
      </c>
      <c r="C71" s="68">
        <f>IF([20]С2.3!E22&gt;0,[20]С2.3!E22,[20]С2.3!E14)</f>
        <v>61211</v>
      </c>
    </row>
    <row r="72" spans="1:3" ht="38.25" x14ac:dyDescent="0.2">
      <c r="A72" s="59" t="s">
        <v>101</v>
      </c>
      <c r="B72" s="65" t="s">
        <v>102</v>
      </c>
      <c r="C72" s="68">
        <f>IF([20]С2.3!E23&gt;0,[20]С2.3!E23,[20]С2.3!E15)</f>
        <v>45675</v>
      </c>
    </row>
    <row r="73" spans="1:3" ht="30" x14ac:dyDescent="0.2">
      <c r="A73" s="59" t="s">
        <v>103</v>
      </c>
      <c r="B73" s="53" t="s">
        <v>104</v>
      </c>
      <c r="C73" s="34">
        <f>[20]С2.1!E28</f>
        <v>9541.9567200000001</v>
      </c>
    </row>
    <row r="74" spans="1:3" ht="38.25" x14ac:dyDescent="0.2">
      <c r="A74" s="59" t="s">
        <v>105</v>
      </c>
      <c r="B74" s="65" t="s">
        <v>106</v>
      </c>
      <c r="C74" s="52">
        <f>[20]С2.3!E25</f>
        <v>0</v>
      </c>
    </row>
    <row r="75" spans="1:3" ht="25.5" x14ac:dyDescent="0.2">
      <c r="A75" s="59" t="s">
        <v>107</v>
      </c>
      <c r="B75" s="66" t="s">
        <v>108</v>
      </c>
      <c r="C75" s="67">
        <f>[20]С2.3!E12</f>
        <v>0.56000000000000005</v>
      </c>
    </row>
    <row r="76" spans="1:3" ht="25.5" x14ac:dyDescent="0.2">
      <c r="A76" s="59" t="s">
        <v>109</v>
      </c>
      <c r="B76" s="66" t="s">
        <v>98</v>
      </c>
      <c r="C76" s="62">
        <f>[20]С2.3!E13</f>
        <v>300</v>
      </c>
    </row>
    <row r="77" spans="1:3" ht="25.5" x14ac:dyDescent="0.2">
      <c r="A77" s="59" t="s">
        <v>110</v>
      </c>
      <c r="B77" s="69" t="s">
        <v>111</v>
      </c>
      <c r="C77" s="68">
        <f>IF([20]С2.3!E26&gt;0,[20]С2.3!E26,[20]С2.3!E16)</f>
        <v>65637</v>
      </c>
    </row>
    <row r="78" spans="1:3" ht="38.25" x14ac:dyDescent="0.2">
      <c r="A78" s="59" t="s">
        <v>112</v>
      </c>
      <c r="B78" s="69" t="s">
        <v>113</v>
      </c>
      <c r="C78" s="68">
        <f>IF([20]С2.3!E27&gt;0,[20]С2.3!E27,[20]С2.3!E17)</f>
        <v>31684</v>
      </c>
    </row>
    <row r="79" spans="1:3" ht="17.25" x14ac:dyDescent="0.2">
      <c r="A79" s="59" t="s">
        <v>114</v>
      </c>
      <c r="B79" s="33" t="s">
        <v>115</v>
      </c>
      <c r="C79" s="35">
        <f>[20]С2!F29</f>
        <v>9.5962865259740182E-2</v>
      </c>
    </row>
    <row r="80" spans="1:3" ht="30" x14ac:dyDescent="0.2">
      <c r="A80" s="59" t="s">
        <v>116</v>
      </c>
      <c r="B80" s="53" t="s">
        <v>117</v>
      </c>
      <c r="C80" s="70">
        <f>[20]С2!F30</f>
        <v>8.4029304029304031E-2</v>
      </c>
    </row>
    <row r="81" spans="1:3" ht="17.25" x14ac:dyDescent="0.2">
      <c r="A81" s="59" t="s">
        <v>118</v>
      </c>
      <c r="B81" s="71" t="s">
        <v>119</v>
      </c>
      <c r="C81" s="35">
        <f>[20]С2!F31</f>
        <v>0.13880000000000001</v>
      </c>
    </row>
    <row r="82" spans="1:3" s="63" customFormat="1" ht="18" thickBot="1" x14ac:dyDescent="0.25">
      <c r="A82" s="72" t="s">
        <v>120</v>
      </c>
      <c r="B82" s="73" t="s">
        <v>121</v>
      </c>
      <c r="C82" s="74">
        <f>[20]С2!F32</f>
        <v>0.12640000000000001</v>
      </c>
    </row>
    <row r="83" spans="1:3" ht="13.5" thickBot="1" x14ac:dyDescent="0.25">
      <c r="A83" s="47"/>
      <c r="B83" s="75"/>
      <c r="C83" s="15"/>
    </row>
    <row r="84" spans="1:3" s="63" customFormat="1" ht="30" customHeight="1" x14ac:dyDescent="0.2">
      <c r="A84" s="76" t="s">
        <v>122</v>
      </c>
      <c r="B84" s="165" t="s">
        <v>123</v>
      </c>
      <c r="C84" s="165"/>
    </row>
    <row r="85" spans="1:3" s="63" customFormat="1" ht="30" x14ac:dyDescent="0.2">
      <c r="A85" s="77" t="s">
        <v>124</v>
      </c>
      <c r="B85" s="33" t="s">
        <v>125</v>
      </c>
      <c r="C85" s="34">
        <f>[20]С3!F14</f>
        <v>6117.6201782637581</v>
      </c>
    </row>
    <row r="86" spans="1:3" s="63" customFormat="1" ht="42.75" x14ac:dyDescent="0.2">
      <c r="A86" s="77" t="s">
        <v>126</v>
      </c>
      <c r="B86" s="53" t="s">
        <v>127</v>
      </c>
      <c r="C86" s="78">
        <f>[20]С3!F15</f>
        <v>0.2</v>
      </c>
    </row>
    <row r="87" spans="1:3" s="63" customFormat="1" ht="14.25" x14ac:dyDescent="0.2">
      <c r="A87" s="77" t="s">
        <v>128</v>
      </c>
      <c r="B87" s="79" t="s">
        <v>129</v>
      </c>
      <c r="C87" s="62">
        <f>[20]С3!F18</f>
        <v>15</v>
      </c>
    </row>
    <row r="88" spans="1:3" s="63" customFormat="1" ht="17.25" x14ac:dyDescent="0.2">
      <c r="A88" s="77" t="s">
        <v>130</v>
      </c>
      <c r="B88" s="33" t="s">
        <v>131</v>
      </c>
      <c r="C88" s="34">
        <f>[20]С3!F19</f>
        <v>3778.1614077800232</v>
      </c>
    </row>
    <row r="89" spans="1:3" s="63" customFormat="1" ht="55.5" x14ac:dyDescent="0.2">
      <c r="A89" s="77" t="s">
        <v>132</v>
      </c>
      <c r="B89" s="53" t="s">
        <v>133</v>
      </c>
      <c r="C89" s="80">
        <f>[20]С3!F20</f>
        <v>2.1999999999999999E-2</v>
      </c>
    </row>
    <row r="90" spans="1:3" s="63" customFormat="1" ht="14.25" x14ac:dyDescent="0.2">
      <c r="A90" s="77" t="s">
        <v>134</v>
      </c>
      <c r="B90" s="58" t="s">
        <v>80</v>
      </c>
      <c r="C90" s="62">
        <f>[20]С3!F21</f>
        <v>10</v>
      </c>
    </row>
    <row r="91" spans="1:3" s="63" customFormat="1" ht="17.25" x14ac:dyDescent="0.2">
      <c r="A91" s="77" t="s">
        <v>135</v>
      </c>
      <c r="B91" s="33" t="s">
        <v>136</v>
      </c>
      <c r="C91" s="34">
        <f>[20]С3!F22</f>
        <v>8.3423602855286667</v>
      </c>
    </row>
    <row r="92" spans="1:3" s="63" customFormat="1" ht="55.5" x14ac:dyDescent="0.2">
      <c r="A92" s="77" t="s">
        <v>137</v>
      </c>
      <c r="B92" s="53" t="s">
        <v>138</v>
      </c>
      <c r="C92" s="80">
        <f>[20]С3!F23</f>
        <v>3.0000000000000001E-3</v>
      </c>
    </row>
    <row r="93" spans="1:3" s="63" customFormat="1" ht="27.75" thickBot="1" x14ac:dyDescent="0.25">
      <c r="A93" s="81" t="s">
        <v>139</v>
      </c>
      <c r="B93" s="82" t="s">
        <v>140</v>
      </c>
      <c r="C93" s="83">
        <f>[20]С3!F24</f>
        <v>2780.7867618428891</v>
      </c>
    </row>
    <row r="94" spans="1:3" ht="13.5" thickBot="1" x14ac:dyDescent="0.25">
      <c r="A94" s="47"/>
      <c r="B94" s="75"/>
      <c r="C94" s="15"/>
    </row>
    <row r="95" spans="1:3" ht="30" customHeight="1" x14ac:dyDescent="0.2">
      <c r="A95" s="84" t="s">
        <v>141</v>
      </c>
      <c r="B95" s="165" t="s">
        <v>142</v>
      </c>
      <c r="C95" s="165"/>
    </row>
    <row r="96" spans="1:3" ht="30" x14ac:dyDescent="0.2">
      <c r="A96" s="59" t="s">
        <v>143</v>
      </c>
      <c r="B96" s="33" t="s">
        <v>144</v>
      </c>
      <c r="C96" s="34">
        <f>[20]С4!F16</f>
        <v>1652.5</v>
      </c>
    </row>
    <row r="97" spans="1:3" ht="30" x14ac:dyDescent="0.2">
      <c r="A97" s="59" t="s">
        <v>145</v>
      </c>
      <c r="B97" s="58" t="s">
        <v>146</v>
      </c>
      <c r="C97" s="34">
        <f>[20]С4!F17</f>
        <v>73547</v>
      </c>
    </row>
    <row r="98" spans="1:3" ht="17.25" x14ac:dyDescent="0.2">
      <c r="A98" s="59" t="s">
        <v>147</v>
      </c>
      <c r="B98" s="58" t="s">
        <v>148</v>
      </c>
      <c r="C98" s="40">
        <f>[20]С4!F18</f>
        <v>0.02</v>
      </c>
    </row>
    <row r="99" spans="1:3" ht="30" x14ac:dyDescent="0.2">
      <c r="A99" s="59" t="s">
        <v>149</v>
      </c>
      <c r="B99" s="58" t="s">
        <v>150</v>
      </c>
      <c r="C99" s="34">
        <f>[20]С4!F19</f>
        <v>12104</v>
      </c>
    </row>
    <row r="100" spans="1:3" ht="31.5" x14ac:dyDescent="0.2">
      <c r="A100" s="59" t="s">
        <v>151</v>
      </c>
      <c r="B100" s="58" t="s">
        <v>152</v>
      </c>
      <c r="C100" s="40">
        <f>[20]С4!F20</f>
        <v>1.4999999999999999E-2</v>
      </c>
    </row>
    <row r="101" spans="1:3" ht="30" x14ac:dyDescent="0.2">
      <c r="A101" s="59" t="s">
        <v>153</v>
      </c>
      <c r="B101" s="33" t="s">
        <v>154</v>
      </c>
      <c r="C101" s="34">
        <f>[20]С4!F21</f>
        <v>1933.1949342509995</v>
      </c>
    </row>
    <row r="102" spans="1:3" ht="24" customHeight="1" x14ac:dyDescent="0.2">
      <c r="A102" s="59" t="s">
        <v>155</v>
      </c>
      <c r="B102" s="53" t="s">
        <v>156</v>
      </c>
      <c r="C102" s="85">
        <f>IF([20]С4.2!F8="да",[20]С4.2!D21,[20]С4.2!D15)</f>
        <v>0</v>
      </c>
    </row>
    <row r="103" spans="1:3" ht="68.25" x14ac:dyDescent="0.2">
      <c r="A103" s="59" t="s">
        <v>157</v>
      </c>
      <c r="B103" s="53" t="s">
        <v>158</v>
      </c>
      <c r="C103" s="34">
        <f>[20]С4!F22</f>
        <v>3.6112641666666665</v>
      </c>
    </row>
    <row r="104" spans="1:3" ht="30" x14ac:dyDescent="0.2">
      <c r="A104" s="59" t="s">
        <v>159</v>
      </c>
      <c r="B104" s="58" t="s">
        <v>160</v>
      </c>
      <c r="C104" s="34">
        <f>[20]С4!F23</f>
        <v>180</v>
      </c>
    </row>
    <row r="105" spans="1:3" ht="14.25" x14ac:dyDescent="0.2">
      <c r="A105" s="59" t="s">
        <v>161</v>
      </c>
      <c r="B105" s="53" t="s">
        <v>162</v>
      </c>
      <c r="C105" s="34">
        <f>[20]С4!F24</f>
        <v>8497.1999999999989</v>
      </c>
    </row>
    <row r="106" spans="1:3" ht="14.25" x14ac:dyDescent="0.2">
      <c r="A106" s="59" t="s">
        <v>163</v>
      </c>
      <c r="B106" s="58" t="s">
        <v>164</v>
      </c>
      <c r="C106" s="40">
        <f>[20]С4!F25</f>
        <v>0.35</v>
      </c>
    </row>
    <row r="107" spans="1:3" ht="17.25" x14ac:dyDescent="0.2">
      <c r="A107" s="59" t="s">
        <v>165</v>
      </c>
      <c r="B107" s="33" t="s">
        <v>166</v>
      </c>
      <c r="C107" s="34">
        <f>[20]С4!F26</f>
        <v>85.988129999999998</v>
      </c>
    </row>
    <row r="108" spans="1:3" ht="25.5" x14ac:dyDescent="0.2">
      <c r="A108" s="59" t="s">
        <v>167</v>
      </c>
      <c r="B108" s="53" t="s">
        <v>94</v>
      </c>
      <c r="C108" s="85">
        <f>[20]С4.3!E16</f>
        <v>0</v>
      </c>
    </row>
    <row r="109" spans="1:3" ht="25.5" x14ac:dyDescent="0.2">
      <c r="A109" s="59" t="s">
        <v>168</v>
      </c>
      <c r="B109" s="53" t="s">
        <v>169</v>
      </c>
      <c r="C109" s="34">
        <f>[20]С4.3!E17</f>
        <v>20.350000000000001</v>
      </c>
    </row>
    <row r="110" spans="1:3" ht="38.25" x14ac:dyDescent="0.2">
      <c r="A110" s="59" t="s">
        <v>170</v>
      </c>
      <c r="B110" s="53" t="s">
        <v>106</v>
      </c>
      <c r="C110" s="85">
        <f>[20]С4.3!E18</f>
        <v>0</v>
      </c>
    </row>
    <row r="111" spans="1:3" x14ac:dyDescent="0.2">
      <c r="A111" s="59" t="s">
        <v>171</v>
      </c>
      <c r="B111" s="53" t="s">
        <v>172</v>
      </c>
      <c r="C111" s="34">
        <f>[20]С4.3!E19</f>
        <v>71.67</v>
      </c>
    </row>
    <row r="112" spans="1:3" x14ac:dyDescent="0.2">
      <c r="A112" s="59" t="s">
        <v>173</v>
      </c>
      <c r="B112" s="58" t="s">
        <v>174</v>
      </c>
      <c r="C112" s="34">
        <f>[20]С4.3!E11</f>
        <v>1871</v>
      </c>
    </row>
    <row r="113" spans="1:3" x14ac:dyDescent="0.2">
      <c r="A113" s="59" t="s">
        <v>175</v>
      </c>
      <c r="B113" s="58" t="s">
        <v>176</v>
      </c>
      <c r="C113" s="52">
        <f>[20]С4.3!E12</f>
        <v>1636</v>
      </c>
    </row>
    <row r="114" spans="1:3" x14ac:dyDescent="0.2">
      <c r="A114" s="59" t="s">
        <v>177</v>
      </c>
      <c r="B114" s="58" t="s">
        <v>178</v>
      </c>
      <c r="C114" s="52">
        <f>[20]С4.3!E13</f>
        <v>204</v>
      </c>
    </row>
    <row r="115" spans="1:3" ht="30" x14ac:dyDescent="0.2">
      <c r="A115" s="59" t="s">
        <v>179</v>
      </c>
      <c r="B115" s="33" t="s">
        <v>180</v>
      </c>
      <c r="C115" s="34">
        <f>[20]С4!F27</f>
        <v>1291.2863994686898</v>
      </c>
    </row>
    <row r="116" spans="1:3" ht="25.5" x14ac:dyDescent="0.2">
      <c r="A116" s="59" t="s">
        <v>181</v>
      </c>
      <c r="B116" s="53" t="s">
        <v>182</v>
      </c>
      <c r="C116" s="34">
        <f>[20]С4!F28</f>
        <v>991.77142816335618</v>
      </c>
    </row>
    <row r="117" spans="1:3" ht="42.75" x14ac:dyDescent="0.2">
      <c r="A117" s="59" t="s">
        <v>183</v>
      </c>
      <c r="B117" s="53" t="s">
        <v>184</v>
      </c>
      <c r="C117" s="34">
        <f>[20]С4!F29</f>
        <v>299.51497130533357</v>
      </c>
    </row>
    <row r="118" spans="1:3" ht="30" x14ac:dyDescent="0.2">
      <c r="A118" s="59" t="s">
        <v>185</v>
      </c>
      <c r="B118" s="39" t="s">
        <v>186</v>
      </c>
      <c r="C118" s="34">
        <f>[20]С4!F30</f>
        <v>1708.5430685767656</v>
      </c>
    </row>
    <row r="119" spans="1:3" ht="42.75" x14ac:dyDescent="0.2">
      <c r="A119" s="59" t="s">
        <v>187</v>
      </c>
      <c r="B119" s="86" t="s">
        <v>188</v>
      </c>
      <c r="C119" s="34">
        <f>[20]С4!F33</f>
        <v>986.46332023711193</v>
      </c>
    </row>
    <row r="120" spans="1:3" ht="30" x14ac:dyDescent="0.2">
      <c r="A120" s="59" t="s">
        <v>189</v>
      </c>
      <c r="B120" s="87" t="s">
        <v>190</v>
      </c>
      <c r="C120" s="34">
        <f>[20]С4!F35</f>
        <v>17.040680999999999</v>
      </c>
    </row>
    <row r="121" spans="1:3" ht="14.25" x14ac:dyDescent="0.2">
      <c r="A121" s="59" t="s">
        <v>191</v>
      </c>
      <c r="B121" s="56" t="s">
        <v>192</v>
      </c>
      <c r="C121" s="34">
        <f>[20]С4!F36</f>
        <v>14319.9</v>
      </c>
    </row>
    <row r="122" spans="1:3" ht="28.5" thickBot="1" x14ac:dyDescent="0.25">
      <c r="A122" s="72" t="s">
        <v>193</v>
      </c>
      <c r="B122" s="88" t="s">
        <v>194</v>
      </c>
      <c r="C122" s="83">
        <f>[20]С4!F37</f>
        <v>1.19</v>
      </c>
    </row>
    <row r="123" spans="1:3" s="89" customFormat="1" ht="13.5" thickBot="1" x14ac:dyDescent="0.25">
      <c r="A123" s="47"/>
      <c r="B123" s="75"/>
      <c r="C123" s="15"/>
    </row>
    <row r="124" spans="1:3" s="63" customFormat="1" ht="30" customHeight="1" x14ac:dyDescent="0.2">
      <c r="A124" s="76" t="s">
        <v>195</v>
      </c>
      <c r="B124" s="165" t="s">
        <v>196</v>
      </c>
      <c r="C124" s="165"/>
    </row>
    <row r="125" spans="1:3" ht="16.5" thickBot="1" x14ac:dyDescent="0.25">
      <c r="A125" s="27" t="s">
        <v>197</v>
      </c>
      <c r="B125" s="90" t="s">
        <v>198</v>
      </c>
      <c r="C125" s="83">
        <f>[20]С5!F17</f>
        <v>0.02</v>
      </c>
    </row>
    <row r="126" spans="1:3" s="89" customFormat="1" ht="13.5" thickBot="1" x14ac:dyDescent="0.25">
      <c r="A126" s="47"/>
      <c r="B126" s="75"/>
      <c r="C126" s="15"/>
    </row>
    <row r="127" spans="1:3" ht="42.75" customHeight="1" x14ac:dyDescent="0.2">
      <c r="A127" s="84" t="s">
        <v>199</v>
      </c>
      <c r="B127" s="166" t="s">
        <v>200</v>
      </c>
      <c r="C127" s="166"/>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[20]С2!F37</f>
        <v>20.818139999999996</v>
      </c>
    </row>
    <row r="136" spans="1:4" ht="14.25" x14ac:dyDescent="0.2">
      <c r="A136" s="59" t="s">
        <v>216</v>
      </c>
      <c r="B136" s="101" t="s">
        <v>217</v>
      </c>
      <c r="C136" s="34">
        <f>[20]С2!F38</f>
        <v>7</v>
      </c>
    </row>
    <row r="137" spans="1:4" ht="17.25" x14ac:dyDescent="0.2">
      <c r="A137" s="59" t="s">
        <v>218</v>
      </c>
      <c r="B137" s="101" t="s">
        <v>219</v>
      </c>
      <c r="C137" s="34">
        <f>[20]С2!F40</f>
        <v>0.97</v>
      </c>
    </row>
    <row r="138" spans="1:4" ht="15" thickBot="1" x14ac:dyDescent="0.25">
      <c r="A138" s="72" t="s">
        <v>220</v>
      </c>
      <c r="B138" s="102" t="s">
        <v>221</v>
      </c>
      <c r="C138" s="46">
        <f>[20]С2!F42</f>
        <v>0.35</v>
      </c>
    </row>
    <row r="139" spans="1:4" s="89" customFormat="1" ht="13.5" thickBot="1" x14ac:dyDescent="0.25">
      <c r="A139" s="47"/>
      <c r="B139" s="75"/>
      <c r="C139" s="15"/>
    </row>
    <row r="140" spans="1:4" ht="30" x14ac:dyDescent="0.2">
      <c r="A140" s="84" t="s">
        <v>222</v>
      </c>
      <c r="B140" s="103" t="s">
        <v>223</v>
      </c>
      <c r="C140" s="104">
        <f>[20]С2!F35</f>
        <v>1.4976266307379205</v>
      </c>
      <c r="D140" s="89"/>
    </row>
    <row r="141" spans="1:4" ht="22.7" customHeight="1" thickBot="1" x14ac:dyDescent="0.25">
      <c r="A141" s="72" t="s">
        <v>224</v>
      </c>
      <c r="B141" s="161" t="s">
        <v>225</v>
      </c>
      <c r="C141" s="161"/>
      <c r="D141" s="89"/>
    </row>
    <row r="142" spans="1:4" ht="13.5" thickBot="1" x14ac:dyDescent="0.25">
      <c r="A142" s="105"/>
      <c r="B142" s="106" t="s">
        <v>226</v>
      </c>
      <c r="C142" s="107"/>
      <c r="D142" s="89"/>
    </row>
    <row r="143" spans="1:4" x14ac:dyDescent="0.2">
      <c r="A143" s="105"/>
      <c r="B143" s="108">
        <v>2020</v>
      </c>
      <c r="C143" s="109">
        <f>[20]С2.5!$E$11</f>
        <v>-2.9000000000000026E-2</v>
      </c>
      <c r="D143" s="89"/>
    </row>
    <row r="144" spans="1:4" x14ac:dyDescent="0.2">
      <c r="A144" s="105"/>
      <c r="B144" s="110">
        <f>B143+1</f>
        <v>2021</v>
      </c>
      <c r="C144" s="111">
        <f>[20]С2.5!$F$11</f>
        <v>0.245</v>
      </c>
      <c r="D144" s="89"/>
    </row>
    <row r="145" spans="1:4" x14ac:dyDescent="0.2">
      <c r="A145" s="105"/>
      <c r="B145" s="110">
        <f t="shared" ref="B145:B208" si="0">B144+1</f>
        <v>2022</v>
      </c>
      <c r="C145" s="111">
        <f>[20]С2.5!$G$11</f>
        <v>0.114</v>
      </c>
      <c r="D145" s="89"/>
    </row>
    <row r="146" spans="1:4" ht="13.5" thickBot="1" x14ac:dyDescent="0.25">
      <c r="A146" s="105"/>
      <c r="B146" s="112">
        <f t="shared" si="0"/>
        <v>2023</v>
      </c>
      <c r="C146" s="113">
        <f>[20]С2.5!$H$11</f>
        <v>2.4E-2</v>
      </c>
      <c r="D146" s="89"/>
    </row>
    <row r="147" spans="1:4" x14ac:dyDescent="0.2">
      <c r="A147" s="105"/>
      <c r="B147" s="114">
        <f t="shared" si="0"/>
        <v>2024</v>
      </c>
      <c r="C147" s="115">
        <f>[20]С2.5!$I$11</f>
        <v>8.5999999999999993E-2</v>
      </c>
      <c r="D147" s="89"/>
    </row>
    <row r="148" spans="1:4" hidden="1" x14ac:dyDescent="0.2">
      <c r="A148" s="105"/>
      <c r="B148" s="110">
        <f t="shared" si="0"/>
        <v>2025</v>
      </c>
      <c r="C148" s="111">
        <f>[20]С2.5!$J$11</f>
        <v>0.21215960863291</v>
      </c>
      <c r="D148" s="89"/>
    </row>
    <row r="149" spans="1:4" hidden="1" x14ac:dyDescent="0.2">
      <c r="A149" s="105"/>
      <c r="B149" s="110">
        <f t="shared" si="0"/>
        <v>2026</v>
      </c>
      <c r="C149" s="111">
        <f>[20]С2.5!$K$11</f>
        <v>3.5813361771260002E-2</v>
      </c>
      <c r="D149" s="89"/>
    </row>
    <row r="150" spans="1:4" hidden="1" x14ac:dyDescent="0.2">
      <c r="A150" s="105"/>
      <c r="B150" s="110">
        <f t="shared" si="0"/>
        <v>2027</v>
      </c>
      <c r="C150" s="111">
        <f>[20]С2.5!$L$11</f>
        <v>3.2682303599220003E-2</v>
      </c>
      <c r="D150" s="89"/>
    </row>
    <row r="151" spans="1:4" hidden="1" x14ac:dyDescent="0.2">
      <c r="A151" s="105"/>
      <c r="B151" s="110">
        <f t="shared" si="0"/>
        <v>2028</v>
      </c>
      <c r="C151" s="111">
        <f>[20]С2.5!$M$11</f>
        <v>0</v>
      </c>
      <c r="D151" s="89"/>
    </row>
    <row r="152" spans="1:4" hidden="1" x14ac:dyDescent="0.2">
      <c r="A152" s="105"/>
      <c r="B152" s="110">
        <f t="shared" si="0"/>
        <v>2029</v>
      </c>
      <c r="C152" s="111">
        <f>[20]С2.5!$N$11</f>
        <v>0</v>
      </c>
      <c r="D152" s="89"/>
    </row>
    <row r="153" spans="1:4" hidden="1" x14ac:dyDescent="0.2">
      <c r="A153" s="105"/>
      <c r="B153" s="110">
        <f t="shared" si="0"/>
        <v>2030</v>
      </c>
      <c r="C153" s="111">
        <f>[20]С2.5!$O$11</f>
        <v>0</v>
      </c>
      <c r="D153" s="89"/>
    </row>
    <row r="154" spans="1:4" hidden="1" x14ac:dyDescent="0.2">
      <c r="A154" s="105"/>
      <c r="B154" s="110">
        <f t="shared" si="0"/>
        <v>2031</v>
      </c>
      <c r="C154" s="111">
        <f>[20]С2.5!$P$11</f>
        <v>0</v>
      </c>
      <c r="D154" s="89"/>
    </row>
    <row r="155" spans="1:4" hidden="1" x14ac:dyDescent="0.2">
      <c r="A155" s="89"/>
      <c r="B155" s="110">
        <f t="shared" si="0"/>
        <v>2032</v>
      </c>
      <c r="C155" s="111">
        <f>[20]С2.5!$Q$11</f>
        <v>0</v>
      </c>
      <c r="D155" s="89"/>
    </row>
    <row r="156" spans="1:4" hidden="1" x14ac:dyDescent="0.2">
      <c r="A156" s="89"/>
      <c r="B156" s="110">
        <f t="shared" si="0"/>
        <v>2033</v>
      </c>
      <c r="C156" s="111">
        <f>[20]С2.5!$R$11</f>
        <v>0</v>
      </c>
      <c r="D156" s="89"/>
    </row>
    <row r="157" spans="1:4" hidden="1" x14ac:dyDescent="0.2">
      <c r="B157" s="110">
        <f t="shared" si="0"/>
        <v>2034</v>
      </c>
      <c r="C157" s="111">
        <f>[20]С2.5!$S$11</f>
        <v>0</v>
      </c>
    </row>
    <row r="158" spans="1:4" hidden="1" x14ac:dyDescent="0.2">
      <c r="B158" s="110">
        <f t="shared" si="0"/>
        <v>2035</v>
      </c>
      <c r="C158" s="111">
        <f>[20]С2.5!$T$11</f>
        <v>0</v>
      </c>
    </row>
    <row r="159" spans="1:4" hidden="1" x14ac:dyDescent="0.2">
      <c r="B159" s="110">
        <f t="shared" si="0"/>
        <v>2036</v>
      </c>
      <c r="C159" s="111">
        <f>[20]С2.5!$U$11</f>
        <v>0</v>
      </c>
    </row>
    <row r="160" spans="1:4" hidden="1" x14ac:dyDescent="0.2">
      <c r="B160" s="110">
        <f t="shared" si="0"/>
        <v>2037</v>
      </c>
      <c r="C160" s="111">
        <f>[20]С2.5!$V$11</f>
        <v>0</v>
      </c>
    </row>
    <row r="161" spans="2:3" hidden="1" x14ac:dyDescent="0.2">
      <c r="B161" s="110">
        <f t="shared" si="0"/>
        <v>2038</v>
      </c>
      <c r="C161" s="111">
        <f>[20]С2.5!$W$11</f>
        <v>0</v>
      </c>
    </row>
    <row r="162" spans="2:3" hidden="1" x14ac:dyDescent="0.2">
      <c r="B162" s="110">
        <f t="shared" si="0"/>
        <v>2039</v>
      </c>
      <c r="C162" s="111">
        <f>[20]С2.5!$X$11</f>
        <v>0</v>
      </c>
    </row>
    <row r="163" spans="2:3" hidden="1" x14ac:dyDescent="0.2">
      <c r="B163" s="110">
        <f t="shared" si="0"/>
        <v>2040</v>
      </c>
      <c r="C163" s="111">
        <f>[20]С2.5!$Y$11</f>
        <v>0</v>
      </c>
    </row>
    <row r="164" spans="2:3" hidden="1" x14ac:dyDescent="0.2">
      <c r="B164" s="110">
        <f t="shared" si="0"/>
        <v>2041</v>
      </c>
      <c r="C164" s="111">
        <f>[20]С2.5!$Z$11</f>
        <v>0</v>
      </c>
    </row>
    <row r="165" spans="2:3" hidden="1" x14ac:dyDescent="0.2">
      <c r="B165" s="110">
        <f t="shared" si="0"/>
        <v>2042</v>
      </c>
      <c r="C165" s="111">
        <f>[20]С2.5!$AA$11</f>
        <v>0</v>
      </c>
    </row>
    <row r="166" spans="2:3" hidden="1" x14ac:dyDescent="0.2">
      <c r="B166" s="110">
        <f t="shared" si="0"/>
        <v>2043</v>
      </c>
      <c r="C166" s="111">
        <f>[20]С2.5!$AB$11</f>
        <v>0</v>
      </c>
    </row>
    <row r="167" spans="2:3" hidden="1" x14ac:dyDescent="0.2">
      <c r="B167" s="110">
        <f t="shared" si="0"/>
        <v>2044</v>
      </c>
      <c r="C167" s="111">
        <f>[20]С2.5!$AC$11</f>
        <v>0</v>
      </c>
    </row>
    <row r="168" spans="2:3" hidden="1" x14ac:dyDescent="0.2">
      <c r="B168" s="110">
        <f t="shared" si="0"/>
        <v>2045</v>
      </c>
      <c r="C168" s="111">
        <f>[20]С2.5!$AD$11</f>
        <v>0</v>
      </c>
    </row>
    <row r="169" spans="2:3" hidden="1" x14ac:dyDescent="0.2">
      <c r="B169" s="110">
        <f t="shared" si="0"/>
        <v>2046</v>
      </c>
      <c r="C169" s="111">
        <f>[20]С2.5!$AE$11</f>
        <v>0</v>
      </c>
    </row>
    <row r="170" spans="2:3" hidden="1" x14ac:dyDescent="0.2">
      <c r="B170" s="110">
        <f t="shared" si="0"/>
        <v>2047</v>
      </c>
      <c r="C170" s="111">
        <f>[20]С2.5!$AF$11</f>
        <v>0</v>
      </c>
    </row>
    <row r="171" spans="2:3" hidden="1" x14ac:dyDescent="0.2">
      <c r="B171" s="110">
        <f t="shared" si="0"/>
        <v>2048</v>
      </c>
      <c r="C171" s="111">
        <f>[20]С2.5!$AG$11</f>
        <v>0</v>
      </c>
    </row>
    <row r="172" spans="2:3" hidden="1" x14ac:dyDescent="0.2">
      <c r="B172" s="110">
        <f t="shared" si="0"/>
        <v>2049</v>
      </c>
      <c r="C172" s="111">
        <f>[20]С2.5!$AH$11</f>
        <v>0</v>
      </c>
    </row>
    <row r="173" spans="2:3" hidden="1" x14ac:dyDescent="0.2">
      <c r="B173" s="110">
        <f t="shared" si="0"/>
        <v>2050</v>
      </c>
      <c r="C173" s="111">
        <f>[20]С2.5!$AI$11</f>
        <v>0</v>
      </c>
    </row>
    <row r="174" spans="2:3" hidden="1" x14ac:dyDescent="0.2">
      <c r="B174" s="110">
        <f t="shared" si="0"/>
        <v>2051</v>
      </c>
      <c r="C174" s="111">
        <f>[20]С2.5!$AJ$11</f>
        <v>0</v>
      </c>
    </row>
    <row r="175" spans="2:3" hidden="1" x14ac:dyDescent="0.2">
      <c r="B175" s="110">
        <f t="shared" si="0"/>
        <v>2052</v>
      </c>
      <c r="C175" s="111">
        <f>[20]С2.5!$AK$11</f>
        <v>0</v>
      </c>
    </row>
    <row r="176" spans="2:3" hidden="1" x14ac:dyDescent="0.2">
      <c r="B176" s="110">
        <f t="shared" si="0"/>
        <v>2053</v>
      </c>
      <c r="C176" s="111">
        <f>[20]С2.5!$AL$11</f>
        <v>0</v>
      </c>
    </row>
    <row r="177" spans="2:3" hidden="1" x14ac:dyDescent="0.2">
      <c r="B177" s="110">
        <f t="shared" si="0"/>
        <v>2054</v>
      </c>
      <c r="C177" s="111">
        <f>[20]С2.5!$AM$11</f>
        <v>0</v>
      </c>
    </row>
    <row r="178" spans="2:3" hidden="1" x14ac:dyDescent="0.2">
      <c r="B178" s="110">
        <f t="shared" si="0"/>
        <v>2055</v>
      </c>
      <c r="C178" s="111">
        <f>[20]С2.5!$AN$11</f>
        <v>0</v>
      </c>
    </row>
    <row r="179" spans="2:3" hidden="1" x14ac:dyDescent="0.2">
      <c r="B179" s="110">
        <f t="shared" si="0"/>
        <v>2056</v>
      </c>
      <c r="C179" s="111">
        <f>[20]С2.5!$AO$11</f>
        <v>0</v>
      </c>
    </row>
    <row r="180" spans="2:3" hidden="1" x14ac:dyDescent="0.2">
      <c r="B180" s="110">
        <f t="shared" si="0"/>
        <v>2057</v>
      </c>
      <c r="C180" s="111">
        <f>[20]С2.5!$AP$11</f>
        <v>0</v>
      </c>
    </row>
    <row r="181" spans="2:3" hidden="1" x14ac:dyDescent="0.2">
      <c r="B181" s="110">
        <f t="shared" si="0"/>
        <v>2058</v>
      </c>
      <c r="C181" s="111">
        <f>[20]С2.5!$AQ$11</f>
        <v>0</v>
      </c>
    </row>
    <row r="182" spans="2:3" hidden="1" x14ac:dyDescent="0.2">
      <c r="B182" s="110">
        <f t="shared" si="0"/>
        <v>2059</v>
      </c>
      <c r="C182" s="111">
        <f>[20]С2.5!$AR$11</f>
        <v>0</v>
      </c>
    </row>
    <row r="183" spans="2:3" hidden="1" x14ac:dyDescent="0.2">
      <c r="B183" s="110">
        <f t="shared" si="0"/>
        <v>2060</v>
      </c>
      <c r="C183" s="111">
        <f>[20]С2.5!$AS$11</f>
        <v>0</v>
      </c>
    </row>
    <row r="184" spans="2:3" hidden="1" x14ac:dyDescent="0.2">
      <c r="B184" s="110">
        <f t="shared" si="0"/>
        <v>2061</v>
      </c>
      <c r="C184" s="111">
        <f>[20]С2.5!$AT$11</f>
        <v>0</v>
      </c>
    </row>
    <row r="185" spans="2:3" hidden="1" x14ac:dyDescent="0.2">
      <c r="B185" s="110">
        <f t="shared" si="0"/>
        <v>2062</v>
      </c>
      <c r="C185" s="111">
        <f>[20]С2.5!$AU$11</f>
        <v>0</v>
      </c>
    </row>
    <row r="186" spans="2:3" hidden="1" x14ac:dyDescent="0.2">
      <c r="B186" s="110">
        <f t="shared" si="0"/>
        <v>2063</v>
      </c>
      <c r="C186" s="111">
        <f>[20]С2.5!$AV$11</f>
        <v>0</v>
      </c>
    </row>
    <row r="187" spans="2:3" hidden="1" x14ac:dyDescent="0.2">
      <c r="B187" s="110">
        <f t="shared" si="0"/>
        <v>2064</v>
      </c>
      <c r="C187" s="111">
        <f>[20]С2.5!$AW$11</f>
        <v>0</v>
      </c>
    </row>
    <row r="188" spans="2:3" hidden="1" x14ac:dyDescent="0.2">
      <c r="B188" s="110">
        <f t="shared" si="0"/>
        <v>2065</v>
      </c>
      <c r="C188" s="111">
        <f>[20]С2.5!$AX$11</f>
        <v>0</v>
      </c>
    </row>
    <row r="189" spans="2:3" hidden="1" x14ac:dyDescent="0.2">
      <c r="B189" s="110">
        <f t="shared" si="0"/>
        <v>2066</v>
      </c>
      <c r="C189" s="111">
        <f>[20]С2.5!$AY$11</f>
        <v>0</v>
      </c>
    </row>
    <row r="190" spans="2:3" hidden="1" x14ac:dyDescent="0.2">
      <c r="B190" s="110">
        <f t="shared" si="0"/>
        <v>2067</v>
      </c>
      <c r="C190" s="111">
        <f>[20]С2.5!$AZ$11</f>
        <v>0</v>
      </c>
    </row>
    <row r="191" spans="2:3" hidden="1" x14ac:dyDescent="0.2">
      <c r="B191" s="110">
        <f t="shared" si="0"/>
        <v>2068</v>
      </c>
      <c r="C191" s="111">
        <f>[20]С2.5!$BA$11</f>
        <v>0</v>
      </c>
    </row>
    <row r="192" spans="2:3" hidden="1" x14ac:dyDescent="0.2">
      <c r="B192" s="110">
        <f t="shared" si="0"/>
        <v>2069</v>
      </c>
      <c r="C192" s="111">
        <f>[20]С2.5!$BB$11</f>
        <v>0</v>
      </c>
    </row>
    <row r="193" spans="2:3" hidden="1" x14ac:dyDescent="0.2">
      <c r="B193" s="110">
        <f t="shared" si="0"/>
        <v>2070</v>
      </c>
      <c r="C193" s="111">
        <f>[20]С2.5!$BC$11</f>
        <v>0</v>
      </c>
    </row>
    <row r="194" spans="2:3" hidden="1" x14ac:dyDescent="0.2">
      <c r="B194" s="110">
        <f t="shared" si="0"/>
        <v>2071</v>
      </c>
      <c r="C194" s="111">
        <f>[20]С2.5!$BD$11</f>
        <v>0</v>
      </c>
    </row>
    <row r="195" spans="2:3" hidden="1" x14ac:dyDescent="0.2">
      <c r="B195" s="110">
        <f t="shared" si="0"/>
        <v>2072</v>
      </c>
      <c r="C195" s="111">
        <f>[20]С2.5!$BE$11</f>
        <v>0</v>
      </c>
    </row>
    <row r="196" spans="2:3" hidden="1" x14ac:dyDescent="0.2">
      <c r="B196" s="110">
        <f t="shared" si="0"/>
        <v>2073</v>
      </c>
      <c r="C196" s="111">
        <f>[20]С2.5!$BF$11</f>
        <v>0</v>
      </c>
    </row>
    <row r="197" spans="2:3" hidden="1" x14ac:dyDescent="0.2">
      <c r="B197" s="110">
        <f t="shared" si="0"/>
        <v>2074</v>
      </c>
      <c r="C197" s="111">
        <f>[20]С2.5!$BG$11</f>
        <v>0</v>
      </c>
    </row>
    <row r="198" spans="2:3" hidden="1" x14ac:dyDescent="0.2">
      <c r="B198" s="110">
        <f t="shared" si="0"/>
        <v>2075</v>
      </c>
      <c r="C198" s="111">
        <f>[20]С2.5!$BH$11</f>
        <v>0</v>
      </c>
    </row>
    <row r="199" spans="2:3" hidden="1" x14ac:dyDescent="0.2">
      <c r="B199" s="110">
        <f t="shared" si="0"/>
        <v>2076</v>
      </c>
      <c r="C199" s="111">
        <f>[20]С2.5!$BI$11</f>
        <v>0</v>
      </c>
    </row>
    <row r="200" spans="2:3" hidden="1" x14ac:dyDescent="0.2">
      <c r="B200" s="110">
        <f t="shared" si="0"/>
        <v>2077</v>
      </c>
      <c r="C200" s="111">
        <f>[20]С2.5!$BJ$11</f>
        <v>0</v>
      </c>
    </row>
    <row r="201" spans="2:3" hidden="1" x14ac:dyDescent="0.2">
      <c r="B201" s="110">
        <f t="shared" si="0"/>
        <v>2078</v>
      </c>
      <c r="C201" s="111">
        <f>[20]С2.5!$BK$11</f>
        <v>0</v>
      </c>
    </row>
    <row r="202" spans="2:3" hidden="1" x14ac:dyDescent="0.2">
      <c r="B202" s="110">
        <f t="shared" si="0"/>
        <v>2079</v>
      </c>
      <c r="C202" s="111">
        <f>[20]С2.5!$BL$11</f>
        <v>0</v>
      </c>
    </row>
    <row r="203" spans="2:3" hidden="1" x14ac:dyDescent="0.2">
      <c r="B203" s="110">
        <f t="shared" si="0"/>
        <v>2080</v>
      </c>
      <c r="C203" s="111">
        <f>[20]С2.5!$BM$11</f>
        <v>0</v>
      </c>
    </row>
    <row r="204" spans="2:3" hidden="1" x14ac:dyDescent="0.2">
      <c r="B204" s="110">
        <f t="shared" si="0"/>
        <v>2081</v>
      </c>
      <c r="C204" s="111">
        <f>[20]С2.5!$BN$11</f>
        <v>0</v>
      </c>
    </row>
    <row r="205" spans="2:3" hidden="1" x14ac:dyDescent="0.2">
      <c r="B205" s="110">
        <f t="shared" si="0"/>
        <v>2082</v>
      </c>
      <c r="C205" s="111">
        <f>[20]С2.5!$BO$11</f>
        <v>0</v>
      </c>
    </row>
    <row r="206" spans="2:3" hidden="1" x14ac:dyDescent="0.2">
      <c r="B206" s="110">
        <f t="shared" si="0"/>
        <v>2083</v>
      </c>
      <c r="C206" s="111">
        <f>[20]С2.5!$BP$11</f>
        <v>0</v>
      </c>
    </row>
    <row r="207" spans="2:3" hidden="1" x14ac:dyDescent="0.2">
      <c r="B207" s="110">
        <f t="shared" si="0"/>
        <v>2084</v>
      </c>
      <c r="C207" s="111">
        <f>[20]С2.5!$BQ$11</f>
        <v>0</v>
      </c>
    </row>
    <row r="208" spans="2:3" hidden="1" x14ac:dyDescent="0.2">
      <c r="B208" s="110">
        <f t="shared" si="0"/>
        <v>2085</v>
      </c>
      <c r="C208" s="111">
        <f>[20]С2.5!$BR$11</f>
        <v>0</v>
      </c>
    </row>
    <row r="209" spans="2:3" hidden="1" x14ac:dyDescent="0.2">
      <c r="B209" s="110">
        <f t="shared" ref="B209:B223" si="1">B208+1</f>
        <v>2086</v>
      </c>
      <c r="C209" s="111">
        <f>[20]С2.5!$BS$11</f>
        <v>0</v>
      </c>
    </row>
    <row r="210" spans="2:3" hidden="1" x14ac:dyDescent="0.2">
      <c r="B210" s="110">
        <f t="shared" si="1"/>
        <v>2087</v>
      </c>
      <c r="C210" s="111">
        <f>[20]С2.5!$BT$11</f>
        <v>0</v>
      </c>
    </row>
    <row r="211" spans="2:3" hidden="1" x14ac:dyDescent="0.2">
      <c r="B211" s="110">
        <f t="shared" si="1"/>
        <v>2088</v>
      </c>
      <c r="C211" s="111">
        <f>[20]С2.5!$BU$11</f>
        <v>0</v>
      </c>
    </row>
    <row r="212" spans="2:3" hidden="1" x14ac:dyDescent="0.2">
      <c r="B212" s="110">
        <f t="shared" si="1"/>
        <v>2089</v>
      </c>
      <c r="C212" s="111">
        <f>[20]С2.5!$BV$11</f>
        <v>0</v>
      </c>
    </row>
    <row r="213" spans="2:3" hidden="1" x14ac:dyDescent="0.2">
      <c r="B213" s="110">
        <f t="shared" si="1"/>
        <v>2090</v>
      </c>
      <c r="C213" s="111">
        <f>[20]С2.5!$BW$11</f>
        <v>0</v>
      </c>
    </row>
    <row r="214" spans="2:3" hidden="1" x14ac:dyDescent="0.2">
      <c r="B214" s="110">
        <f t="shared" si="1"/>
        <v>2091</v>
      </c>
      <c r="C214" s="111">
        <f>[20]С2.5!$BX$11</f>
        <v>0</v>
      </c>
    </row>
    <row r="215" spans="2:3" hidden="1" x14ac:dyDescent="0.2">
      <c r="B215" s="110">
        <f t="shared" si="1"/>
        <v>2092</v>
      </c>
      <c r="C215" s="111">
        <f>[20]С2.5!$BY$11</f>
        <v>0</v>
      </c>
    </row>
    <row r="216" spans="2:3" hidden="1" x14ac:dyDescent="0.2">
      <c r="B216" s="110">
        <f t="shared" si="1"/>
        <v>2093</v>
      </c>
      <c r="C216" s="111">
        <f>[20]С2.5!$BZ$11</f>
        <v>0</v>
      </c>
    </row>
    <row r="217" spans="2:3" hidden="1" x14ac:dyDescent="0.2">
      <c r="B217" s="110">
        <f t="shared" si="1"/>
        <v>2094</v>
      </c>
      <c r="C217" s="111">
        <f>[20]С2.5!$CA$11</f>
        <v>0</v>
      </c>
    </row>
    <row r="218" spans="2:3" hidden="1" x14ac:dyDescent="0.2">
      <c r="B218" s="110">
        <f t="shared" si="1"/>
        <v>2095</v>
      </c>
      <c r="C218" s="111">
        <f>[20]С2.5!$CB$11</f>
        <v>0</v>
      </c>
    </row>
    <row r="219" spans="2:3" hidden="1" x14ac:dyDescent="0.2">
      <c r="B219" s="110">
        <f t="shared" si="1"/>
        <v>2096</v>
      </c>
      <c r="C219" s="111">
        <f>[20]С2.5!$CC$11</f>
        <v>0</v>
      </c>
    </row>
    <row r="220" spans="2:3" hidden="1" x14ac:dyDescent="0.2">
      <c r="B220" s="110">
        <f t="shared" si="1"/>
        <v>2097</v>
      </c>
      <c r="C220" s="111">
        <f>[20]С2.5!$CD$11</f>
        <v>0</v>
      </c>
    </row>
    <row r="221" spans="2:3" hidden="1" x14ac:dyDescent="0.2">
      <c r="B221" s="110">
        <f t="shared" si="1"/>
        <v>2098</v>
      </c>
      <c r="C221" s="111">
        <f>[20]С2.5!$CE$11</f>
        <v>0</v>
      </c>
    </row>
    <row r="222" spans="2:3" hidden="1" x14ac:dyDescent="0.2">
      <c r="B222" s="110">
        <f t="shared" si="1"/>
        <v>2099</v>
      </c>
      <c r="C222" s="111">
        <f>[20]С2.5!$CF$11</f>
        <v>0</v>
      </c>
    </row>
    <row r="223" spans="2:3" ht="13.5" hidden="1" thickBot="1" x14ac:dyDescent="0.25">
      <c r="B223" s="112">
        <f t="shared" si="1"/>
        <v>2100</v>
      </c>
      <c r="C223" s="113">
        <f>[20]С2.5!$CG$11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6385" r:id="rId3" name="Button 1">
              <controlPr defaultSize="0" print="0" autoFill="0" autoPict="0" macro="[8]!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16386" r:id="rId4" name="Button 2">
              <controlPr defaultSize="0" print="0" autoFill="0" autoPict="0" macro="[20]!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63" t="s">
        <v>0</v>
      </c>
      <c r="C1" s="163"/>
    </row>
    <row r="2" spans="1:3" x14ac:dyDescent="0.2">
      <c r="A2" s="3"/>
      <c r="B2" s="4" t="s">
        <v>1</v>
      </c>
      <c r="C2" s="5">
        <v>45317</v>
      </c>
    </row>
    <row r="3" spans="1:3" x14ac:dyDescent="0.2">
      <c r="A3" s="3"/>
      <c r="B3" s="6" t="s">
        <v>2</v>
      </c>
    </row>
    <row r="4" spans="1:3" ht="25.5" x14ac:dyDescent="0.2">
      <c r="A4" s="8"/>
      <c r="B4" s="9" t="str">
        <f>[21]И1!D13</f>
        <v>Субъект Российской Федерации</v>
      </c>
      <c r="C4" s="10" t="str">
        <f>[21]И1!E13</f>
        <v>Новосибирская область</v>
      </c>
    </row>
    <row r="5" spans="1:3" ht="46.9" customHeight="1" x14ac:dyDescent="0.2">
      <c r="A5" s="8"/>
      <c r="B5" s="9" t="str">
        <f>[21]И1!D14</f>
        <v>Тип муниципального образования (выберите из списка)</v>
      </c>
      <c r="C5" s="10" t="str">
        <f>[21]И1!E14</f>
        <v>село Усть-Чем, Искитимский муниципальный район</v>
      </c>
    </row>
    <row r="6" spans="1:3" x14ac:dyDescent="0.2">
      <c r="A6" s="8"/>
      <c r="B6" s="9" t="str">
        <f>IF([21]И1!E15="","",[21]И1!D15)</f>
        <v/>
      </c>
      <c r="C6" s="10" t="str">
        <f>IF([21]И1!E15="","",[21]И1!E15)</f>
        <v/>
      </c>
    </row>
    <row r="7" spans="1:3" x14ac:dyDescent="0.2">
      <c r="A7" s="8"/>
      <c r="B7" s="9" t="str">
        <f>[21]И1!D16</f>
        <v>Код ОКТМО</v>
      </c>
      <c r="C7" s="11" t="str">
        <f>[21]И1!E16</f>
        <v xml:space="preserve"> (50615434101)</v>
      </c>
    </row>
    <row r="8" spans="1:3" x14ac:dyDescent="0.2">
      <c r="A8" s="8"/>
      <c r="B8" s="12" t="str">
        <f>[21]И1!D17</f>
        <v>Система теплоснабжения</v>
      </c>
      <c r="C8" s="13">
        <f>[21]И1!E17</f>
        <v>0</v>
      </c>
    </row>
    <row r="9" spans="1:3" x14ac:dyDescent="0.2">
      <c r="A9" s="8"/>
      <c r="B9" s="9" t="str">
        <f>[21]И1!D8</f>
        <v>Период регулирования (i)-й</v>
      </c>
      <c r="C9" s="14">
        <f>[21]И1!E8</f>
        <v>2024</v>
      </c>
    </row>
    <row r="10" spans="1:3" x14ac:dyDescent="0.2">
      <c r="A10" s="8"/>
      <c r="B10" s="9" t="str">
        <f>[21]И1!D9</f>
        <v>Период регулирования (i-1)-й</v>
      </c>
      <c r="C10" s="14">
        <f>[21]И1!E9</f>
        <v>2023</v>
      </c>
    </row>
    <row r="11" spans="1:3" x14ac:dyDescent="0.2">
      <c r="A11" s="8"/>
      <c r="B11" s="9" t="str">
        <f>[21]И1!D10</f>
        <v>Период регулирования (i-2)-й</v>
      </c>
      <c r="C11" s="14">
        <f>[21]И1!E10</f>
        <v>2022</v>
      </c>
    </row>
    <row r="12" spans="1:3" x14ac:dyDescent="0.2">
      <c r="A12" s="8"/>
      <c r="B12" s="9" t="str">
        <f>[21]И1!D11</f>
        <v>Базовый год (б)</v>
      </c>
      <c r="C12" s="14">
        <f>[21]И1!E11</f>
        <v>2019</v>
      </c>
    </row>
    <row r="13" spans="1:3" ht="38.25" x14ac:dyDescent="0.2">
      <c r="A13" s="8"/>
      <c r="B13" s="9" t="str">
        <f>[21]И1!D18</f>
        <v>Вид топлива, использование которого преобладает в системе теплоснабжения</v>
      </c>
      <c r="C13" s="15" t="str">
        <f>[21]С1.1!E13</f>
        <v>уголь (вид угля не указан в топливном балансе)</v>
      </c>
    </row>
    <row r="14" spans="1:3" ht="31.7" customHeight="1" thickBot="1" x14ac:dyDescent="0.25">
      <c r="A14" s="162" t="s">
        <v>3</v>
      </c>
      <c r="B14" s="162"/>
      <c r="C14" s="16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3652.0526007687163</v>
      </c>
    </row>
    <row r="18" spans="1:3" ht="42.75" x14ac:dyDescent="0.2">
      <c r="A18" s="22" t="s">
        <v>8</v>
      </c>
      <c r="B18" s="25" t="s">
        <v>9</v>
      </c>
      <c r="C18" s="26">
        <f>[21]С1!F12</f>
        <v>665.23209308057574</v>
      </c>
    </row>
    <row r="19" spans="1:3" ht="42.75" x14ac:dyDescent="0.2">
      <c r="A19" s="22" t="s">
        <v>10</v>
      </c>
      <c r="B19" s="25" t="s">
        <v>11</v>
      </c>
      <c r="C19" s="26">
        <f>[21]С2!F12</f>
        <v>2000.3680279558928</v>
      </c>
    </row>
    <row r="20" spans="1:3" ht="30" x14ac:dyDescent="0.2">
      <c r="A20" s="22" t="s">
        <v>12</v>
      </c>
      <c r="B20" s="25" t="s">
        <v>13</v>
      </c>
      <c r="C20" s="26">
        <f>[21]С3!F12</f>
        <v>475.74490066496389</v>
      </c>
    </row>
    <row r="21" spans="1:3" ht="42.75" x14ac:dyDescent="0.2">
      <c r="A21" s="22" t="s">
        <v>14</v>
      </c>
      <c r="B21" s="25" t="s">
        <v>15</v>
      </c>
      <c r="C21" s="26">
        <f>[21]С4!F12</f>
        <v>439.09870454240729</v>
      </c>
    </row>
    <row r="22" spans="1:3" ht="30" x14ac:dyDescent="0.2">
      <c r="A22" s="22" t="s">
        <v>16</v>
      </c>
      <c r="B22" s="25" t="s">
        <v>17</v>
      </c>
      <c r="C22" s="26">
        <f>[21]С5!F12</f>
        <v>71.608874524876796</v>
      </c>
    </row>
    <row r="23" spans="1:3" ht="43.5" thickBot="1" x14ac:dyDescent="0.25">
      <c r="A23" s="27" t="s">
        <v>18</v>
      </c>
      <c r="B23" s="140" t="s">
        <v>19</v>
      </c>
      <c r="C23" s="28" t="str">
        <f>[21]С6!F12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64" t="s">
        <v>20</v>
      </c>
      <c r="C27" s="164"/>
    </row>
    <row r="28" spans="1:3" x14ac:dyDescent="0.2">
      <c r="A28" s="22" t="s">
        <v>8</v>
      </c>
      <c r="B28" s="33" t="s">
        <v>21</v>
      </c>
      <c r="C28" s="34">
        <f>[21]С1.1!E16</f>
        <v>5100</v>
      </c>
    </row>
    <row r="29" spans="1:3" ht="42.75" x14ac:dyDescent="0.2">
      <c r="A29" s="22" t="s">
        <v>10</v>
      </c>
      <c r="B29" s="33" t="s">
        <v>22</v>
      </c>
      <c r="C29" s="34">
        <f>[21]С1.1!E27</f>
        <v>2988.9166666666665</v>
      </c>
    </row>
    <row r="30" spans="1:3" ht="17.25" x14ac:dyDescent="0.2">
      <c r="A30" s="22" t="s">
        <v>12</v>
      </c>
      <c r="B30" s="33" t="s">
        <v>23</v>
      </c>
      <c r="C30" s="35">
        <f>[21]С1.1!E19</f>
        <v>-0.19900000000000001</v>
      </c>
    </row>
    <row r="31" spans="1:3" ht="17.25" x14ac:dyDescent="0.2">
      <c r="A31" s="22" t="s">
        <v>14</v>
      </c>
      <c r="B31" s="33" t="s">
        <v>24</v>
      </c>
      <c r="C31" s="35">
        <f>[21]С1.1!E20</f>
        <v>5.7000000000000002E-2</v>
      </c>
    </row>
    <row r="32" spans="1:3" ht="30" x14ac:dyDescent="0.2">
      <c r="A32" s="22" t="s">
        <v>16</v>
      </c>
      <c r="B32" s="36" t="s">
        <v>25</v>
      </c>
      <c r="C32" s="37">
        <f>[21]С1!F13</f>
        <v>176.4</v>
      </c>
    </row>
    <row r="33" spans="1:3" x14ac:dyDescent="0.2">
      <c r="A33" s="22" t="s">
        <v>18</v>
      </c>
      <c r="B33" s="36" t="s">
        <v>26</v>
      </c>
      <c r="C33" s="38">
        <f>[21]С1!F16</f>
        <v>7000</v>
      </c>
    </row>
    <row r="34" spans="1:3" ht="14.25" x14ac:dyDescent="0.2">
      <c r="A34" s="22" t="s">
        <v>27</v>
      </c>
      <c r="B34" s="39" t="s">
        <v>28</v>
      </c>
      <c r="C34" s="40">
        <f>[21]С1!F17</f>
        <v>0.72857142857142854</v>
      </c>
    </row>
    <row r="35" spans="1:3" ht="15.75" x14ac:dyDescent="0.2">
      <c r="A35" s="41" t="s">
        <v>29</v>
      </c>
      <c r="B35" s="42" t="s">
        <v>30</v>
      </c>
      <c r="C35" s="40">
        <f>[21]С1!F20</f>
        <v>21.588411179999994</v>
      </c>
    </row>
    <row r="36" spans="1:3" ht="15.75" x14ac:dyDescent="0.2">
      <c r="A36" s="41" t="s">
        <v>31</v>
      </c>
      <c r="B36" s="43" t="s">
        <v>32</v>
      </c>
      <c r="C36" s="40">
        <f>[21]С1!F21</f>
        <v>20.818139999999996</v>
      </c>
    </row>
    <row r="37" spans="1:3" ht="14.25" x14ac:dyDescent="0.2">
      <c r="A37" s="41" t="s">
        <v>33</v>
      </c>
      <c r="B37" s="44" t="s">
        <v>34</v>
      </c>
      <c r="C37" s="40">
        <f>[21]С1!F22</f>
        <v>1.0369999999999999</v>
      </c>
    </row>
    <row r="38" spans="1:3" ht="53.25" thickBot="1" x14ac:dyDescent="0.25">
      <c r="A38" s="27" t="s">
        <v>35</v>
      </c>
      <c r="B38" s="45" t="s">
        <v>36</v>
      </c>
      <c r="C38" s="46">
        <f>[21]С1!F23</f>
        <v>1.0469999999999999</v>
      </c>
    </row>
    <row r="39" spans="1:3" ht="13.5" thickBot="1" x14ac:dyDescent="0.25">
      <c r="A39" s="47"/>
      <c r="B39" s="48"/>
      <c r="C39" s="49"/>
    </row>
    <row r="40" spans="1:3" ht="30" customHeight="1" x14ac:dyDescent="0.2">
      <c r="A40" s="50" t="s">
        <v>37</v>
      </c>
      <c r="B40" s="165" t="s">
        <v>38</v>
      </c>
      <c r="C40" s="165"/>
    </row>
    <row r="41" spans="1:3" ht="25.5" x14ac:dyDescent="0.2">
      <c r="A41" s="22" t="s">
        <v>39</v>
      </c>
      <c r="B41" s="36" t="s">
        <v>40</v>
      </c>
      <c r="C41" s="51" t="str">
        <f>[21]С2.1!E12</f>
        <v>V</v>
      </c>
    </row>
    <row r="42" spans="1:3" ht="25.5" x14ac:dyDescent="0.2">
      <c r="A42" s="22" t="s">
        <v>41</v>
      </c>
      <c r="B42" s="33" t="s">
        <v>42</v>
      </c>
      <c r="C42" s="51" t="str">
        <f>[21]С2.1!E13</f>
        <v>6 и менее баллов</v>
      </c>
    </row>
    <row r="43" spans="1:3" ht="25.5" x14ac:dyDescent="0.2">
      <c r="A43" s="22" t="s">
        <v>43</v>
      </c>
      <c r="B43" s="33" t="s">
        <v>44</v>
      </c>
      <c r="C43" s="51" t="str">
        <f>[21]С2.1!E14</f>
        <v>от 200 до 500</v>
      </c>
    </row>
    <row r="44" spans="1:3" ht="25.5" x14ac:dyDescent="0.2">
      <c r="A44" s="22" t="s">
        <v>45</v>
      </c>
      <c r="B44" s="33" t="s">
        <v>46</v>
      </c>
      <c r="C44" s="52" t="str">
        <f>[21]С2.1!E15</f>
        <v>нет</v>
      </c>
    </row>
    <row r="45" spans="1:3" ht="30" x14ac:dyDescent="0.2">
      <c r="A45" s="22" t="s">
        <v>47</v>
      </c>
      <c r="B45" s="33" t="s">
        <v>48</v>
      </c>
      <c r="C45" s="34">
        <f>[21]С2!F18</f>
        <v>35106.652004551666</v>
      </c>
    </row>
    <row r="46" spans="1:3" ht="30" x14ac:dyDescent="0.2">
      <c r="A46" s="22" t="s">
        <v>49</v>
      </c>
      <c r="B46" s="53" t="s">
        <v>50</v>
      </c>
      <c r="C46" s="34">
        <f>IF([21]С2!F19&gt;0,[21]С2!F19,[21]С2!F20)</f>
        <v>23441.524932855718</v>
      </c>
    </row>
    <row r="47" spans="1:3" ht="25.5" x14ac:dyDescent="0.2">
      <c r="A47" s="22" t="s">
        <v>51</v>
      </c>
      <c r="B47" s="54" t="s">
        <v>52</v>
      </c>
      <c r="C47" s="34">
        <f>[21]С2.1!E19</f>
        <v>-38</v>
      </c>
    </row>
    <row r="48" spans="1:3" ht="25.5" x14ac:dyDescent="0.2">
      <c r="A48" s="22" t="s">
        <v>53</v>
      </c>
      <c r="B48" s="54" t="s">
        <v>54</v>
      </c>
      <c r="C48" s="34" t="str">
        <f>[21]С2.1!E22</f>
        <v>нет</v>
      </c>
    </row>
    <row r="49" spans="1:3" ht="38.25" x14ac:dyDescent="0.2">
      <c r="A49" s="22" t="s">
        <v>55</v>
      </c>
      <c r="B49" s="55" t="s">
        <v>56</v>
      </c>
      <c r="C49" s="34">
        <f>[21]С2.2!E10</f>
        <v>1287</v>
      </c>
    </row>
    <row r="50" spans="1:3" ht="25.5" x14ac:dyDescent="0.2">
      <c r="A50" s="22" t="s">
        <v>57</v>
      </c>
      <c r="B50" s="56" t="s">
        <v>58</v>
      </c>
      <c r="C50" s="34">
        <f>[21]С2.2!E12</f>
        <v>5.97</v>
      </c>
    </row>
    <row r="51" spans="1:3" ht="52.5" x14ac:dyDescent="0.2">
      <c r="A51" s="22" t="s">
        <v>59</v>
      </c>
      <c r="B51" s="57" t="s">
        <v>60</v>
      </c>
      <c r="C51" s="34">
        <f>[21]С2.2!E13</f>
        <v>1</v>
      </c>
    </row>
    <row r="52" spans="1:3" ht="27.75" x14ac:dyDescent="0.2">
      <c r="A52" s="22" t="s">
        <v>61</v>
      </c>
      <c r="B52" s="56" t="s">
        <v>62</v>
      </c>
      <c r="C52" s="34">
        <f>[21]С2.2!E14</f>
        <v>12104</v>
      </c>
    </row>
    <row r="53" spans="1:3" ht="25.5" x14ac:dyDescent="0.2">
      <c r="A53" s="22" t="s">
        <v>63</v>
      </c>
      <c r="B53" s="57" t="s">
        <v>64</v>
      </c>
      <c r="C53" s="35">
        <f>[21]С2.2!E15</f>
        <v>4.8000000000000001E-2</v>
      </c>
    </row>
    <row r="54" spans="1:3" x14ac:dyDescent="0.2">
      <c r="A54" s="22" t="s">
        <v>65</v>
      </c>
      <c r="B54" s="57" t="s">
        <v>66</v>
      </c>
      <c r="C54" s="34">
        <f>[21]С2.2!E16</f>
        <v>1</v>
      </c>
    </row>
    <row r="55" spans="1:3" ht="15.75" x14ac:dyDescent="0.2">
      <c r="A55" s="22" t="s">
        <v>67</v>
      </c>
      <c r="B55" s="58" t="s">
        <v>68</v>
      </c>
      <c r="C55" s="34">
        <f>[21]С2!F21</f>
        <v>1</v>
      </c>
    </row>
    <row r="56" spans="1:3" ht="30" x14ac:dyDescent="0.2">
      <c r="A56" s="59" t="s">
        <v>69</v>
      </c>
      <c r="B56" s="33" t="s">
        <v>70</v>
      </c>
      <c r="C56" s="34">
        <f>[21]С2!F13</f>
        <v>183796.83936385796</v>
      </c>
    </row>
    <row r="57" spans="1:3" ht="30" x14ac:dyDescent="0.2">
      <c r="A57" s="59" t="s">
        <v>71</v>
      </c>
      <c r="B57" s="58" t="s">
        <v>72</v>
      </c>
      <c r="C57" s="34">
        <f>[21]С2!F14</f>
        <v>113455</v>
      </c>
    </row>
    <row r="58" spans="1:3" ht="15.75" x14ac:dyDescent="0.2">
      <c r="A58" s="59" t="s">
        <v>73</v>
      </c>
      <c r="B58" s="60" t="s">
        <v>74</v>
      </c>
      <c r="C58" s="40">
        <f>[21]С2!F15</f>
        <v>1.071</v>
      </c>
    </row>
    <row r="59" spans="1:3" ht="15.75" x14ac:dyDescent="0.2">
      <c r="A59" s="59" t="s">
        <v>75</v>
      </c>
      <c r="B59" s="60" t="s">
        <v>76</v>
      </c>
      <c r="C59" s="40">
        <f>[21]С2!F16</f>
        <v>1</v>
      </c>
    </row>
    <row r="60" spans="1:3" ht="17.25" x14ac:dyDescent="0.2">
      <c r="A60" s="59" t="s">
        <v>77</v>
      </c>
      <c r="B60" s="58" t="s">
        <v>78</v>
      </c>
      <c r="C60" s="34">
        <f>[21]С2!F17</f>
        <v>1.01</v>
      </c>
    </row>
    <row r="61" spans="1:3" s="63" customFormat="1" ht="14.25" x14ac:dyDescent="0.2">
      <c r="A61" s="59" t="s">
        <v>79</v>
      </c>
      <c r="B61" s="61" t="s">
        <v>80</v>
      </c>
      <c r="C61" s="62">
        <f>[21]С2!F33</f>
        <v>10</v>
      </c>
    </row>
    <row r="62" spans="1:3" ht="30" x14ac:dyDescent="0.2">
      <c r="A62" s="59" t="s">
        <v>81</v>
      </c>
      <c r="B62" s="64" t="s">
        <v>82</v>
      </c>
      <c r="C62" s="34">
        <f>[21]С2!F26</f>
        <v>2780.7867618428891</v>
      </c>
    </row>
    <row r="63" spans="1:3" ht="17.25" x14ac:dyDescent="0.2">
      <c r="A63" s="59" t="s">
        <v>83</v>
      </c>
      <c r="B63" s="53" t="s">
        <v>84</v>
      </c>
      <c r="C63" s="34">
        <f>[21]С2!F27</f>
        <v>0.44209422600000003</v>
      </c>
    </row>
    <row r="64" spans="1:3" ht="17.25" x14ac:dyDescent="0.2">
      <c r="A64" s="59" t="s">
        <v>85</v>
      </c>
      <c r="B64" s="58" t="s">
        <v>86</v>
      </c>
      <c r="C64" s="62">
        <f>[21]С2!F28</f>
        <v>4200</v>
      </c>
    </row>
    <row r="65" spans="1:3" ht="42.75" x14ac:dyDescent="0.2">
      <c r="A65" s="59" t="s">
        <v>87</v>
      </c>
      <c r="B65" s="33" t="s">
        <v>88</v>
      </c>
      <c r="C65" s="34">
        <f>[21]С2!F22</f>
        <v>38698.422798410109</v>
      </c>
    </row>
    <row r="66" spans="1:3" ht="30" x14ac:dyDescent="0.2">
      <c r="A66" s="59" t="s">
        <v>89</v>
      </c>
      <c r="B66" s="60" t="s">
        <v>90</v>
      </c>
      <c r="C66" s="34">
        <f>[21]С2!F23</f>
        <v>1990</v>
      </c>
    </row>
    <row r="67" spans="1:3" ht="30" x14ac:dyDescent="0.2">
      <c r="A67" s="59" t="s">
        <v>91</v>
      </c>
      <c r="B67" s="53" t="s">
        <v>92</v>
      </c>
      <c r="C67" s="34">
        <f>[21]С2.1!E27</f>
        <v>14307.876789999998</v>
      </c>
    </row>
    <row r="68" spans="1:3" ht="38.25" x14ac:dyDescent="0.2">
      <c r="A68" s="59" t="s">
        <v>93</v>
      </c>
      <c r="B68" s="65" t="s">
        <v>94</v>
      </c>
      <c r="C68" s="52">
        <f>[21]С2.3!E21</f>
        <v>0</v>
      </c>
    </row>
    <row r="69" spans="1:3" ht="25.5" x14ac:dyDescent="0.2">
      <c r="A69" s="59" t="s">
        <v>95</v>
      </c>
      <c r="B69" s="66" t="s">
        <v>96</v>
      </c>
      <c r="C69" s="67">
        <f>[21]С2.3!E11</f>
        <v>9.89</v>
      </c>
    </row>
    <row r="70" spans="1:3" ht="25.5" x14ac:dyDescent="0.2">
      <c r="A70" s="59" t="s">
        <v>97</v>
      </c>
      <c r="B70" s="66" t="s">
        <v>98</v>
      </c>
      <c r="C70" s="62">
        <f>[21]С2.3!E13</f>
        <v>300</v>
      </c>
    </row>
    <row r="71" spans="1:3" ht="25.5" x14ac:dyDescent="0.2">
      <c r="A71" s="59" t="s">
        <v>99</v>
      </c>
      <c r="B71" s="65" t="s">
        <v>100</v>
      </c>
      <c r="C71" s="68">
        <f>IF([21]С2.3!E22&gt;0,[21]С2.3!E22,[21]С2.3!E14)</f>
        <v>61211</v>
      </c>
    </row>
    <row r="72" spans="1:3" ht="38.25" x14ac:dyDescent="0.2">
      <c r="A72" s="59" t="s">
        <v>101</v>
      </c>
      <c r="B72" s="65" t="s">
        <v>102</v>
      </c>
      <c r="C72" s="68">
        <f>IF([21]С2.3!E23&gt;0,[21]С2.3!E23,[21]С2.3!E15)</f>
        <v>45675</v>
      </c>
    </row>
    <row r="73" spans="1:3" ht="30" x14ac:dyDescent="0.2">
      <c r="A73" s="59" t="s">
        <v>103</v>
      </c>
      <c r="B73" s="53" t="s">
        <v>104</v>
      </c>
      <c r="C73" s="34">
        <f>[21]С2.1!E28</f>
        <v>9541.9567200000001</v>
      </c>
    </row>
    <row r="74" spans="1:3" ht="38.25" x14ac:dyDescent="0.2">
      <c r="A74" s="59" t="s">
        <v>105</v>
      </c>
      <c r="B74" s="65" t="s">
        <v>106</v>
      </c>
      <c r="C74" s="52">
        <f>[21]С2.3!E25</f>
        <v>0</v>
      </c>
    </row>
    <row r="75" spans="1:3" ht="25.5" x14ac:dyDescent="0.2">
      <c r="A75" s="59" t="s">
        <v>107</v>
      </c>
      <c r="B75" s="66" t="s">
        <v>108</v>
      </c>
      <c r="C75" s="67">
        <f>[21]С2.3!E12</f>
        <v>0.56000000000000005</v>
      </c>
    </row>
    <row r="76" spans="1:3" ht="25.5" x14ac:dyDescent="0.2">
      <c r="A76" s="59" t="s">
        <v>109</v>
      </c>
      <c r="B76" s="66" t="s">
        <v>98</v>
      </c>
      <c r="C76" s="62">
        <f>[21]С2.3!E13</f>
        <v>300</v>
      </c>
    </row>
    <row r="77" spans="1:3" ht="25.5" x14ac:dyDescent="0.2">
      <c r="A77" s="59" t="s">
        <v>110</v>
      </c>
      <c r="B77" s="69" t="s">
        <v>111</v>
      </c>
      <c r="C77" s="68">
        <f>IF([21]С2.3!E26&gt;0,[21]С2.3!E26,[21]С2.3!E16)</f>
        <v>65637</v>
      </c>
    </row>
    <row r="78" spans="1:3" ht="38.25" x14ac:dyDescent="0.2">
      <c r="A78" s="59" t="s">
        <v>112</v>
      </c>
      <c r="B78" s="69" t="s">
        <v>113</v>
      </c>
      <c r="C78" s="68">
        <f>IF([21]С2.3!E27&gt;0,[21]С2.3!E27,[21]С2.3!E17)</f>
        <v>31684</v>
      </c>
    </row>
    <row r="79" spans="1:3" ht="17.25" x14ac:dyDescent="0.2">
      <c r="A79" s="59" t="s">
        <v>114</v>
      </c>
      <c r="B79" s="33" t="s">
        <v>115</v>
      </c>
      <c r="C79" s="35">
        <f>[21]С2!F29</f>
        <v>9.5962865259740182E-2</v>
      </c>
    </row>
    <row r="80" spans="1:3" ht="30" x14ac:dyDescent="0.2">
      <c r="A80" s="59" t="s">
        <v>116</v>
      </c>
      <c r="B80" s="53" t="s">
        <v>117</v>
      </c>
      <c r="C80" s="70">
        <f>[21]С2!F30</f>
        <v>8.4029304029304031E-2</v>
      </c>
    </row>
    <row r="81" spans="1:3" ht="17.25" x14ac:dyDescent="0.2">
      <c r="A81" s="59" t="s">
        <v>118</v>
      </c>
      <c r="B81" s="71" t="s">
        <v>119</v>
      </c>
      <c r="C81" s="35">
        <f>[21]С2!F31</f>
        <v>0.13880000000000001</v>
      </c>
    </row>
    <row r="82" spans="1:3" s="63" customFormat="1" ht="18" thickBot="1" x14ac:dyDescent="0.25">
      <c r="A82" s="72" t="s">
        <v>120</v>
      </c>
      <c r="B82" s="73" t="s">
        <v>121</v>
      </c>
      <c r="C82" s="74">
        <f>[21]С2!F32</f>
        <v>0.12640000000000001</v>
      </c>
    </row>
    <row r="83" spans="1:3" ht="13.5" thickBot="1" x14ac:dyDescent="0.25">
      <c r="A83" s="47"/>
      <c r="B83" s="75"/>
      <c r="C83" s="15"/>
    </row>
    <row r="84" spans="1:3" s="63" customFormat="1" ht="30" customHeight="1" x14ac:dyDescent="0.2">
      <c r="A84" s="76" t="s">
        <v>122</v>
      </c>
      <c r="B84" s="165" t="s">
        <v>123</v>
      </c>
      <c r="C84" s="165"/>
    </row>
    <row r="85" spans="1:3" s="63" customFormat="1" ht="30" x14ac:dyDescent="0.2">
      <c r="A85" s="77" t="s">
        <v>124</v>
      </c>
      <c r="B85" s="33" t="s">
        <v>125</v>
      </c>
      <c r="C85" s="34">
        <f>[21]С3!F14</f>
        <v>6117.6201782637581</v>
      </c>
    </row>
    <row r="86" spans="1:3" s="63" customFormat="1" ht="42.75" x14ac:dyDescent="0.2">
      <c r="A86" s="77" t="s">
        <v>126</v>
      </c>
      <c r="B86" s="53" t="s">
        <v>127</v>
      </c>
      <c r="C86" s="78">
        <f>[21]С3!F15</f>
        <v>0.2</v>
      </c>
    </row>
    <row r="87" spans="1:3" s="63" customFormat="1" ht="14.25" x14ac:dyDescent="0.2">
      <c r="A87" s="77" t="s">
        <v>128</v>
      </c>
      <c r="B87" s="79" t="s">
        <v>129</v>
      </c>
      <c r="C87" s="62">
        <f>[21]С3!F18</f>
        <v>15</v>
      </c>
    </row>
    <row r="88" spans="1:3" s="63" customFormat="1" ht="17.25" x14ac:dyDescent="0.2">
      <c r="A88" s="77" t="s">
        <v>130</v>
      </c>
      <c r="B88" s="33" t="s">
        <v>131</v>
      </c>
      <c r="C88" s="34">
        <f>[21]С3!F19</f>
        <v>3778.1614077800232</v>
      </c>
    </row>
    <row r="89" spans="1:3" s="63" customFormat="1" ht="55.5" x14ac:dyDescent="0.2">
      <c r="A89" s="77" t="s">
        <v>132</v>
      </c>
      <c r="B89" s="53" t="s">
        <v>133</v>
      </c>
      <c r="C89" s="80">
        <f>[21]С3!F20</f>
        <v>2.1999999999999999E-2</v>
      </c>
    </row>
    <row r="90" spans="1:3" s="63" customFormat="1" ht="14.25" x14ac:dyDescent="0.2">
      <c r="A90" s="77" t="s">
        <v>134</v>
      </c>
      <c r="B90" s="58" t="s">
        <v>80</v>
      </c>
      <c r="C90" s="62">
        <f>[21]С3!F21</f>
        <v>10</v>
      </c>
    </row>
    <row r="91" spans="1:3" s="63" customFormat="1" ht="17.25" x14ac:dyDescent="0.2">
      <c r="A91" s="77" t="s">
        <v>135</v>
      </c>
      <c r="B91" s="33" t="s">
        <v>136</v>
      </c>
      <c r="C91" s="34">
        <f>[21]С3!F22</f>
        <v>8.3423602855286667</v>
      </c>
    </row>
    <row r="92" spans="1:3" s="63" customFormat="1" ht="55.5" x14ac:dyDescent="0.2">
      <c r="A92" s="77" t="s">
        <v>137</v>
      </c>
      <c r="B92" s="53" t="s">
        <v>138</v>
      </c>
      <c r="C92" s="80">
        <f>[21]С3!F23</f>
        <v>3.0000000000000001E-3</v>
      </c>
    </row>
    <row r="93" spans="1:3" s="63" customFormat="1" ht="27.75" thickBot="1" x14ac:dyDescent="0.25">
      <c r="A93" s="81" t="s">
        <v>139</v>
      </c>
      <c r="B93" s="82" t="s">
        <v>140</v>
      </c>
      <c r="C93" s="83">
        <f>[21]С3!F24</f>
        <v>2780.7867618428891</v>
      </c>
    </row>
    <row r="94" spans="1:3" ht="13.5" thickBot="1" x14ac:dyDescent="0.25">
      <c r="A94" s="47"/>
      <c r="B94" s="75"/>
      <c r="C94" s="15"/>
    </row>
    <row r="95" spans="1:3" ht="30" customHeight="1" x14ac:dyDescent="0.2">
      <c r="A95" s="84" t="s">
        <v>141</v>
      </c>
      <c r="B95" s="165" t="s">
        <v>142</v>
      </c>
      <c r="C95" s="165"/>
    </row>
    <row r="96" spans="1:3" ht="30" x14ac:dyDescent="0.2">
      <c r="A96" s="59" t="s">
        <v>143</v>
      </c>
      <c r="B96" s="33" t="s">
        <v>144</v>
      </c>
      <c r="C96" s="34">
        <f>[21]С4!F16</f>
        <v>1652.5</v>
      </c>
    </row>
    <row r="97" spans="1:3" ht="30" x14ac:dyDescent="0.2">
      <c r="A97" s="59" t="s">
        <v>145</v>
      </c>
      <c r="B97" s="58" t="s">
        <v>146</v>
      </c>
      <c r="C97" s="34">
        <f>[21]С4!F17</f>
        <v>73547</v>
      </c>
    </row>
    <row r="98" spans="1:3" ht="17.25" x14ac:dyDescent="0.2">
      <c r="A98" s="59" t="s">
        <v>147</v>
      </c>
      <c r="B98" s="58" t="s">
        <v>148</v>
      </c>
      <c r="C98" s="40">
        <f>[21]С4!F18</f>
        <v>0.02</v>
      </c>
    </row>
    <row r="99" spans="1:3" ht="30" x14ac:dyDescent="0.2">
      <c r="A99" s="59" t="s">
        <v>149</v>
      </c>
      <c r="B99" s="58" t="s">
        <v>150</v>
      </c>
      <c r="C99" s="34">
        <f>[21]С4!F19</f>
        <v>12104</v>
      </c>
    </row>
    <row r="100" spans="1:3" ht="31.5" x14ac:dyDescent="0.2">
      <c r="A100" s="59" t="s">
        <v>151</v>
      </c>
      <c r="B100" s="58" t="s">
        <v>152</v>
      </c>
      <c r="C100" s="40">
        <f>[21]С4!F20</f>
        <v>1.4999999999999999E-2</v>
      </c>
    </row>
    <row r="101" spans="1:3" ht="30" x14ac:dyDescent="0.2">
      <c r="A101" s="59" t="s">
        <v>153</v>
      </c>
      <c r="B101" s="33" t="s">
        <v>154</v>
      </c>
      <c r="C101" s="34">
        <f>[21]С4!F21</f>
        <v>1933.1949342509995</v>
      </c>
    </row>
    <row r="102" spans="1:3" ht="24" customHeight="1" x14ac:dyDescent="0.2">
      <c r="A102" s="59" t="s">
        <v>155</v>
      </c>
      <c r="B102" s="53" t="s">
        <v>156</v>
      </c>
      <c r="C102" s="85">
        <f>IF([21]С4.2!F8="да",[21]С4.2!D21,[21]С4.2!D15)</f>
        <v>0</v>
      </c>
    </row>
    <row r="103" spans="1:3" ht="68.25" x14ac:dyDescent="0.2">
      <c r="A103" s="59" t="s">
        <v>157</v>
      </c>
      <c r="B103" s="53" t="s">
        <v>158</v>
      </c>
      <c r="C103" s="34">
        <f>[21]С4!F22</f>
        <v>3.6112641666666665</v>
      </c>
    </row>
    <row r="104" spans="1:3" ht="30" x14ac:dyDescent="0.2">
      <c r="A104" s="59" t="s">
        <v>159</v>
      </c>
      <c r="B104" s="58" t="s">
        <v>160</v>
      </c>
      <c r="C104" s="34">
        <f>[21]С4!F23</f>
        <v>180</v>
      </c>
    </row>
    <row r="105" spans="1:3" ht="14.25" x14ac:dyDescent="0.2">
      <c r="A105" s="59" t="s">
        <v>161</v>
      </c>
      <c r="B105" s="53" t="s">
        <v>162</v>
      </c>
      <c r="C105" s="34">
        <f>[21]С4!F24</f>
        <v>8497.1999999999989</v>
      </c>
    </row>
    <row r="106" spans="1:3" ht="14.25" x14ac:dyDescent="0.2">
      <c r="A106" s="59" t="s">
        <v>163</v>
      </c>
      <c r="B106" s="58" t="s">
        <v>164</v>
      </c>
      <c r="C106" s="40">
        <f>[21]С4!F25</f>
        <v>0.35</v>
      </c>
    </row>
    <row r="107" spans="1:3" ht="17.25" x14ac:dyDescent="0.2">
      <c r="A107" s="59" t="s">
        <v>165</v>
      </c>
      <c r="B107" s="33" t="s">
        <v>166</v>
      </c>
      <c r="C107" s="34">
        <f>[21]С4!F26</f>
        <v>85.988129999999998</v>
      </c>
    </row>
    <row r="108" spans="1:3" ht="25.5" x14ac:dyDescent="0.2">
      <c r="A108" s="59" t="s">
        <v>167</v>
      </c>
      <c r="B108" s="53" t="s">
        <v>94</v>
      </c>
      <c r="C108" s="85">
        <f>[21]С4.3!E16</f>
        <v>0</v>
      </c>
    </row>
    <row r="109" spans="1:3" ht="25.5" x14ac:dyDescent="0.2">
      <c r="A109" s="59" t="s">
        <v>168</v>
      </c>
      <c r="B109" s="53" t="s">
        <v>169</v>
      </c>
      <c r="C109" s="34">
        <f>[21]С4.3!E17</f>
        <v>20.350000000000001</v>
      </c>
    </row>
    <row r="110" spans="1:3" ht="38.25" x14ac:dyDescent="0.2">
      <c r="A110" s="59" t="s">
        <v>170</v>
      </c>
      <c r="B110" s="53" t="s">
        <v>106</v>
      </c>
      <c r="C110" s="85">
        <f>[21]С4.3!E18</f>
        <v>0</v>
      </c>
    </row>
    <row r="111" spans="1:3" x14ac:dyDescent="0.2">
      <c r="A111" s="59" t="s">
        <v>171</v>
      </c>
      <c r="B111" s="53" t="s">
        <v>172</v>
      </c>
      <c r="C111" s="34">
        <f>[21]С4.3!E19</f>
        <v>71.67</v>
      </c>
    </row>
    <row r="112" spans="1:3" x14ac:dyDescent="0.2">
      <c r="A112" s="59" t="s">
        <v>173</v>
      </c>
      <c r="B112" s="58" t="s">
        <v>174</v>
      </c>
      <c r="C112" s="34">
        <f>[21]С4.3!E11</f>
        <v>1871</v>
      </c>
    </row>
    <row r="113" spans="1:3" x14ac:dyDescent="0.2">
      <c r="A113" s="59" t="s">
        <v>175</v>
      </c>
      <c r="B113" s="58" t="s">
        <v>176</v>
      </c>
      <c r="C113" s="52">
        <f>[21]С4.3!E12</f>
        <v>1636</v>
      </c>
    </row>
    <row r="114" spans="1:3" x14ac:dyDescent="0.2">
      <c r="A114" s="59" t="s">
        <v>177</v>
      </c>
      <c r="B114" s="58" t="s">
        <v>178</v>
      </c>
      <c r="C114" s="52">
        <f>[21]С4.3!E13</f>
        <v>204</v>
      </c>
    </row>
    <row r="115" spans="1:3" ht="30" x14ac:dyDescent="0.2">
      <c r="A115" s="59" t="s">
        <v>179</v>
      </c>
      <c r="B115" s="33" t="s">
        <v>180</v>
      </c>
      <c r="C115" s="34">
        <f>[21]С4!F27</f>
        <v>1291.2863994686898</v>
      </c>
    </row>
    <row r="116" spans="1:3" ht="25.5" x14ac:dyDescent="0.2">
      <c r="A116" s="59" t="s">
        <v>181</v>
      </c>
      <c r="B116" s="53" t="s">
        <v>182</v>
      </c>
      <c r="C116" s="34">
        <f>[21]С4!F28</f>
        <v>991.77142816335618</v>
      </c>
    </row>
    <row r="117" spans="1:3" ht="42.75" x14ac:dyDescent="0.2">
      <c r="A117" s="59" t="s">
        <v>183</v>
      </c>
      <c r="B117" s="53" t="s">
        <v>184</v>
      </c>
      <c r="C117" s="34">
        <f>[21]С4!F29</f>
        <v>299.51497130533357</v>
      </c>
    </row>
    <row r="118" spans="1:3" ht="30" x14ac:dyDescent="0.2">
      <c r="A118" s="59" t="s">
        <v>185</v>
      </c>
      <c r="B118" s="39" t="s">
        <v>186</v>
      </c>
      <c r="C118" s="34">
        <f>[21]С4!F30</f>
        <v>1708.5430685767656</v>
      </c>
    </row>
    <row r="119" spans="1:3" ht="42.75" x14ac:dyDescent="0.2">
      <c r="A119" s="59" t="s">
        <v>187</v>
      </c>
      <c r="B119" s="86" t="s">
        <v>188</v>
      </c>
      <c r="C119" s="34">
        <f>[21]С4!F33</f>
        <v>986.46332023711193</v>
      </c>
    </row>
    <row r="120" spans="1:3" ht="30" x14ac:dyDescent="0.2">
      <c r="A120" s="59" t="s">
        <v>189</v>
      </c>
      <c r="B120" s="87" t="s">
        <v>190</v>
      </c>
      <c r="C120" s="34">
        <f>[21]С4!F35</f>
        <v>17.040680999999999</v>
      </c>
    </row>
    <row r="121" spans="1:3" ht="14.25" x14ac:dyDescent="0.2">
      <c r="A121" s="59" t="s">
        <v>191</v>
      </c>
      <c r="B121" s="56" t="s">
        <v>192</v>
      </c>
      <c r="C121" s="34">
        <f>[21]С4!F36</f>
        <v>14319.9</v>
      </c>
    </row>
    <row r="122" spans="1:3" ht="28.5" thickBot="1" x14ac:dyDescent="0.25">
      <c r="A122" s="72" t="s">
        <v>193</v>
      </c>
      <c r="B122" s="88" t="s">
        <v>194</v>
      </c>
      <c r="C122" s="83">
        <f>[21]С4!F37</f>
        <v>1.19</v>
      </c>
    </row>
    <row r="123" spans="1:3" s="89" customFormat="1" ht="13.5" thickBot="1" x14ac:dyDescent="0.25">
      <c r="A123" s="47"/>
      <c r="B123" s="75"/>
      <c r="C123" s="15"/>
    </row>
    <row r="124" spans="1:3" s="63" customFormat="1" ht="30" customHeight="1" x14ac:dyDescent="0.2">
      <c r="A124" s="76" t="s">
        <v>195</v>
      </c>
      <c r="B124" s="165" t="s">
        <v>196</v>
      </c>
      <c r="C124" s="165"/>
    </row>
    <row r="125" spans="1:3" ht="16.5" thickBot="1" x14ac:dyDescent="0.25">
      <c r="A125" s="27" t="s">
        <v>197</v>
      </c>
      <c r="B125" s="90" t="s">
        <v>198</v>
      </c>
      <c r="C125" s="83">
        <f>[21]С5!F17</f>
        <v>0.02</v>
      </c>
    </row>
    <row r="126" spans="1:3" s="89" customFormat="1" ht="13.5" thickBot="1" x14ac:dyDescent="0.25">
      <c r="A126" s="47"/>
      <c r="B126" s="75"/>
      <c r="C126" s="15"/>
    </row>
    <row r="127" spans="1:3" ht="42.75" customHeight="1" x14ac:dyDescent="0.2">
      <c r="A127" s="84" t="s">
        <v>199</v>
      </c>
      <c r="B127" s="166" t="s">
        <v>200</v>
      </c>
      <c r="C127" s="166"/>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[21]С2!F37</f>
        <v>20.818139999999996</v>
      </c>
    </row>
    <row r="136" spans="1:4" ht="14.25" x14ac:dyDescent="0.2">
      <c r="A136" s="59" t="s">
        <v>216</v>
      </c>
      <c r="B136" s="101" t="s">
        <v>217</v>
      </c>
      <c r="C136" s="34">
        <f>[21]С2!F38</f>
        <v>7</v>
      </c>
    </row>
    <row r="137" spans="1:4" ht="17.25" x14ac:dyDescent="0.2">
      <c r="A137" s="59" t="s">
        <v>218</v>
      </c>
      <c r="B137" s="101" t="s">
        <v>219</v>
      </c>
      <c r="C137" s="34">
        <f>[21]С2!F40</f>
        <v>0.97</v>
      </c>
    </row>
    <row r="138" spans="1:4" ht="15" thickBot="1" x14ac:dyDescent="0.25">
      <c r="A138" s="72" t="s">
        <v>220</v>
      </c>
      <c r="B138" s="102" t="s">
        <v>221</v>
      </c>
      <c r="C138" s="46">
        <f>[21]С2!F42</f>
        <v>0.35</v>
      </c>
    </row>
    <row r="139" spans="1:4" s="89" customFormat="1" ht="13.5" thickBot="1" x14ac:dyDescent="0.25">
      <c r="A139" s="47"/>
      <c r="B139" s="75"/>
      <c r="C139" s="15"/>
    </row>
    <row r="140" spans="1:4" ht="30" x14ac:dyDescent="0.2">
      <c r="A140" s="84" t="s">
        <v>222</v>
      </c>
      <c r="B140" s="103" t="s">
        <v>223</v>
      </c>
      <c r="C140" s="104">
        <f>[21]С2!F35</f>
        <v>1.4976266307379205</v>
      </c>
      <c r="D140" s="89"/>
    </row>
    <row r="141" spans="1:4" ht="22.7" customHeight="1" thickBot="1" x14ac:dyDescent="0.25">
      <c r="A141" s="72" t="s">
        <v>224</v>
      </c>
      <c r="B141" s="161" t="s">
        <v>225</v>
      </c>
      <c r="C141" s="161"/>
      <c r="D141" s="89"/>
    </row>
    <row r="142" spans="1:4" ht="13.5" thickBot="1" x14ac:dyDescent="0.25">
      <c r="A142" s="105"/>
      <c r="B142" s="106" t="s">
        <v>226</v>
      </c>
      <c r="C142" s="107"/>
      <c r="D142" s="89"/>
    </row>
    <row r="143" spans="1:4" x14ac:dyDescent="0.2">
      <c r="A143" s="105"/>
      <c r="B143" s="108">
        <v>2020</v>
      </c>
      <c r="C143" s="109">
        <f>[21]С2.5!$E$11</f>
        <v>-2.9000000000000026E-2</v>
      </c>
      <c r="D143" s="89"/>
    </row>
    <row r="144" spans="1:4" x14ac:dyDescent="0.2">
      <c r="A144" s="105"/>
      <c r="B144" s="110">
        <f>B143+1</f>
        <v>2021</v>
      </c>
      <c r="C144" s="111">
        <f>[21]С2.5!$F$11</f>
        <v>0.245</v>
      </c>
      <c r="D144" s="89"/>
    </row>
    <row r="145" spans="1:4" x14ac:dyDescent="0.2">
      <c r="A145" s="105"/>
      <c r="B145" s="110">
        <f t="shared" ref="B145:B208" si="0">B144+1</f>
        <v>2022</v>
      </c>
      <c r="C145" s="111">
        <f>[21]С2.5!$G$11</f>
        <v>0.114</v>
      </c>
      <c r="D145" s="89"/>
    </row>
    <row r="146" spans="1:4" ht="13.5" thickBot="1" x14ac:dyDescent="0.25">
      <c r="A146" s="105"/>
      <c r="B146" s="112">
        <f t="shared" si="0"/>
        <v>2023</v>
      </c>
      <c r="C146" s="113">
        <f>[21]С2.5!$H$11</f>
        <v>2.4E-2</v>
      </c>
      <c r="D146" s="89"/>
    </row>
    <row r="147" spans="1:4" x14ac:dyDescent="0.2">
      <c r="A147" s="105"/>
      <c r="B147" s="114">
        <f t="shared" si="0"/>
        <v>2024</v>
      </c>
      <c r="C147" s="115">
        <f>[21]С2.5!$I$11</f>
        <v>8.5999999999999993E-2</v>
      </c>
      <c r="D147" s="89"/>
    </row>
    <row r="148" spans="1:4" hidden="1" x14ac:dyDescent="0.2">
      <c r="A148" s="105"/>
      <c r="B148" s="110">
        <f t="shared" si="0"/>
        <v>2025</v>
      </c>
      <c r="C148" s="111">
        <f>[21]С2.5!$J$11</f>
        <v>0.21215960863291</v>
      </c>
      <c r="D148" s="89"/>
    </row>
    <row r="149" spans="1:4" hidden="1" x14ac:dyDescent="0.2">
      <c r="A149" s="105"/>
      <c r="B149" s="110">
        <f t="shared" si="0"/>
        <v>2026</v>
      </c>
      <c r="C149" s="111">
        <f>[21]С2.5!$K$11</f>
        <v>3.5813361771260002E-2</v>
      </c>
      <c r="D149" s="89"/>
    </row>
    <row r="150" spans="1:4" hidden="1" x14ac:dyDescent="0.2">
      <c r="A150" s="105"/>
      <c r="B150" s="110">
        <f t="shared" si="0"/>
        <v>2027</v>
      </c>
      <c r="C150" s="111">
        <f>[21]С2.5!$L$11</f>
        <v>3.2682303599220003E-2</v>
      </c>
      <c r="D150" s="89"/>
    </row>
    <row r="151" spans="1:4" hidden="1" x14ac:dyDescent="0.2">
      <c r="A151" s="105"/>
      <c r="B151" s="110">
        <f t="shared" si="0"/>
        <v>2028</v>
      </c>
      <c r="C151" s="111">
        <f>[21]С2.5!$M$11</f>
        <v>0</v>
      </c>
      <c r="D151" s="89"/>
    </row>
    <row r="152" spans="1:4" hidden="1" x14ac:dyDescent="0.2">
      <c r="A152" s="105"/>
      <c r="B152" s="110">
        <f t="shared" si="0"/>
        <v>2029</v>
      </c>
      <c r="C152" s="111">
        <f>[21]С2.5!$N$11</f>
        <v>0</v>
      </c>
      <c r="D152" s="89"/>
    </row>
    <row r="153" spans="1:4" hidden="1" x14ac:dyDescent="0.2">
      <c r="A153" s="105"/>
      <c r="B153" s="110">
        <f t="shared" si="0"/>
        <v>2030</v>
      </c>
      <c r="C153" s="111">
        <f>[21]С2.5!$O$11</f>
        <v>0</v>
      </c>
      <c r="D153" s="89"/>
    </row>
    <row r="154" spans="1:4" hidden="1" x14ac:dyDescent="0.2">
      <c r="A154" s="105"/>
      <c r="B154" s="110">
        <f t="shared" si="0"/>
        <v>2031</v>
      </c>
      <c r="C154" s="111">
        <f>[21]С2.5!$P$11</f>
        <v>0</v>
      </c>
      <c r="D154" s="89"/>
    </row>
    <row r="155" spans="1:4" hidden="1" x14ac:dyDescent="0.2">
      <c r="A155" s="89"/>
      <c r="B155" s="110">
        <f t="shared" si="0"/>
        <v>2032</v>
      </c>
      <c r="C155" s="111">
        <f>[21]С2.5!$Q$11</f>
        <v>0</v>
      </c>
      <c r="D155" s="89"/>
    </row>
    <row r="156" spans="1:4" hidden="1" x14ac:dyDescent="0.2">
      <c r="A156" s="89"/>
      <c r="B156" s="110">
        <f t="shared" si="0"/>
        <v>2033</v>
      </c>
      <c r="C156" s="111">
        <f>[21]С2.5!$R$11</f>
        <v>0</v>
      </c>
      <c r="D156" s="89"/>
    </row>
    <row r="157" spans="1:4" hidden="1" x14ac:dyDescent="0.2">
      <c r="B157" s="110">
        <f t="shared" si="0"/>
        <v>2034</v>
      </c>
      <c r="C157" s="111">
        <f>[21]С2.5!$S$11</f>
        <v>0</v>
      </c>
    </row>
    <row r="158" spans="1:4" hidden="1" x14ac:dyDescent="0.2">
      <c r="B158" s="110">
        <f t="shared" si="0"/>
        <v>2035</v>
      </c>
      <c r="C158" s="111">
        <f>[21]С2.5!$T$11</f>
        <v>0</v>
      </c>
    </row>
    <row r="159" spans="1:4" hidden="1" x14ac:dyDescent="0.2">
      <c r="B159" s="110">
        <f t="shared" si="0"/>
        <v>2036</v>
      </c>
      <c r="C159" s="111">
        <f>[21]С2.5!$U$11</f>
        <v>0</v>
      </c>
    </row>
    <row r="160" spans="1:4" hidden="1" x14ac:dyDescent="0.2">
      <c r="B160" s="110">
        <f t="shared" si="0"/>
        <v>2037</v>
      </c>
      <c r="C160" s="111">
        <f>[21]С2.5!$V$11</f>
        <v>0</v>
      </c>
    </row>
    <row r="161" spans="2:3" hidden="1" x14ac:dyDescent="0.2">
      <c r="B161" s="110">
        <f t="shared" si="0"/>
        <v>2038</v>
      </c>
      <c r="C161" s="111">
        <f>[21]С2.5!$W$11</f>
        <v>0</v>
      </c>
    </row>
    <row r="162" spans="2:3" hidden="1" x14ac:dyDescent="0.2">
      <c r="B162" s="110">
        <f t="shared" si="0"/>
        <v>2039</v>
      </c>
      <c r="C162" s="111">
        <f>[21]С2.5!$X$11</f>
        <v>0</v>
      </c>
    </row>
    <row r="163" spans="2:3" hidden="1" x14ac:dyDescent="0.2">
      <c r="B163" s="110">
        <f t="shared" si="0"/>
        <v>2040</v>
      </c>
      <c r="C163" s="111">
        <f>[21]С2.5!$Y$11</f>
        <v>0</v>
      </c>
    </row>
    <row r="164" spans="2:3" hidden="1" x14ac:dyDescent="0.2">
      <c r="B164" s="110">
        <f t="shared" si="0"/>
        <v>2041</v>
      </c>
      <c r="C164" s="111">
        <f>[21]С2.5!$Z$11</f>
        <v>0</v>
      </c>
    </row>
    <row r="165" spans="2:3" hidden="1" x14ac:dyDescent="0.2">
      <c r="B165" s="110">
        <f t="shared" si="0"/>
        <v>2042</v>
      </c>
      <c r="C165" s="111">
        <f>[21]С2.5!$AA$11</f>
        <v>0</v>
      </c>
    </row>
    <row r="166" spans="2:3" hidden="1" x14ac:dyDescent="0.2">
      <c r="B166" s="110">
        <f t="shared" si="0"/>
        <v>2043</v>
      </c>
      <c r="C166" s="111">
        <f>[21]С2.5!$AB$11</f>
        <v>0</v>
      </c>
    </row>
    <row r="167" spans="2:3" hidden="1" x14ac:dyDescent="0.2">
      <c r="B167" s="110">
        <f t="shared" si="0"/>
        <v>2044</v>
      </c>
      <c r="C167" s="111">
        <f>[21]С2.5!$AC$11</f>
        <v>0</v>
      </c>
    </row>
    <row r="168" spans="2:3" hidden="1" x14ac:dyDescent="0.2">
      <c r="B168" s="110">
        <f t="shared" si="0"/>
        <v>2045</v>
      </c>
      <c r="C168" s="111">
        <f>[21]С2.5!$AD$11</f>
        <v>0</v>
      </c>
    </row>
    <row r="169" spans="2:3" hidden="1" x14ac:dyDescent="0.2">
      <c r="B169" s="110">
        <f t="shared" si="0"/>
        <v>2046</v>
      </c>
      <c r="C169" s="111">
        <f>[21]С2.5!$AE$11</f>
        <v>0</v>
      </c>
    </row>
    <row r="170" spans="2:3" hidden="1" x14ac:dyDescent="0.2">
      <c r="B170" s="110">
        <f t="shared" si="0"/>
        <v>2047</v>
      </c>
      <c r="C170" s="111">
        <f>[21]С2.5!$AF$11</f>
        <v>0</v>
      </c>
    </row>
    <row r="171" spans="2:3" hidden="1" x14ac:dyDescent="0.2">
      <c r="B171" s="110">
        <f t="shared" si="0"/>
        <v>2048</v>
      </c>
      <c r="C171" s="111">
        <f>[21]С2.5!$AG$11</f>
        <v>0</v>
      </c>
    </row>
    <row r="172" spans="2:3" hidden="1" x14ac:dyDescent="0.2">
      <c r="B172" s="110">
        <f t="shared" si="0"/>
        <v>2049</v>
      </c>
      <c r="C172" s="111">
        <f>[21]С2.5!$AH$11</f>
        <v>0</v>
      </c>
    </row>
    <row r="173" spans="2:3" hidden="1" x14ac:dyDescent="0.2">
      <c r="B173" s="110">
        <f t="shared" si="0"/>
        <v>2050</v>
      </c>
      <c r="C173" s="111">
        <f>[21]С2.5!$AI$11</f>
        <v>0</v>
      </c>
    </row>
    <row r="174" spans="2:3" hidden="1" x14ac:dyDescent="0.2">
      <c r="B174" s="110">
        <f t="shared" si="0"/>
        <v>2051</v>
      </c>
      <c r="C174" s="111">
        <f>[21]С2.5!$AJ$11</f>
        <v>0</v>
      </c>
    </row>
    <row r="175" spans="2:3" hidden="1" x14ac:dyDescent="0.2">
      <c r="B175" s="110">
        <f t="shared" si="0"/>
        <v>2052</v>
      </c>
      <c r="C175" s="111">
        <f>[21]С2.5!$AK$11</f>
        <v>0</v>
      </c>
    </row>
    <row r="176" spans="2:3" hidden="1" x14ac:dyDescent="0.2">
      <c r="B176" s="110">
        <f t="shared" si="0"/>
        <v>2053</v>
      </c>
      <c r="C176" s="111">
        <f>[21]С2.5!$AL$11</f>
        <v>0</v>
      </c>
    </row>
    <row r="177" spans="2:3" hidden="1" x14ac:dyDescent="0.2">
      <c r="B177" s="110">
        <f t="shared" si="0"/>
        <v>2054</v>
      </c>
      <c r="C177" s="111">
        <f>[21]С2.5!$AM$11</f>
        <v>0</v>
      </c>
    </row>
    <row r="178" spans="2:3" hidden="1" x14ac:dyDescent="0.2">
      <c r="B178" s="110">
        <f t="shared" si="0"/>
        <v>2055</v>
      </c>
      <c r="C178" s="111">
        <f>[21]С2.5!$AN$11</f>
        <v>0</v>
      </c>
    </row>
    <row r="179" spans="2:3" hidden="1" x14ac:dyDescent="0.2">
      <c r="B179" s="110">
        <f t="shared" si="0"/>
        <v>2056</v>
      </c>
      <c r="C179" s="111">
        <f>[21]С2.5!$AO$11</f>
        <v>0</v>
      </c>
    </row>
    <row r="180" spans="2:3" hidden="1" x14ac:dyDescent="0.2">
      <c r="B180" s="110">
        <f t="shared" si="0"/>
        <v>2057</v>
      </c>
      <c r="C180" s="111">
        <f>[21]С2.5!$AP$11</f>
        <v>0</v>
      </c>
    </row>
    <row r="181" spans="2:3" hidden="1" x14ac:dyDescent="0.2">
      <c r="B181" s="110">
        <f t="shared" si="0"/>
        <v>2058</v>
      </c>
      <c r="C181" s="111">
        <f>[21]С2.5!$AQ$11</f>
        <v>0</v>
      </c>
    </row>
    <row r="182" spans="2:3" hidden="1" x14ac:dyDescent="0.2">
      <c r="B182" s="110">
        <f t="shared" si="0"/>
        <v>2059</v>
      </c>
      <c r="C182" s="111">
        <f>[21]С2.5!$AR$11</f>
        <v>0</v>
      </c>
    </row>
    <row r="183" spans="2:3" hidden="1" x14ac:dyDescent="0.2">
      <c r="B183" s="110">
        <f t="shared" si="0"/>
        <v>2060</v>
      </c>
      <c r="C183" s="111">
        <f>[21]С2.5!$AS$11</f>
        <v>0</v>
      </c>
    </row>
    <row r="184" spans="2:3" hidden="1" x14ac:dyDescent="0.2">
      <c r="B184" s="110">
        <f t="shared" si="0"/>
        <v>2061</v>
      </c>
      <c r="C184" s="111">
        <f>[21]С2.5!$AT$11</f>
        <v>0</v>
      </c>
    </row>
    <row r="185" spans="2:3" hidden="1" x14ac:dyDescent="0.2">
      <c r="B185" s="110">
        <f t="shared" si="0"/>
        <v>2062</v>
      </c>
      <c r="C185" s="111">
        <f>[21]С2.5!$AU$11</f>
        <v>0</v>
      </c>
    </row>
    <row r="186" spans="2:3" hidden="1" x14ac:dyDescent="0.2">
      <c r="B186" s="110">
        <f t="shared" si="0"/>
        <v>2063</v>
      </c>
      <c r="C186" s="111">
        <f>[21]С2.5!$AV$11</f>
        <v>0</v>
      </c>
    </row>
    <row r="187" spans="2:3" hidden="1" x14ac:dyDescent="0.2">
      <c r="B187" s="110">
        <f t="shared" si="0"/>
        <v>2064</v>
      </c>
      <c r="C187" s="111">
        <f>[21]С2.5!$AW$11</f>
        <v>0</v>
      </c>
    </row>
    <row r="188" spans="2:3" hidden="1" x14ac:dyDescent="0.2">
      <c r="B188" s="110">
        <f t="shared" si="0"/>
        <v>2065</v>
      </c>
      <c r="C188" s="111">
        <f>[21]С2.5!$AX$11</f>
        <v>0</v>
      </c>
    </row>
    <row r="189" spans="2:3" hidden="1" x14ac:dyDescent="0.2">
      <c r="B189" s="110">
        <f t="shared" si="0"/>
        <v>2066</v>
      </c>
      <c r="C189" s="111">
        <f>[21]С2.5!$AY$11</f>
        <v>0</v>
      </c>
    </row>
    <row r="190" spans="2:3" hidden="1" x14ac:dyDescent="0.2">
      <c r="B190" s="110">
        <f t="shared" si="0"/>
        <v>2067</v>
      </c>
      <c r="C190" s="111">
        <f>[21]С2.5!$AZ$11</f>
        <v>0</v>
      </c>
    </row>
    <row r="191" spans="2:3" hidden="1" x14ac:dyDescent="0.2">
      <c r="B191" s="110">
        <f t="shared" si="0"/>
        <v>2068</v>
      </c>
      <c r="C191" s="111">
        <f>[21]С2.5!$BA$11</f>
        <v>0</v>
      </c>
    </row>
    <row r="192" spans="2:3" hidden="1" x14ac:dyDescent="0.2">
      <c r="B192" s="110">
        <f t="shared" si="0"/>
        <v>2069</v>
      </c>
      <c r="C192" s="111">
        <f>[21]С2.5!$BB$11</f>
        <v>0</v>
      </c>
    </row>
    <row r="193" spans="2:3" hidden="1" x14ac:dyDescent="0.2">
      <c r="B193" s="110">
        <f t="shared" si="0"/>
        <v>2070</v>
      </c>
      <c r="C193" s="111">
        <f>[21]С2.5!$BC$11</f>
        <v>0</v>
      </c>
    </row>
    <row r="194" spans="2:3" hidden="1" x14ac:dyDescent="0.2">
      <c r="B194" s="110">
        <f t="shared" si="0"/>
        <v>2071</v>
      </c>
      <c r="C194" s="111">
        <f>[21]С2.5!$BD$11</f>
        <v>0</v>
      </c>
    </row>
    <row r="195" spans="2:3" hidden="1" x14ac:dyDescent="0.2">
      <c r="B195" s="110">
        <f t="shared" si="0"/>
        <v>2072</v>
      </c>
      <c r="C195" s="111">
        <f>[21]С2.5!$BE$11</f>
        <v>0</v>
      </c>
    </row>
    <row r="196" spans="2:3" hidden="1" x14ac:dyDescent="0.2">
      <c r="B196" s="110">
        <f t="shared" si="0"/>
        <v>2073</v>
      </c>
      <c r="C196" s="111">
        <f>[21]С2.5!$BF$11</f>
        <v>0</v>
      </c>
    </row>
    <row r="197" spans="2:3" hidden="1" x14ac:dyDescent="0.2">
      <c r="B197" s="110">
        <f t="shared" si="0"/>
        <v>2074</v>
      </c>
      <c r="C197" s="111">
        <f>[21]С2.5!$BG$11</f>
        <v>0</v>
      </c>
    </row>
    <row r="198" spans="2:3" hidden="1" x14ac:dyDescent="0.2">
      <c r="B198" s="110">
        <f t="shared" si="0"/>
        <v>2075</v>
      </c>
      <c r="C198" s="111">
        <f>[21]С2.5!$BH$11</f>
        <v>0</v>
      </c>
    </row>
    <row r="199" spans="2:3" hidden="1" x14ac:dyDescent="0.2">
      <c r="B199" s="110">
        <f t="shared" si="0"/>
        <v>2076</v>
      </c>
      <c r="C199" s="111">
        <f>[21]С2.5!$BI$11</f>
        <v>0</v>
      </c>
    </row>
    <row r="200" spans="2:3" hidden="1" x14ac:dyDescent="0.2">
      <c r="B200" s="110">
        <f t="shared" si="0"/>
        <v>2077</v>
      </c>
      <c r="C200" s="111">
        <f>[21]С2.5!$BJ$11</f>
        <v>0</v>
      </c>
    </row>
    <row r="201" spans="2:3" hidden="1" x14ac:dyDescent="0.2">
      <c r="B201" s="110">
        <f t="shared" si="0"/>
        <v>2078</v>
      </c>
      <c r="C201" s="111">
        <f>[21]С2.5!$BK$11</f>
        <v>0</v>
      </c>
    </row>
    <row r="202" spans="2:3" hidden="1" x14ac:dyDescent="0.2">
      <c r="B202" s="110">
        <f t="shared" si="0"/>
        <v>2079</v>
      </c>
      <c r="C202" s="111">
        <f>[21]С2.5!$BL$11</f>
        <v>0</v>
      </c>
    </row>
    <row r="203" spans="2:3" hidden="1" x14ac:dyDescent="0.2">
      <c r="B203" s="110">
        <f t="shared" si="0"/>
        <v>2080</v>
      </c>
      <c r="C203" s="111">
        <f>[21]С2.5!$BM$11</f>
        <v>0</v>
      </c>
    </row>
    <row r="204" spans="2:3" hidden="1" x14ac:dyDescent="0.2">
      <c r="B204" s="110">
        <f t="shared" si="0"/>
        <v>2081</v>
      </c>
      <c r="C204" s="111">
        <f>[21]С2.5!$BN$11</f>
        <v>0</v>
      </c>
    </row>
    <row r="205" spans="2:3" hidden="1" x14ac:dyDescent="0.2">
      <c r="B205" s="110">
        <f t="shared" si="0"/>
        <v>2082</v>
      </c>
      <c r="C205" s="111">
        <f>[21]С2.5!$BO$11</f>
        <v>0</v>
      </c>
    </row>
    <row r="206" spans="2:3" hidden="1" x14ac:dyDescent="0.2">
      <c r="B206" s="110">
        <f t="shared" si="0"/>
        <v>2083</v>
      </c>
      <c r="C206" s="111">
        <f>[21]С2.5!$BP$11</f>
        <v>0</v>
      </c>
    </row>
    <row r="207" spans="2:3" hidden="1" x14ac:dyDescent="0.2">
      <c r="B207" s="110">
        <f t="shared" si="0"/>
        <v>2084</v>
      </c>
      <c r="C207" s="111">
        <f>[21]С2.5!$BQ$11</f>
        <v>0</v>
      </c>
    </row>
    <row r="208" spans="2:3" hidden="1" x14ac:dyDescent="0.2">
      <c r="B208" s="110">
        <f t="shared" si="0"/>
        <v>2085</v>
      </c>
      <c r="C208" s="111">
        <f>[21]С2.5!$BR$11</f>
        <v>0</v>
      </c>
    </row>
    <row r="209" spans="2:3" hidden="1" x14ac:dyDescent="0.2">
      <c r="B209" s="110">
        <f t="shared" ref="B209:B223" si="1">B208+1</f>
        <v>2086</v>
      </c>
      <c r="C209" s="111">
        <f>[21]С2.5!$BS$11</f>
        <v>0</v>
      </c>
    </row>
    <row r="210" spans="2:3" hidden="1" x14ac:dyDescent="0.2">
      <c r="B210" s="110">
        <f t="shared" si="1"/>
        <v>2087</v>
      </c>
      <c r="C210" s="111">
        <f>[21]С2.5!$BT$11</f>
        <v>0</v>
      </c>
    </row>
    <row r="211" spans="2:3" hidden="1" x14ac:dyDescent="0.2">
      <c r="B211" s="110">
        <f t="shared" si="1"/>
        <v>2088</v>
      </c>
      <c r="C211" s="111">
        <f>[21]С2.5!$BU$11</f>
        <v>0</v>
      </c>
    </row>
    <row r="212" spans="2:3" hidden="1" x14ac:dyDescent="0.2">
      <c r="B212" s="110">
        <f t="shared" si="1"/>
        <v>2089</v>
      </c>
      <c r="C212" s="111">
        <f>[21]С2.5!$BV$11</f>
        <v>0</v>
      </c>
    </row>
    <row r="213" spans="2:3" hidden="1" x14ac:dyDescent="0.2">
      <c r="B213" s="110">
        <f t="shared" si="1"/>
        <v>2090</v>
      </c>
      <c r="C213" s="111">
        <f>[21]С2.5!$BW$11</f>
        <v>0</v>
      </c>
    </row>
    <row r="214" spans="2:3" hidden="1" x14ac:dyDescent="0.2">
      <c r="B214" s="110">
        <f t="shared" si="1"/>
        <v>2091</v>
      </c>
      <c r="C214" s="111">
        <f>[21]С2.5!$BX$11</f>
        <v>0</v>
      </c>
    </row>
    <row r="215" spans="2:3" hidden="1" x14ac:dyDescent="0.2">
      <c r="B215" s="110">
        <f t="shared" si="1"/>
        <v>2092</v>
      </c>
      <c r="C215" s="111">
        <f>[21]С2.5!$BY$11</f>
        <v>0</v>
      </c>
    </row>
    <row r="216" spans="2:3" hidden="1" x14ac:dyDescent="0.2">
      <c r="B216" s="110">
        <f t="shared" si="1"/>
        <v>2093</v>
      </c>
      <c r="C216" s="111">
        <f>[21]С2.5!$BZ$11</f>
        <v>0</v>
      </c>
    </row>
    <row r="217" spans="2:3" hidden="1" x14ac:dyDescent="0.2">
      <c r="B217" s="110">
        <f t="shared" si="1"/>
        <v>2094</v>
      </c>
      <c r="C217" s="111">
        <f>[21]С2.5!$CA$11</f>
        <v>0</v>
      </c>
    </row>
    <row r="218" spans="2:3" hidden="1" x14ac:dyDescent="0.2">
      <c r="B218" s="110">
        <f t="shared" si="1"/>
        <v>2095</v>
      </c>
      <c r="C218" s="111">
        <f>[21]С2.5!$CB$11</f>
        <v>0</v>
      </c>
    </row>
    <row r="219" spans="2:3" hidden="1" x14ac:dyDescent="0.2">
      <c r="B219" s="110">
        <f t="shared" si="1"/>
        <v>2096</v>
      </c>
      <c r="C219" s="111">
        <f>[21]С2.5!$CC$11</f>
        <v>0</v>
      </c>
    </row>
    <row r="220" spans="2:3" hidden="1" x14ac:dyDescent="0.2">
      <c r="B220" s="110">
        <f t="shared" si="1"/>
        <v>2097</v>
      </c>
      <c r="C220" s="111">
        <f>[21]С2.5!$CD$11</f>
        <v>0</v>
      </c>
    </row>
    <row r="221" spans="2:3" hidden="1" x14ac:dyDescent="0.2">
      <c r="B221" s="110">
        <f t="shared" si="1"/>
        <v>2098</v>
      </c>
      <c r="C221" s="111">
        <f>[21]С2.5!$CE$11</f>
        <v>0</v>
      </c>
    </row>
    <row r="222" spans="2:3" hidden="1" x14ac:dyDescent="0.2">
      <c r="B222" s="110">
        <f t="shared" si="1"/>
        <v>2099</v>
      </c>
      <c r="C222" s="111">
        <f>[21]С2.5!$CF$11</f>
        <v>0</v>
      </c>
    </row>
    <row r="223" spans="2:3" ht="13.5" hidden="1" thickBot="1" x14ac:dyDescent="0.25">
      <c r="B223" s="112">
        <f t="shared" si="1"/>
        <v>2100</v>
      </c>
      <c r="C223" s="113">
        <f>[21]С2.5!$CG$11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8433" r:id="rId3" name="Button 1">
              <controlPr defaultSize="0" print="0" autoFill="0" autoPict="0" macro="[8]!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18434" r:id="rId4" name="Button 2">
              <controlPr defaultSize="0" print="0" autoFill="0" autoPict="0" macro="[21]!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7.28515625" style="2" customWidth="1"/>
    <col min="2" max="2" width="100.7109375" style="2" customWidth="1"/>
    <col min="3" max="3" width="20.85546875" style="139" customWidth="1"/>
    <col min="4" max="4" width="5.140625" style="2" customWidth="1"/>
    <col min="5" max="5" width="17.5703125" style="2" customWidth="1"/>
    <col min="6" max="158" width="9.140625" style="2"/>
    <col min="159" max="240" width="0" style="2" hidden="1" customWidth="1"/>
    <col min="241" max="249" width="9.140625" style="2"/>
    <col min="250" max="250" width="3.710937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710937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710937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710937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710937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710937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710937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710937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710937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710937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710937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710937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710937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710937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710937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710937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710937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710937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710937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710937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710937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710937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710937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710937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710937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710937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710937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710937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710937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710937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710937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710937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710937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710937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710937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710937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710937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710937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710937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710937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710937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710937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710937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710937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710937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710937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710937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710937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710937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710937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710937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710937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710937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710937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710937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710937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710937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710937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710937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710937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710937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710937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710937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3"/>
      <c r="B1" s="163" t="s">
        <v>227</v>
      </c>
      <c r="C1" s="163"/>
    </row>
    <row r="2" spans="1:3" x14ac:dyDescent="0.2">
      <c r="A2" s="3"/>
      <c r="B2" s="4" t="s">
        <v>1</v>
      </c>
      <c r="C2" s="5">
        <v>45317</v>
      </c>
    </row>
    <row r="3" spans="1:3" x14ac:dyDescent="0.2">
      <c r="A3" s="3"/>
      <c r="B3" s="117" t="s">
        <v>2</v>
      </c>
      <c r="C3" s="7"/>
    </row>
    <row r="4" spans="1:3" ht="25.5" x14ac:dyDescent="0.2">
      <c r="A4" s="8"/>
      <c r="B4" s="9" t="str">
        <f>[22]И1!D13</f>
        <v>Субъект Российской Федерации</v>
      </c>
      <c r="C4" s="10" t="str">
        <f>[22]И1!E13</f>
        <v>Новосибирская область</v>
      </c>
    </row>
    <row r="5" spans="1:3" ht="48.6" customHeight="1" x14ac:dyDescent="0.2">
      <c r="A5" s="8"/>
      <c r="B5" s="9" t="str">
        <f>[22]И1!D14</f>
        <v>Тип муниципального образования (выберите из списка)</v>
      </c>
      <c r="C5" s="10" t="str">
        <f>[22]И1!E14</f>
        <v>поселок Чернореченский, Искитимский муниципальный район</v>
      </c>
    </row>
    <row r="6" spans="1:3" x14ac:dyDescent="0.2">
      <c r="A6" s="8"/>
      <c r="B6" s="9" t="str">
        <f>IF([22]И1!E15="","",[22]И1!D15)</f>
        <v/>
      </c>
      <c r="C6" s="7" t="str">
        <f>IF([22]И1!E15="","",[22]И1!E15)</f>
        <v/>
      </c>
    </row>
    <row r="7" spans="1:3" x14ac:dyDescent="0.2">
      <c r="A7" s="8"/>
      <c r="B7" s="9" t="str">
        <f>[22]И1!D16</f>
        <v>Код ОКТМО</v>
      </c>
      <c r="C7" s="11" t="str">
        <f>[22]И1!E16</f>
        <v xml:space="preserve"> (50615437101)</v>
      </c>
    </row>
    <row r="8" spans="1:3" x14ac:dyDescent="0.2">
      <c r="A8" s="8"/>
      <c r="B8" s="12" t="str">
        <f>[22]И1!D17</f>
        <v>Система теплоснабжения</v>
      </c>
      <c r="C8" s="13">
        <f>[22]И1!E17</f>
        <v>0</v>
      </c>
    </row>
    <row r="9" spans="1:3" x14ac:dyDescent="0.2">
      <c r="A9" s="8"/>
      <c r="B9" s="9" t="str">
        <f>[22]И1!D8</f>
        <v>Период регулирования (i)-й</v>
      </c>
      <c r="C9" s="14">
        <f>[22]И1!E8</f>
        <v>2024</v>
      </c>
    </row>
    <row r="10" spans="1:3" x14ac:dyDescent="0.2">
      <c r="A10" s="8"/>
      <c r="B10" s="9" t="str">
        <f>[22]И1!D9</f>
        <v>Период регулирования (i-1)-й</v>
      </c>
      <c r="C10" s="14">
        <f>[22]И1!E9</f>
        <v>2023</v>
      </c>
    </row>
    <row r="11" spans="1:3" x14ac:dyDescent="0.2">
      <c r="A11" s="8"/>
      <c r="B11" s="9" t="str">
        <f>[22]И1!D10</f>
        <v>Период регулирования (i-2)-й</v>
      </c>
      <c r="C11" s="14">
        <f>[22]И1!E10</f>
        <v>2022</v>
      </c>
    </row>
    <row r="12" spans="1:3" x14ac:dyDescent="0.2">
      <c r="A12" s="8"/>
      <c r="B12" s="9" t="str">
        <f>[22]И1!D11</f>
        <v>Базовый год (б)</v>
      </c>
      <c r="C12" s="14">
        <f>[22]И1!E11</f>
        <v>2019</v>
      </c>
    </row>
    <row r="13" spans="1:3" x14ac:dyDescent="0.2">
      <c r="A13" s="8"/>
      <c r="B13" s="9" t="str">
        <f>[22]И1!D18</f>
        <v>Вид топлива, использование которого преобладает в системе теплоснабжения</v>
      </c>
      <c r="C13" s="15" t="str">
        <f>[22]И1!E18</f>
        <v>Газ</v>
      </c>
    </row>
    <row r="14" spans="1:3" ht="26.25" customHeight="1" thickBot="1" x14ac:dyDescent="0.25">
      <c r="A14" s="167" t="s">
        <v>3</v>
      </c>
      <c r="B14" s="167"/>
      <c r="C14" s="167"/>
    </row>
    <row r="15" spans="1:3" x14ac:dyDescent="0.2">
      <c r="A15" s="16" t="s">
        <v>4</v>
      </c>
      <c r="B15" s="30" t="s">
        <v>5</v>
      </c>
      <c r="C15" s="118" t="s">
        <v>6</v>
      </c>
    </row>
    <row r="16" spans="1:3" x14ac:dyDescent="0.2">
      <c r="A16" s="19">
        <v>1</v>
      </c>
      <c r="B16" s="119">
        <v>2</v>
      </c>
      <c r="C16" s="120">
        <v>3</v>
      </c>
    </row>
    <row r="17" spans="1:3" x14ac:dyDescent="0.2">
      <c r="A17" s="22">
        <v>1</v>
      </c>
      <c r="B17" s="23" t="s">
        <v>7</v>
      </c>
      <c r="C17" s="24">
        <f>SUM(C18:C23)</f>
        <v>2939.204068798766</v>
      </c>
    </row>
    <row r="18" spans="1:3" ht="42.75" x14ac:dyDescent="0.2">
      <c r="A18" s="22" t="s">
        <v>8</v>
      </c>
      <c r="B18" s="25" t="s">
        <v>9</v>
      </c>
      <c r="C18" s="26">
        <f>[22]С1!F12</f>
        <v>994.35037159416254</v>
      </c>
    </row>
    <row r="19" spans="1:3" ht="42.75" x14ac:dyDescent="0.2">
      <c r="A19" s="22" t="s">
        <v>10</v>
      </c>
      <c r="B19" s="25" t="s">
        <v>11</v>
      </c>
      <c r="C19" s="26">
        <f>[22]С2!F12</f>
        <v>1338.5714783459885</v>
      </c>
    </row>
    <row r="20" spans="1:3" ht="30" x14ac:dyDescent="0.2">
      <c r="A20" s="22" t="s">
        <v>12</v>
      </c>
      <c r="B20" s="25" t="s">
        <v>13</v>
      </c>
      <c r="C20" s="26">
        <f>[22]С3!F12</f>
        <v>317.98065232680995</v>
      </c>
    </row>
    <row r="21" spans="1:3" ht="42.75" x14ac:dyDescent="0.2">
      <c r="A21" s="22" t="s">
        <v>14</v>
      </c>
      <c r="B21" s="25" t="s">
        <v>228</v>
      </c>
      <c r="C21" s="26">
        <f>[22]С4!F12</f>
        <v>230.67011420241766</v>
      </c>
    </row>
    <row r="22" spans="1:3" ht="33" customHeight="1" x14ac:dyDescent="0.2">
      <c r="A22" s="22" t="s">
        <v>16</v>
      </c>
      <c r="B22" s="25" t="s">
        <v>229</v>
      </c>
      <c r="C22" s="26">
        <f>[22]С5!F12</f>
        <v>57.631452329387571</v>
      </c>
    </row>
    <row r="23" spans="1:3" ht="45.75" customHeight="1" thickBot="1" x14ac:dyDescent="0.25">
      <c r="A23" s="27" t="s">
        <v>18</v>
      </c>
      <c r="B23" s="140" t="s">
        <v>230</v>
      </c>
      <c r="C23" s="28">
        <f>[22]С6!F12</f>
        <v>0</v>
      </c>
    </row>
    <row r="24" spans="1:3" ht="13.5" thickBot="1" x14ac:dyDescent="0.25">
      <c r="A24" s="3"/>
      <c r="C24" s="7"/>
    </row>
    <row r="25" spans="1:3" x14ac:dyDescent="0.2">
      <c r="A25" s="16" t="s">
        <v>4</v>
      </c>
      <c r="B25" s="29" t="s">
        <v>5</v>
      </c>
      <c r="C25" s="30" t="s">
        <v>6</v>
      </c>
    </row>
    <row r="26" spans="1:3" x14ac:dyDescent="0.2">
      <c r="A26" s="19">
        <v>1</v>
      </c>
      <c r="B26" s="31">
        <v>2</v>
      </c>
      <c r="C26" s="32">
        <v>3</v>
      </c>
    </row>
    <row r="27" spans="1:3" ht="30" customHeight="1" x14ac:dyDescent="0.2">
      <c r="A27" s="22">
        <v>1</v>
      </c>
      <c r="B27" s="164" t="s">
        <v>20</v>
      </c>
      <c r="C27" s="164"/>
    </row>
    <row r="28" spans="1:3" x14ac:dyDescent="0.2">
      <c r="A28" s="22" t="s">
        <v>8</v>
      </c>
      <c r="B28" s="33" t="s">
        <v>231</v>
      </c>
      <c r="C28" s="34">
        <f>[22]С1.1!E16</f>
        <v>7900</v>
      </c>
    </row>
    <row r="29" spans="1:3" ht="42.75" x14ac:dyDescent="0.2">
      <c r="A29" s="22" t="s">
        <v>10</v>
      </c>
      <c r="B29" s="33" t="s">
        <v>232</v>
      </c>
      <c r="C29" s="34">
        <f>[22]С1.1!E32</f>
        <v>5751.37</v>
      </c>
    </row>
    <row r="30" spans="1:3" ht="38.25" x14ac:dyDescent="0.2">
      <c r="A30" s="22" t="s">
        <v>233</v>
      </c>
      <c r="B30" s="33" t="s">
        <v>234</v>
      </c>
      <c r="C30" s="85" t="str">
        <f>[22]С1.1!E25</f>
        <v>ООО "Газпром газораспределение Томск"</v>
      </c>
    </row>
    <row r="31" spans="1:3" ht="38.25" x14ac:dyDescent="0.2">
      <c r="A31" s="22" t="s">
        <v>235</v>
      </c>
      <c r="B31" s="33" t="str">
        <f>[22]С1.1!D26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4">
        <f>[22]С1.1!E26</f>
        <v>4699.5</v>
      </c>
    </row>
    <row r="32" spans="1:3" ht="25.5" x14ac:dyDescent="0.2">
      <c r="A32" s="22" t="s">
        <v>236</v>
      </c>
      <c r="B32" s="33" t="str">
        <f>[22]С1.1!D27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4">
        <f>[22]С1.1!E27</f>
        <v>795.43</v>
      </c>
    </row>
    <row r="33" spans="1:3" ht="25.5" x14ac:dyDescent="0.2">
      <c r="A33" s="22" t="s">
        <v>237</v>
      </c>
      <c r="B33" s="33" t="str">
        <f>[22]С1.1!D28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4">
        <f>[22]С1.1!E28</f>
        <v>136.54</v>
      </c>
    </row>
    <row r="34" spans="1:3" ht="38.25" x14ac:dyDescent="0.2">
      <c r="A34" s="22" t="s">
        <v>238</v>
      </c>
      <c r="B34" s="33" t="str">
        <f>[22]С1.1!D29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4">
        <f>[22]С1.1!E29</f>
        <v>119.9</v>
      </c>
    </row>
    <row r="35" spans="1:3" ht="17.25" x14ac:dyDescent="0.2">
      <c r="A35" s="22" t="s">
        <v>12</v>
      </c>
      <c r="B35" s="33" t="s">
        <v>23</v>
      </c>
      <c r="C35" s="35">
        <f>[22]С1.1!E20</f>
        <v>8.5000000000000006E-2</v>
      </c>
    </row>
    <row r="36" spans="1:3" ht="17.25" x14ac:dyDescent="0.2">
      <c r="A36" s="22" t="s">
        <v>14</v>
      </c>
      <c r="B36" s="33" t="s">
        <v>24</v>
      </c>
      <c r="C36" s="35">
        <f>[22]С1.1!E21</f>
        <v>0.112</v>
      </c>
    </row>
    <row r="37" spans="1:3" ht="30" x14ac:dyDescent="0.2">
      <c r="A37" s="22" t="s">
        <v>16</v>
      </c>
      <c r="B37" s="36" t="s">
        <v>239</v>
      </c>
      <c r="C37" s="121">
        <f>[22]С1!F13</f>
        <v>156.1</v>
      </c>
    </row>
    <row r="38" spans="1:3" x14ac:dyDescent="0.2">
      <c r="A38" s="22" t="s">
        <v>18</v>
      </c>
      <c r="B38" s="36" t="s">
        <v>26</v>
      </c>
      <c r="C38" s="38">
        <f>[22]С1!F16</f>
        <v>7000</v>
      </c>
    </row>
    <row r="39" spans="1:3" ht="14.25" x14ac:dyDescent="0.2">
      <c r="A39" s="122" t="s">
        <v>27</v>
      </c>
      <c r="B39" s="39" t="s">
        <v>240</v>
      </c>
      <c r="C39" s="40">
        <f>[22]С1!F17</f>
        <v>1.1285714285714286</v>
      </c>
    </row>
    <row r="40" spans="1:3" ht="15.75" x14ac:dyDescent="0.2">
      <c r="A40" s="123" t="s">
        <v>29</v>
      </c>
      <c r="B40" s="42" t="s">
        <v>30</v>
      </c>
      <c r="C40" s="40">
        <f>[22]С1!F20</f>
        <v>22.307053372799995</v>
      </c>
    </row>
    <row r="41" spans="1:3" ht="15.75" x14ac:dyDescent="0.2">
      <c r="A41" s="123" t="s">
        <v>31</v>
      </c>
      <c r="B41" s="43" t="s">
        <v>32</v>
      </c>
      <c r="C41" s="40">
        <f>[22]С1!F21</f>
        <v>21.531904799999996</v>
      </c>
    </row>
    <row r="42" spans="1:3" ht="14.25" x14ac:dyDescent="0.2">
      <c r="A42" s="123" t="s">
        <v>33</v>
      </c>
      <c r="B42" s="44" t="s">
        <v>34</v>
      </c>
      <c r="C42" s="40">
        <f>[22]С1!F22</f>
        <v>1.036</v>
      </c>
    </row>
    <row r="43" spans="1:3" ht="53.25" thickBot="1" x14ac:dyDescent="0.25">
      <c r="A43" s="27" t="s">
        <v>35</v>
      </c>
      <c r="B43" s="45" t="s">
        <v>36</v>
      </c>
      <c r="C43" s="46" t="str">
        <f>[22]С1!F23</f>
        <v>-</v>
      </c>
    </row>
    <row r="44" spans="1:3" ht="13.5" thickBot="1" x14ac:dyDescent="0.25">
      <c r="A44" s="47"/>
      <c r="B44" s="75"/>
      <c r="C44" s="15"/>
    </row>
    <row r="45" spans="1:3" ht="30" customHeight="1" x14ac:dyDescent="0.2">
      <c r="A45" s="50" t="s">
        <v>37</v>
      </c>
      <c r="B45" s="165" t="s">
        <v>38</v>
      </c>
      <c r="C45" s="165"/>
    </row>
    <row r="46" spans="1:3" ht="25.5" x14ac:dyDescent="0.2">
      <c r="A46" s="22" t="s">
        <v>39</v>
      </c>
      <c r="B46" s="36" t="s">
        <v>40</v>
      </c>
      <c r="C46" s="51" t="str">
        <f>[22]С2.1!E12</f>
        <v>V</v>
      </c>
    </row>
    <row r="47" spans="1:3" ht="25.5" x14ac:dyDescent="0.2">
      <c r="A47" s="22" t="s">
        <v>41</v>
      </c>
      <c r="B47" s="33" t="s">
        <v>42</v>
      </c>
      <c r="C47" s="51" t="str">
        <f>[22]С2.1!E13</f>
        <v>6 и менее баллов</v>
      </c>
    </row>
    <row r="48" spans="1:3" ht="25.5" x14ac:dyDescent="0.2">
      <c r="A48" s="22" t="s">
        <v>43</v>
      </c>
      <c r="B48" s="33" t="s">
        <v>241</v>
      </c>
      <c r="C48" s="51" t="str">
        <f>[22]С2.1!E14</f>
        <v>от 200 до 500</v>
      </c>
    </row>
    <row r="49" spans="1:3" ht="25.5" x14ac:dyDescent="0.2">
      <c r="A49" s="22" t="s">
        <v>45</v>
      </c>
      <c r="B49" s="33" t="s">
        <v>242</v>
      </c>
      <c r="C49" s="52" t="str">
        <f>[22]С2.1!E15</f>
        <v>нет</v>
      </c>
    </row>
    <row r="50" spans="1:3" ht="30" x14ac:dyDescent="0.2">
      <c r="A50" s="22" t="s">
        <v>47</v>
      </c>
      <c r="B50" s="33" t="s">
        <v>48</v>
      </c>
      <c r="C50" s="34">
        <f>[22]С2!F18</f>
        <v>35106.652004551666</v>
      </c>
    </row>
    <row r="51" spans="1:3" ht="30" x14ac:dyDescent="0.2">
      <c r="A51" s="22" t="s">
        <v>49</v>
      </c>
      <c r="B51" s="53" t="s">
        <v>50</v>
      </c>
      <c r="C51" s="34">
        <f>IF([22]С2!F19&gt;0,[22]С2!F19,[22]С2!F20)</f>
        <v>23441.524932855718</v>
      </c>
    </row>
    <row r="52" spans="1:3" ht="25.5" x14ac:dyDescent="0.2">
      <c r="A52" s="22" t="s">
        <v>51</v>
      </c>
      <c r="B52" s="54" t="s">
        <v>52</v>
      </c>
      <c r="C52" s="34">
        <f>[22]С2.1!E20</f>
        <v>-38</v>
      </c>
    </row>
    <row r="53" spans="1:3" ht="25.5" x14ac:dyDescent="0.2">
      <c r="A53" s="22" t="s">
        <v>53</v>
      </c>
      <c r="B53" s="54" t="s">
        <v>54</v>
      </c>
      <c r="C53" s="34" t="str">
        <f>[22]С2.1!E23</f>
        <v>нет</v>
      </c>
    </row>
    <row r="54" spans="1:3" ht="38.25" x14ac:dyDescent="0.2">
      <c r="A54" s="22" t="s">
        <v>55</v>
      </c>
      <c r="B54" s="55" t="s">
        <v>56</v>
      </c>
      <c r="C54" s="34">
        <f>[22]С2.2!E10</f>
        <v>1287</v>
      </c>
    </row>
    <row r="55" spans="1:3" ht="25.5" x14ac:dyDescent="0.2">
      <c r="A55" s="22" t="s">
        <v>57</v>
      </c>
      <c r="B55" s="56" t="s">
        <v>58</v>
      </c>
      <c r="C55" s="34">
        <f>[22]С2.2!E12</f>
        <v>5.97</v>
      </c>
    </row>
    <row r="56" spans="1:3" ht="52.5" x14ac:dyDescent="0.2">
      <c r="A56" s="22" t="s">
        <v>59</v>
      </c>
      <c r="B56" s="57" t="s">
        <v>60</v>
      </c>
      <c r="C56" s="34">
        <f>[22]С2.2!E13</f>
        <v>1</v>
      </c>
    </row>
    <row r="57" spans="1:3" ht="27.75" x14ac:dyDescent="0.2">
      <c r="A57" s="22" t="s">
        <v>61</v>
      </c>
      <c r="B57" s="56" t="s">
        <v>62</v>
      </c>
      <c r="C57" s="34">
        <f>[22]С2.2!E14</f>
        <v>12104</v>
      </c>
    </row>
    <row r="58" spans="1:3" ht="25.5" x14ac:dyDescent="0.2">
      <c r="A58" s="22" t="s">
        <v>63</v>
      </c>
      <c r="B58" s="57" t="s">
        <v>64</v>
      </c>
      <c r="C58" s="35">
        <f>[22]С2.2!E15</f>
        <v>4.8000000000000001E-2</v>
      </c>
    </row>
    <row r="59" spans="1:3" x14ac:dyDescent="0.2">
      <c r="A59" s="22" t="s">
        <v>65</v>
      </c>
      <c r="B59" s="57" t="s">
        <v>66</v>
      </c>
      <c r="C59" s="124">
        <f>[22]С2.2!E16</f>
        <v>1</v>
      </c>
    </row>
    <row r="60" spans="1:3" ht="15.75" x14ac:dyDescent="0.2">
      <c r="A60" s="22" t="s">
        <v>67</v>
      </c>
      <c r="B60" s="58" t="s">
        <v>68</v>
      </c>
      <c r="C60" s="34">
        <f>[22]С2!F21</f>
        <v>1</v>
      </c>
    </row>
    <row r="61" spans="1:3" ht="30" x14ac:dyDescent="0.2">
      <c r="A61" s="59" t="s">
        <v>69</v>
      </c>
      <c r="B61" s="33" t="s">
        <v>243</v>
      </c>
      <c r="C61" s="34">
        <f>[22]С2!F13</f>
        <v>105136.23090983224</v>
      </c>
    </row>
    <row r="62" spans="1:3" ht="30" x14ac:dyDescent="0.2">
      <c r="A62" s="59" t="s">
        <v>71</v>
      </c>
      <c r="B62" s="60" t="s">
        <v>244</v>
      </c>
      <c r="C62" s="34">
        <f>[22]С2!F14</f>
        <v>64899</v>
      </c>
    </row>
    <row r="63" spans="1:3" ht="15.75" x14ac:dyDescent="0.2">
      <c r="A63" s="59" t="s">
        <v>73</v>
      </c>
      <c r="B63" s="60" t="s">
        <v>74</v>
      </c>
      <c r="C63" s="40">
        <f>[22]С2!F15</f>
        <v>1.071</v>
      </c>
    </row>
    <row r="64" spans="1:3" ht="15.75" x14ac:dyDescent="0.2">
      <c r="A64" s="59" t="s">
        <v>75</v>
      </c>
      <c r="B64" s="60" t="s">
        <v>76</v>
      </c>
      <c r="C64" s="125">
        <f>[22]С2!F16</f>
        <v>1</v>
      </c>
    </row>
    <row r="65" spans="1:3" ht="17.25" x14ac:dyDescent="0.2">
      <c r="A65" s="59" t="s">
        <v>77</v>
      </c>
      <c r="B65" s="60" t="s">
        <v>78</v>
      </c>
      <c r="C65" s="126">
        <f>[22]С2!F17</f>
        <v>1.01</v>
      </c>
    </row>
    <row r="66" spans="1:3" s="63" customFormat="1" ht="14.25" x14ac:dyDescent="0.2">
      <c r="A66" s="59" t="s">
        <v>79</v>
      </c>
      <c r="B66" s="61" t="s">
        <v>80</v>
      </c>
      <c r="C66" s="62">
        <f>[22]С2!F35</f>
        <v>10</v>
      </c>
    </row>
    <row r="67" spans="1:3" ht="30" x14ac:dyDescent="0.2">
      <c r="A67" s="59" t="s">
        <v>81</v>
      </c>
      <c r="B67" s="64" t="s">
        <v>82</v>
      </c>
      <c r="C67" s="34">
        <f>[22]С2!F28</f>
        <v>331.04604307653443</v>
      </c>
    </row>
    <row r="68" spans="1:3" ht="17.25" x14ac:dyDescent="0.2">
      <c r="A68" s="59" t="s">
        <v>83</v>
      </c>
      <c r="B68" s="53" t="s">
        <v>245</v>
      </c>
      <c r="C68" s="40">
        <f>[22]С2!F29</f>
        <v>0.44209422600000003</v>
      </c>
    </row>
    <row r="69" spans="1:3" ht="17.25" x14ac:dyDescent="0.2">
      <c r="A69" s="59" t="s">
        <v>85</v>
      </c>
      <c r="B69" s="58" t="s">
        <v>246</v>
      </c>
      <c r="C69" s="62">
        <f>[22]С2!F30</f>
        <v>500</v>
      </c>
    </row>
    <row r="70" spans="1:3" ht="42.75" x14ac:dyDescent="0.2">
      <c r="A70" s="59" t="s">
        <v>87</v>
      </c>
      <c r="B70" s="33" t="s">
        <v>247</v>
      </c>
      <c r="C70" s="34">
        <f>[22]С2!F22</f>
        <v>39638.324046481182</v>
      </c>
    </row>
    <row r="71" spans="1:3" ht="30" x14ac:dyDescent="0.2">
      <c r="A71" s="59" t="s">
        <v>89</v>
      </c>
      <c r="B71" s="60" t="s">
        <v>248</v>
      </c>
      <c r="C71" s="34">
        <f>[22]С2!F23</f>
        <v>21</v>
      </c>
    </row>
    <row r="72" spans="1:3" ht="30" x14ac:dyDescent="0.2">
      <c r="A72" s="59" t="s">
        <v>91</v>
      </c>
      <c r="B72" s="53" t="s">
        <v>92</v>
      </c>
      <c r="C72" s="34">
        <f>[22]С2.1!E28</f>
        <v>14036.09995</v>
      </c>
    </row>
    <row r="73" spans="1:3" ht="38.25" x14ac:dyDescent="0.2">
      <c r="A73" s="59" t="s">
        <v>93</v>
      </c>
      <c r="B73" s="65" t="s">
        <v>94</v>
      </c>
      <c r="C73" s="52">
        <f>[22]С2.3!E21</f>
        <v>0</v>
      </c>
    </row>
    <row r="74" spans="1:3" ht="25.5" x14ac:dyDescent="0.2">
      <c r="A74" s="59" t="s">
        <v>95</v>
      </c>
      <c r="B74" s="66" t="s">
        <v>96</v>
      </c>
      <c r="C74" s="67">
        <f>[22]С2.3!E11</f>
        <v>5.45</v>
      </c>
    </row>
    <row r="75" spans="1:3" ht="25.5" x14ac:dyDescent="0.2">
      <c r="A75" s="59" t="s">
        <v>97</v>
      </c>
      <c r="B75" s="66" t="s">
        <v>98</v>
      </c>
      <c r="C75" s="62">
        <f>[22]С2.3!E13</f>
        <v>300</v>
      </c>
    </row>
    <row r="76" spans="1:3" ht="25.5" x14ac:dyDescent="0.2">
      <c r="A76" s="59" t="s">
        <v>99</v>
      </c>
      <c r="B76" s="65" t="s">
        <v>100</v>
      </c>
      <c r="C76" s="68">
        <f>IF([22]С2.3!E22&gt;0,[22]С2.3!E22,[22]С2.3!E14)</f>
        <v>61211</v>
      </c>
    </row>
    <row r="77" spans="1:3" ht="38.25" x14ac:dyDescent="0.2">
      <c r="A77" s="59" t="s">
        <v>101</v>
      </c>
      <c r="B77" s="65" t="s">
        <v>102</v>
      </c>
      <c r="C77" s="68">
        <f>IF([22]С2.3!E23&gt;0,[22]С2.3!E23,[22]С2.3!E15)</f>
        <v>45675</v>
      </c>
    </row>
    <row r="78" spans="1:3" ht="30" x14ac:dyDescent="0.2">
      <c r="A78" s="59" t="s">
        <v>103</v>
      </c>
      <c r="B78" s="53" t="s">
        <v>104</v>
      </c>
      <c r="C78" s="34">
        <f>[22]С2.1!E29</f>
        <v>9518.3274000000001</v>
      </c>
    </row>
    <row r="79" spans="1:3" ht="38.25" x14ac:dyDescent="0.2">
      <c r="A79" s="59" t="s">
        <v>105</v>
      </c>
      <c r="B79" s="65" t="s">
        <v>106</v>
      </c>
      <c r="C79" s="52">
        <f>[22]С2.3!E25</f>
        <v>0</v>
      </c>
    </row>
    <row r="80" spans="1:3" ht="25.5" x14ac:dyDescent="0.2">
      <c r="A80" s="59" t="s">
        <v>107</v>
      </c>
      <c r="B80" s="66" t="s">
        <v>108</v>
      </c>
      <c r="C80" s="67">
        <f>[22]С2.3!E12</f>
        <v>0.2</v>
      </c>
    </row>
    <row r="81" spans="1:3" ht="25.5" x14ac:dyDescent="0.2">
      <c r="A81" s="59" t="s">
        <v>109</v>
      </c>
      <c r="B81" s="66" t="s">
        <v>98</v>
      </c>
      <c r="C81" s="62">
        <f>[22]С2.3!E13</f>
        <v>300</v>
      </c>
    </row>
    <row r="82" spans="1:3" ht="25.5" x14ac:dyDescent="0.2">
      <c r="A82" s="59" t="s">
        <v>110</v>
      </c>
      <c r="B82" s="69" t="s">
        <v>111</v>
      </c>
      <c r="C82" s="68">
        <f>IF([22]С2.3!E26&gt;0,[22]С2.3!E26,[22]С2.3!E16)</f>
        <v>65637</v>
      </c>
    </row>
    <row r="83" spans="1:3" ht="38.25" x14ac:dyDescent="0.2">
      <c r="A83" s="59" t="s">
        <v>112</v>
      </c>
      <c r="B83" s="69" t="s">
        <v>113</v>
      </c>
      <c r="C83" s="68">
        <f>IF([22]С2.3!E27&gt;0,[22]С2.3!E27,[22]С2.3!E17)</f>
        <v>31684</v>
      </c>
    </row>
    <row r="84" spans="1:3" ht="30" x14ac:dyDescent="0.2">
      <c r="A84" s="59" t="s">
        <v>249</v>
      </c>
      <c r="B84" s="60" t="s">
        <v>250</v>
      </c>
      <c r="C84" s="68">
        <f>IF([22]С2.1!E19&gt;0,[22]С2.1!E19,[22]С2!F26)</f>
        <v>2892</v>
      </c>
    </row>
    <row r="85" spans="1:3" ht="17.25" x14ac:dyDescent="0.2">
      <c r="A85" s="59" t="s">
        <v>114</v>
      </c>
      <c r="B85" s="33" t="s">
        <v>115</v>
      </c>
      <c r="C85" s="35">
        <f>[22]С2!F31</f>
        <v>9.5962865259740182E-2</v>
      </c>
    </row>
    <row r="86" spans="1:3" ht="30" x14ac:dyDescent="0.2">
      <c r="A86" s="59" t="s">
        <v>116</v>
      </c>
      <c r="B86" s="53" t="s">
        <v>117</v>
      </c>
      <c r="C86" s="70">
        <f>[22]С2!F32</f>
        <v>8.4029304029304031E-2</v>
      </c>
    </row>
    <row r="87" spans="1:3" ht="17.25" x14ac:dyDescent="0.2">
      <c r="A87" s="59" t="s">
        <v>118</v>
      </c>
      <c r="B87" s="71" t="s">
        <v>119</v>
      </c>
      <c r="C87" s="35">
        <f>[22]С2!F33</f>
        <v>0.13880000000000001</v>
      </c>
    </row>
    <row r="88" spans="1:3" s="63" customFormat="1" ht="18" thickBot="1" x14ac:dyDescent="0.25">
      <c r="A88" s="72" t="s">
        <v>120</v>
      </c>
      <c r="B88" s="73" t="s">
        <v>121</v>
      </c>
      <c r="C88" s="74">
        <f>[22]С2!F34</f>
        <v>0.12640000000000001</v>
      </c>
    </row>
    <row r="89" spans="1:3" ht="13.5" thickBot="1" x14ac:dyDescent="0.25">
      <c r="A89" s="47"/>
      <c r="B89" s="75"/>
      <c r="C89" s="15"/>
    </row>
    <row r="90" spans="1:3" s="63" customFormat="1" ht="30" customHeight="1" x14ac:dyDescent="0.2">
      <c r="A90" s="76" t="s">
        <v>122</v>
      </c>
      <c r="B90" s="165" t="s">
        <v>123</v>
      </c>
      <c r="C90" s="165"/>
    </row>
    <row r="91" spans="1:3" s="63" customFormat="1" ht="30" x14ac:dyDescent="0.2">
      <c r="A91" s="77" t="s">
        <v>124</v>
      </c>
      <c r="B91" s="33" t="s">
        <v>125</v>
      </c>
      <c r="C91" s="34">
        <f>[22]С3!F14</f>
        <v>4207.4782939208517</v>
      </c>
    </row>
    <row r="92" spans="1:3" s="63" customFormat="1" ht="42.75" x14ac:dyDescent="0.2">
      <c r="A92" s="77" t="s">
        <v>126</v>
      </c>
      <c r="B92" s="53" t="s">
        <v>127</v>
      </c>
      <c r="C92" s="78">
        <f>[22]С3!F15</f>
        <v>0.2</v>
      </c>
    </row>
    <row r="93" spans="1:3" s="63" customFormat="1" ht="14.25" x14ac:dyDescent="0.2">
      <c r="A93" s="77" t="s">
        <v>128</v>
      </c>
      <c r="B93" s="79" t="s">
        <v>129</v>
      </c>
      <c r="C93" s="62">
        <f>[22]С3!F18</f>
        <v>15</v>
      </c>
    </row>
    <row r="94" spans="1:3" s="63" customFormat="1" ht="17.25" x14ac:dyDescent="0.2">
      <c r="A94" s="77" t="s">
        <v>130</v>
      </c>
      <c r="B94" s="33" t="s">
        <v>131</v>
      </c>
      <c r="C94" s="34">
        <f>[22]С3!F19</f>
        <v>2638.2577020926874</v>
      </c>
    </row>
    <row r="95" spans="1:3" s="63" customFormat="1" ht="55.5" x14ac:dyDescent="0.2">
      <c r="A95" s="77" t="s">
        <v>132</v>
      </c>
      <c r="B95" s="53" t="s">
        <v>133</v>
      </c>
      <c r="C95" s="80">
        <f>[22]С3!F20</f>
        <v>2.1999999999999999E-2</v>
      </c>
    </row>
    <row r="96" spans="1:3" s="63" customFormat="1" ht="14.25" x14ac:dyDescent="0.2">
      <c r="A96" s="77" t="s">
        <v>134</v>
      </c>
      <c r="B96" s="58" t="s">
        <v>80</v>
      </c>
      <c r="C96" s="62">
        <f>[22]С3!F21</f>
        <v>10</v>
      </c>
    </row>
    <row r="97" spans="1:3" s="63" customFormat="1" ht="17.25" x14ac:dyDescent="0.2">
      <c r="A97" s="77" t="s">
        <v>135</v>
      </c>
      <c r="B97" s="33" t="s">
        <v>136</v>
      </c>
      <c r="C97" s="34">
        <f>[22]С3!F22</f>
        <v>0.99313812922960332</v>
      </c>
    </row>
    <row r="98" spans="1:3" s="63" customFormat="1" ht="55.5" x14ac:dyDescent="0.2">
      <c r="A98" s="77" t="s">
        <v>137</v>
      </c>
      <c r="B98" s="53" t="s">
        <v>138</v>
      </c>
      <c r="C98" s="80">
        <f>[22]С3!F23</f>
        <v>3.0000000000000001E-3</v>
      </c>
    </row>
    <row r="99" spans="1:3" s="63" customFormat="1" ht="30.75" thickBot="1" x14ac:dyDescent="0.25">
      <c r="A99" s="81" t="s">
        <v>139</v>
      </c>
      <c r="B99" s="82" t="s">
        <v>82</v>
      </c>
      <c r="C99" s="83">
        <f>[22]С3!F24</f>
        <v>331.04604307653443</v>
      </c>
    </row>
    <row r="100" spans="1:3" ht="13.5" thickBot="1" x14ac:dyDescent="0.25">
      <c r="A100" s="47"/>
      <c r="B100" s="75"/>
      <c r="C100" s="15"/>
    </row>
    <row r="101" spans="1:3" ht="30" customHeight="1" x14ac:dyDescent="0.2">
      <c r="A101" s="84" t="s">
        <v>141</v>
      </c>
      <c r="B101" s="165" t="s">
        <v>142</v>
      </c>
      <c r="C101" s="165"/>
    </row>
    <row r="102" spans="1:3" ht="30" x14ac:dyDescent="0.2">
      <c r="A102" s="59" t="s">
        <v>143</v>
      </c>
      <c r="B102" s="33" t="s">
        <v>251</v>
      </c>
      <c r="C102" s="34">
        <f>[22]С4!F16</f>
        <v>832.33500000000004</v>
      </c>
    </row>
    <row r="103" spans="1:3" ht="30" x14ac:dyDescent="0.2">
      <c r="A103" s="59" t="s">
        <v>145</v>
      </c>
      <c r="B103" s="58" t="s">
        <v>252</v>
      </c>
      <c r="C103" s="34">
        <f>[22]С4!F17</f>
        <v>43385</v>
      </c>
    </row>
    <row r="104" spans="1:3" ht="17.25" x14ac:dyDescent="0.2">
      <c r="A104" s="59" t="s">
        <v>147</v>
      </c>
      <c r="B104" s="58" t="s">
        <v>148</v>
      </c>
      <c r="C104" s="40">
        <f>[22]С4!F18</f>
        <v>1.4999999999999999E-2</v>
      </c>
    </row>
    <row r="105" spans="1:3" ht="30" x14ac:dyDescent="0.2">
      <c r="A105" s="59" t="s">
        <v>149</v>
      </c>
      <c r="B105" s="58" t="s">
        <v>150</v>
      </c>
      <c r="C105" s="34">
        <f>[22]С4!F19</f>
        <v>12104</v>
      </c>
    </row>
    <row r="106" spans="1:3" ht="31.5" x14ac:dyDescent="0.2">
      <c r="A106" s="59" t="s">
        <v>151</v>
      </c>
      <c r="B106" s="58" t="s">
        <v>152</v>
      </c>
      <c r="C106" s="40">
        <f>[22]С4!F20</f>
        <v>1.4999999999999999E-2</v>
      </c>
    </row>
    <row r="107" spans="1:3" ht="30" x14ac:dyDescent="0.2">
      <c r="A107" s="59" t="s">
        <v>153</v>
      </c>
      <c r="B107" s="33" t="s">
        <v>253</v>
      </c>
      <c r="C107" s="34">
        <f>[22]С4!F21</f>
        <v>1221.9019409821399</v>
      </c>
    </row>
    <row r="108" spans="1:3" ht="45.6" customHeight="1" x14ac:dyDescent="0.2">
      <c r="A108" s="59" t="s">
        <v>155</v>
      </c>
      <c r="B108" s="53" t="s">
        <v>156</v>
      </c>
      <c r="C108" s="85" t="str">
        <f>IF([22]С4.2!F8="да",[22]С4.2!D21,[22]С4.2!D15)</f>
        <v>АО "Новосибирскэнергосбыт"</v>
      </c>
    </row>
    <row r="109" spans="1:3" ht="68.25" customHeight="1" x14ac:dyDescent="0.2">
      <c r="A109" s="59" t="s">
        <v>157</v>
      </c>
      <c r="B109" s="53" t="s">
        <v>158</v>
      </c>
      <c r="C109" s="34">
        <f>[22]С4!F22</f>
        <v>3.6112641666666665</v>
      </c>
    </row>
    <row r="110" spans="1:3" ht="30" x14ac:dyDescent="0.2">
      <c r="A110" s="59" t="s">
        <v>159</v>
      </c>
      <c r="B110" s="58" t="s">
        <v>254</v>
      </c>
      <c r="C110" s="62">
        <f>[22]С4!F23</f>
        <v>110</v>
      </c>
    </row>
    <row r="111" spans="1:3" ht="14.25" x14ac:dyDescent="0.2">
      <c r="A111" s="59" t="s">
        <v>161</v>
      </c>
      <c r="B111" s="53" t="s">
        <v>162</v>
      </c>
      <c r="C111" s="34">
        <f>[22]С4!F24</f>
        <v>8497.1999999999989</v>
      </c>
    </row>
    <row r="112" spans="1:3" ht="14.25" x14ac:dyDescent="0.2">
      <c r="A112" s="59" t="s">
        <v>163</v>
      </c>
      <c r="B112" s="58" t="s">
        <v>164</v>
      </c>
      <c r="C112" s="40">
        <f>[22]С4!F25</f>
        <v>0.36199999999999999</v>
      </c>
    </row>
    <row r="113" spans="1:3" ht="17.25" x14ac:dyDescent="0.2">
      <c r="A113" s="59" t="s">
        <v>165</v>
      </c>
      <c r="B113" s="33" t="s">
        <v>166</v>
      </c>
      <c r="C113" s="34">
        <f>[22]С4!F26</f>
        <v>40.123830000000005</v>
      </c>
    </row>
    <row r="114" spans="1:3" ht="25.5" x14ac:dyDescent="0.2">
      <c r="A114" s="59" t="s">
        <v>167</v>
      </c>
      <c r="B114" s="53" t="s">
        <v>94</v>
      </c>
      <c r="C114" s="85">
        <f>[22]С4.3!E16</f>
        <v>0</v>
      </c>
    </row>
    <row r="115" spans="1:3" ht="25.5" x14ac:dyDescent="0.2">
      <c r="A115" s="59" t="s">
        <v>168</v>
      </c>
      <c r="B115" s="53" t="s">
        <v>169</v>
      </c>
      <c r="C115" s="34">
        <f>[22]С4.3!E17</f>
        <v>18.059999999999999</v>
      </c>
    </row>
    <row r="116" spans="1:3" ht="38.25" x14ac:dyDescent="0.2">
      <c r="A116" s="59" t="s">
        <v>170</v>
      </c>
      <c r="B116" s="53" t="s">
        <v>106</v>
      </c>
      <c r="C116" s="85">
        <f>[22]С4.3!E18</f>
        <v>0</v>
      </c>
    </row>
    <row r="117" spans="1:3" x14ac:dyDescent="0.2">
      <c r="A117" s="59" t="s">
        <v>171</v>
      </c>
      <c r="B117" s="53" t="s">
        <v>172</v>
      </c>
      <c r="C117" s="34">
        <f>[22]С4.3!E19</f>
        <v>71.67</v>
      </c>
    </row>
    <row r="118" spans="1:3" x14ac:dyDescent="0.2">
      <c r="A118" s="59" t="s">
        <v>173</v>
      </c>
      <c r="B118" s="58" t="s">
        <v>174</v>
      </c>
      <c r="C118" s="62">
        <f>[22]С4.3!E11</f>
        <v>1871</v>
      </c>
    </row>
    <row r="119" spans="1:3" x14ac:dyDescent="0.2">
      <c r="A119" s="59" t="s">
        <v>175</v>
      </c>
      <c r="B119" s="58" t="s">
        <v>176</v>
      </c>
      <c r="C119" s="52">
        <f>[22]С4.3!E12</f>
        <v>61</v>
      </c>
    </row>
    <row r="120" spans="1:3" x14ac:dyDescent="0.2">
      <c r="A120" s="59" t="s">
        <v>177</v>
      </c>
      <c r="B120" s="58" t="s">
        <v>178</v>
      </c>
      <c r="C120" s="52">
        <f>[22]С4.3!E13</f>
        <v>73</v>
      </c>
    </row>
    <row r="121" spans="1:3" ht="30" x14ac:dyDescent="0.2">
      <c r="A121" s="59" t="s">
        <v>179</v>
      </c>
      <c r="B121" s="33" t="s">
        <v>255</v>
      </c>
      <c r="C121" s="34">
        <f>[22]С4!F27</f>
        <v>904.62444244124072</v>
      </c>
    </row>
    <row r="122" spans="1:3" ht="25.5" x14ac:dyDescent="0.2">
      <c r="A122" s="59" t="s">
        <v>181</v>
      </c>
      <c r="B122" s="53" t="s">
        <v>256</v>
      </c>
      <c r="C122" s="34">
        <f>[22]С4!F28</f>
        <v>694.79603874135228</v>
      </c>
    </row>
    <row r="123" spans="1:3" ht="42.75" x14ac:dyDescent="0.2">
      <c r="A123" s="59" t="s">
        <v>183</v>
      </c>
      <c r="B123" s="53" t="s">
        <v>184</v>
      </c>
      <c r="C123" s="34">
        <f>[22]С4!F29</f>
        <v>209.82840369988838</v>
      </c>
    </row>
    <row r="124" spans="1:3" ht="30.75" thickBot="1" x14ac:dyDescent="0.25">
      <c r="A124" s="72" t="s">
        <v>185</v>
      </c>
      <c r="B124" s="90" t="s">
        <v>186</v>
      </c>
      <c r="C124" s="83">
        <f>[22]С4!F30</f>
        <v>475.40681839948314</v>
      </c>
    </row>
    <row r="125" spans="1:3" s="89" customFormat="1" ht="13.5" thickBot="1" x14ac:dyDescent="0.25">
      <c r="A125" s="47"/>
      <c r="B125" s="75"/>
      <c r="C125" s="15"/>
    </row>
    <row r="126" spans="1:3" s="63" customFormat="1" ht="30" customHeight="1" x14ac:dyDescent="0.2">
      <c r="A126" s="76" t="s">
        <v>195</v>
      </c>
      <c r="B126" s="165" t="s">
        <v>196</v>
      </c>
      <c r="C126" s="165"/>
    </row>
    <row r="127" spans="1:3" ht="30.6" customHeight="1" thickBot="1" x14ac:dyDescent="0.25">
      <c r="A127" s="27" t="s">
        <v>197</v>
      </c>
      <c r="B127" s="90" t="s">
        <v>198</v>
      </c>
      <c r="C127" s="83">
        <f>[22]С5!F17</f>
        <v>0.02</v>
      </c>
    </row>
    <row r="128" spans="1:3" s="89" customFormat="1" ht="13.5" thickBot="1" x14ac:dyDescent="0.25">
      <c r="A128" s="47"/>
      <c r="B128" s="75"/>
      <c r="C128" s="15"/>
    </row>
    <row r="129" spans="1:4" ht="42.75" customHeight="1" x14ac:dyDescent="0.2">
      <c r="A129" s="84" t="s">
        <v>199</v>
      </c>
      <c r="B129" s="165" t="s">
        <v>200</v>
      </c>
      <c r="C129" s="165"/>
    </row>
    <row r="130" spans="1:4" ht="68.25" x14ac:dyDescent="0.2">
      <c r="A130" s="59" t="s">
        <v>201</v>
      </c>
      <c r="B130" s="91" t="s">
        <v>202</v>
      </c>
      <c r="C130" s="34" t="str">
        <f>IF([22]С6.1!E11="нет",[22]С6!F13,"")</f>
        <v/>
      </c>
    </row>
    <row r="131" spans="1:4" ht="42.75" x14ac:dyDescent="0.2">
      <c r="A131" s="59" t="s">
        <v>204</v>
      </c>
      <c r="B131" s="86" t="s">
        <v>205</v>
      </c>
      <c r="C131" s="92" t="str">
        <f>IF([22]С6.1!E12="нет",[22]С6.1!E17,"")</f>
        <v/>
      </c>
    </row>
    <row r="132" spans="1:4" ht="68.25" x14ac:dyDescent="0.2">
      <c r="A132" s="59" t="s">
        <v>206</v>
      </c>
      <c r="B132" s="91" t="s">
        <v>207</v>
      </c>
      <c r="C132" s="127" t="str">
        <f>IF([22]С6.1!E18="нет",[22]С6!F19,"")</f>
        <v/>
      </c>
    </row>
    <row r="133" spans="1:4" ht="55.5" x14ac:dyDescent="0.2">
      <c r="A133" s="59" t="s">
        <v>208</v>
      </c>
      <c r="B133" s="86" t="s">
        <v>209</v>
      </c>
      <c r="C133" s="35" t="str">
        <f>IF([22]С6.1!E18="нет",[22]С6.1!E19,"")</f>
        <v/>
      </c>
    </row>
    <row r="134" spans="1:4" ht="61.5" customHeight="1" x14ac:dyDescent="0.2">
      <c r="A134" s="59" t="s">
        <v>210</v>
      </c>
      <c r="B134" s="86" t="s">
        <v>257</v>
      </c>
      <c r="C134" s="35" t="str">
        <f>IF([22]С6.1!E18="нет",[22]С6.1!E22,"")</f>
        <v/>
      </c>
    </row>
    <row r="135" spans="1:4" ht="69" thickBot="1" x14ac:dyDescent="0.25">
      <c r="A135" s="72" t="s">
        <v>212</v>
      </c>
      <c r="B135" s="98" t="s">
        <v>213</v>
      </c>
      <c r="C135" s="74" t="str">
        <f>IF([22]С6.1!E18="нет",[22]С6.1!E23,"")</f>
        <v/>
      </c>
    </row>
    <row r="136" spans="1:4" s="89" customFormat="1" ht="13.5" thickBot="1" x14ac:dyDescent="0.25">
      <c r="A136" s="47"/>
      <c r="B136" s="75"/>
      <c r="C136" s="15"/>
    </row>
    <row r="137" spans="1:4" ht="15.75" x14ac:dyDescent="0.2">
      <c r="A137" s="84" t="s">
        <v>214</v>
      </c>
      <c r="B137" s="99" t="s">
        <v>215</v>
      </c>
      <c r="C137" s="100">
        <f>[22]С2!F39</f>
        <v>21.531904799999996</v>
      </c>
    </row>
    <row r="138" spans="1:4" ht="14.25" x14ac:dyDescent="0.2">
      <c r="A138" s="59" t="s">
        <v>216</v>
      </c>
      <c r="B138" s="58" t="s">
        <v>217</v>
      </c>
      <c r="C138" s="34">
        <f>[22]С2!F40</f>
        <v>7</v>
      </c>
    </row>
    <row r="139" spans="1:4" ht="17.25" x14ac:dyDescent="0.2">
      <c r="A139" s="59" t="s">
        <v>218</v>
      </c>
      <c r="B139" s="58" t="s">
        <v>219</v>
      </c>
      <c r="C139" s="34">
        <f>[22]С2!F42</f>
        <v>0.97</v>
      </c>
    </row>
    <row r="140" spans="1:4" ht="15" thickBot="1" x14ac:dyDescent="0.25">
      <c r="A140" s="72" t="s">
        <v>220</v>
      </c>
      <c r="B140" s="73" t="s">
        <v>221</v>
      </c>
      <c r="C140" s="46">
        <f>[22]С2!F44</f>
        <v>0.36199999999999999</v>
      </c>
    </row>
    <row r="141" spans="1:4" s="89" customFormat="1" ht="13.5" thickBot="1" x14ac:dyDescent="0.25">
      <c r="A141" s="47"/>
      <c r="B141" s="75"/>
      <c r="C141" s="15"/>
    </row>
    <row r="142" spans="1:4" ht="17.25" x14ac:dyDescent="0.2">
      <c r="A142" s="84" t="s">
        <v>222</v>
      </c>
      <c r="B142" s="103" t="s">
        <v>258</v>
      </c>
      <c r="C142" s="128">
        <f>[22]С2!F37</f>
        <v>1.4976266307379205</v>
      </c>
      <c r="D142" s="89"/>
    </row>
    <row r="143" spans="1:4" ht="17.25" customHeight="1" thickBot="1" x14ac:dyDescent="0.25">
      <c r="A143" s="72" t="s">
        <v>224</v>
      </c>
      <c r="B143" s="161" t="s">
        <v>225</v>
      </c>
      <c r="C143" s="161"/>
      <c r="D143" s="89"/>
    </row>
    <row r="144" spans="1:4" x14ac:dyDescent="0.2">
      <c r="A144" s="105"/>
      <c r="B144" s="129" t="s">
        <v>226</v>
      </c>
      <c r="C144" s="130"/>
    </row>
    <row r="145" spans="1:3" x14ac:dyDescent="0.2">
      <c r="A145" s="105"/>
      <c r="B145" s="131">
        <v>2020</v>
      </c>
      <c r="C145" s="132">
        <f>[22]С2.5!$E$11</f>
        <v>-2.9000000000000026E-2</v>
      </c>
    </row>
    <row r="146" spans="1:3" x14ac:dyDescent="0.2">
      <c r="B146" s="131">
        <f>B145+1</f>
        <v>2021</v>
      </c>
      <c r="C146" s="133">
        <f>[22]С2.5!$F$11</f>
        <v>0.245</v>
      </c>
    </row>
    <row r="147" spans="1:3" x14ac:dyDescent="0.2">
      <c r="B147" s="131">
        <f t="shared" ref="B147:B210" si="0">B146+1</f>
        <v>2022</v>
      </c>
      <c r="C147" s="134">
        <f>[22]С2.5!$G$11</f>
        <v>0.114</v>
      </c>
    </row>
    <row r="148" spans="1:3" x14ac:dyDescent="0.2">
      <c r="B148" s="110">
        <f t="shared" si="0"/>
        <v>2023</v>
      </c>
      <c r="C148" s="135">
        <f>[22]С2.5!$H$11</f>
        <v>2.4E-2</v>
      </c>
    </row>
    <row r="149" spans="1:3" ht="13.5" thickBot="1" x14ac:dyDescent="0.25">
      <c r="B149" s="110">
        <f t="shared" si="0"/>
        <v>2024</v>
      </c>
      <c r="C149" s="135">
        <f>[22]С2.5!$I$11</f>
        <v>8.5999999999999993E-2</v>
      </c>
    </row>
    <row r="150" spans="1:3" ht="13.5" hidden="1" thickBot="1" x14ac:dyDescent="0.25">
      <c r="B150" s="110">
        <f t="shared" si="0"/>
        <v>2025</v>
      </c>
      <c r="C150" s="135">
        <f>[22]С2.5!$J$11</f>
        <v>0</v>
      </c>
    </row>
    <row r="151" spans="1:3" ht="13.5" hidden="1" thickBot="1" x14ac:dyDescent="0.25">
      <c r="B151" s="110">
        <f t="shared" si="0"/>
        <v>2026</v>
      </c>
      <c r="C151" s="135">
        <f>[22]С2.5!$K$11</f>
        <v>0</v>
      </c>
    </row>
    <row r="152" spans="1:3" ht="13.5" hidden="1" thickBot="1" x14ac:dyDescent="0.25">
      <c r="B152" s="110">
        <f t="shared" si="0"/>
        <v>2027</v>
      </c>
      <c r="C152" s="135">
        <f>[22]С2.5!$L$11</f>
        <v>0</v>
      </c>
    </row>
    <row r="153" spans="1:3" ht="13.5" hidden="1" thickBot="1" x14ac:dyDescent="0.25">
      <c r="B153" s="110">
        <f t="shared" si="0"/>
        <v>2028</v>
      </c>
      <c r="C153" s="135">
        <f>[22]С2.5!$M$11</f>
        <v>0</v>
      </c>
    </row>
    <row r="154" spans="1:3" ht="13.5" hidden="1" thickBot="1" x14ac:dyDescent="0.25">
      <c r="B154" s="110">
        <f t="shared" si="0"/>
        <v>2029</v>
      </c>
      <c r="C154" s="135">
        <f>[22]С2.5!$N$11</f>
        <v>0</v>
      </c>
    </row>
    <row r="155" spans="1:3" ht="13.5" hidden="1" thickBot="1" x14ac:dyDescent="0.25">
      <c r="B155" s="110">
        <f t="shared" si="0"/>
        <v>2030</v>
      </c>
      <c r="C155" s="135">
        <f>[22]С2.5!$O$11</f>
        <v>0</v>
      </c>
    </row>
    <row r="156" spans="1:3" ht="13.5" hidden="1" thickBot="1" x14ac:dyDescent="0.25">
      <c r="B156" s="110">
        <f t="shared" si="0"/>
        <v>2031</v>
      </c>
      <c r="C156" s="135">
        <f>[22]С2.5!$P$11</f>
        <v>0</v>
      </c>
    </row>
    <row r="157" spans="1:3" ht="13.5" hidden="1" thickBot="1" x14ac:dyDescent="0.25">
      <c r="B157" s="110">
        <f t="shared" si="0"/>
        <v>2032</v>
      </c>
      <c r="C157" s="135">
        <f>[22]С2.5!$Q$11</f>
        <v>0</v>
      </c>
    </row>
    <row r="158" spans="1:3" ht="13.5" hidden="1" thickBot="1" x14ac:dyDescent="0.25">
      <c r="B158" s="110">
        <f t="shared" si="0"/>
        <v>2033</v>
      </c>
      <c r="C158" s="135">
        <f>[22]С2.5!$R$11</f>
        <v>0</v>
      </c>
    </row>
    <row r="159" spans="1:3" ht="13.5" hidden="1" thickBot="1" x14ac:dyDescent="0.25">
      <c r="B159" s="110">
        <f t="shared" si="0"/>
        <v>2034</v>
      </c>
      <c r="C159" s="135">
        <f>[22]С2.5!$S$11</f>
        <v>0</v>
      </c>
    </row>
    <row r="160" spans="1:3" ht="13.5" hidden="1" thickBot="1" x14ac:dyDescent="0.25">
      <c r="B160" s="110">
        <f t="shared" si="0"/>
        <v>2035</v>
      </c>
      <c r="C160" s="135">
        <f>[22]С2.5!$T$11</f>
        <v>0</v>
      </c>
    </row>
    <row r="161" spans="2:3" ht="13.5" hidden="1" thickBot="1" x14ac:dyDescent="0.25">
      <c r="B161" s="110">
        <f t="shared" si="0"/>
        <v>2036</v>
      </c>
      <c r="C161" s="135">
        <f>[22]С2.5!$U$11</f>
        <v>0</v>
      </c>
    </row>
    <row r="162" spans="2:3" ht="13.5" hidden="1" thickBot="1" x14ac:dyDescent="0.25">
      <c r="B162" s="110">
        <f t="shared" si="0"/>
        <v>2037</v>
      </c>
      <c r="C162" s="135">
        <f>[22]С2.5!$V$11</f>
        <v>0</v>
      </c>
    </row>
    <row r="163" spans="2:3" ht="13.5" hidden="1" thickBot="1" x14ac:dyDescent="0.25">
      <c r="B163" s="110">
        <f t="shared" si="0"/>
        <v>2038</v>
      </c>
      <c r="C163" s="135">
        <f>[22]С2.5!$W$11</f>
        <v>0</v>
      </c>
    </row>
    <row r="164" spans="2:3" ht="13.5" hidden="1" thickBot="1" x14ac:dyDescent="0.25">
      <c r="B164" s="110">
        <f t="shared" si="0"/>
        <v>2039</v>
      </c>
      <c r="C164" s="135">
        <f>[22]С2.5!$X$11</f>
        <v>0</v>
      </c>
    </row>
    <row r="165" spans="2:3" ht="13.5" hidden="1" thickBot="1" x14ac:dyDescent="0.25">
      <c r="B165" s="110">
        <f t="shared" si="0"/>
        <v>2040</v>
      </c>
      <c r="C165" s="135">
        <f>[22]С2.5!$Y$11</f>
        <v>0</v>
      </c>
    </row>
    <row r="166" spans="2:3" ht="13.5" hidden="1" thickBot="1" x14ac:dyDescent="0.25">
      <c r="B166" s="110">
        <f t="shared" si="0"/>
        <v>2041</v>
      </c>
      <c r="C166" s="135">
        <f>[22]С2.5!$Z$11</f>
        <v>0</v>
      </c>
    </row>
    <row r="167" spans="2:3" ht="13.5" hidden="1" thickBot="1" x14ac:dyDescent="0.25">
      <c r="B167" s="110">
        <f t="shared" si="0"/>
        <v>2042</v>
      </c>
      <c r="C167" s="135">
        <f>[22]С2.5!$AA$11</f>
        <v>0</v>
      </c>
    </row>
    <row r="168" spans="2:3" ht="13.5" hidden="1" thickBot="1" x14ac:dyDescent="0.25">
      <c r="B168" s="110">
        <f t="shared" si="0"/>
        <v>2043</v>
      </c>
      <c r="C168" s="135">
        <f>[22]С2.5!$AB$11</f>
        <v>0</v>
      </c>
    </row>
    <row r="169" spans="2:3" ht="13.5" hidden="1" thickBot="1" x14ac:dyDescent="0.25">
      <c r="B169" s="110">
        <f t="shared" si="0"/>
        <v>2044</v>
      </c>
      <c r="C169" s="135">
        <f>[22]С2.5!$AC$11</f>
        <v>0</v>
      </c>
    </row>
    <row r="170" spans="2:3" ht="13.5" hidden="1" thickBot="1" x14ac:dyDescent="0.25">
      <c r="B170" s="110">
        <f t="shared" si="0"/>
        <v>2045</v>
      </c>
      <c r="C170" s="135">
        <f>[22]С2.5!$AD$11</f>
        <v>0</v>
      </c>
    </row>
    <row r="171" spans="2:3" ht="13.5" hidden="1" thickBot="1" x14ac:dyDescent="0.25">
      <c r="B171" s="110">
        <f t="shared" si="0"/>
        <v>2046</v>
      </c>
      <c r="C171" s="135">
        <f>[22]С2.5!$AE$11</f>
        <v>0</v>
      </c>
    </row>
    <row r="172" spans="2:3" ht="13.5" hidden="1" thickBot="1" x14ac:dyDescent="0.25">
      <c r="B172" s="110">
        <f t="shared" si="0"/>
        <v>2047</v>
      </c>
      <c r="C172" s="135">
        <f>[22]С2.5!$AF$11</f>
        <v>0</v>
      </c>
    </row>
    <row r="173" spans="2:3" ht="13.5" hidden="1" thickBot="1" x14ac:dyDescent="0.25">
      <c r="B173" s="110">
        <f t="shared" si="0"/>
        <v>2048</v>
      </c>
      <c r="C173" s="135">
        <f>[22]С2.5!$AG$11</f>
        <v>0</v>
      </c>
    </row>
    <row r="174" spans="2:3" ht="13.5" hidden="1" thickBot="1" x14ac:dyDescent="0.25">
      <c r="B174" s="110">
        <f t="shared" si="0"/>
        <v>2049</v>
      </c>
      <c r="C174" s="135">
        <f>[22]С2.5!$AH$11</f>
        <v>0</v>
      </c>
    </row>
    <row r="175" spans="2:3" ht="13.5" hidden="1" thickBot="1" x14ac:dyDescent="0.25">
      <c r="B175" s="110">
        <f t="shared" si="0"/>
        <v>2050</v>
      </c>
      <c r="C175" s="135">
        <f>[22]С2.5!$AI$11</f>
        <v>0</v>
      </c>
    </row>
    <row r="176" spans="2:3" ht="13.5" hidden="1" thickBot="1" x14ac:dyDescent="0.25">
      <c r="B176" s="110">
        <f t="shared" si="0"/>
        <v>2051</v>
      </c>
      <c r="C176" s="135">
        <f>[22]С2.5!$AJ$11</f>
        <v>0</v>
      </c>
    </row>
    <row r="177" spans="2:3" ht="13.5" hidden="1" thickBot="1" x14ac:dyDescent="0.25">
      <c r="B177" s="110">
        <f t="shared" si="0"/>
        <v>2052</v>
      </c>
      <c r="C177" s="135">
        <f>[22]С2.5!$AK$11</f>
        <v>0</v>
      </c>
    </row>
    <row r="178" spans="2:3" ht="13.5" hidden="1" thickBot="1" x14ac:dyDescent="0.25">
      <c r="B178" s="110">
        <f t="shared" si="0"/>
        <v>2053</v>
      </c>
      <c r="C178" s="135">
        <f>[22]С2.5!$AL$11</f>
        <v>0</v>
      </c>
    </row>
    <row r="179" spans="2:3" ht="13.5" hidden="1" thickBot="1" x14ac:dyDescent="0.25">
      <c r="B179" s="110">
        <f t="shared" si="0"/>
        <v>2054</v>
      </c>
      <c r="C179" s="135">
        <f>[22]С2.5!$AM$11</f>
        <v>0</v>
      </c>
    </row>
    <row r="180" spans="2:3" ht="13.5" hidden="1" thickBot="1" x14ac:dyDescent="0.25">
      <c r="B180" s="110">
        <f t="shared" si="0"/>
        <v>2055</v>
      </c>
      <c r="C180" s="135">
        <f>[22]С2.5!$AN$11</f>
        <v>0</v>
      </c>
    </row>
    <row r="181" spans="2:3" ht="13.5" hidden="1" thickBot="1" x14ac:dyDescent="0.25">
      <c r="B181" s="110">
        <f t="shared" si="0"/>
        <v>2056</v>
      </c>
      <c r="C181" s="135">
        <f>[22]С2.5!$AO$11</f>
        <v>0</v>
      </c>
    </row>
    <row r="182" spans="2:3" ht="13.5" hidden="1" thickBot="1" x14ac:dyDescent="0.25">
      <c r="B182" s="110">
        <f t="shared" si="0"/>
        <v>2057</v>
      </c>
      <c r="C182" s="135">
        <f>[22]С2.5!$AP$11</f>
        <v>0</v>
      </c>
    </row>
    <row r="183" spans="2:3" ht="13.5" hidden="1" thickBot="1" x14ac:dyDescent="0.25">
      <c r="B183" s="110">
        <f t="shared" si="0"/>
        <v>2058</v>
      </c>
      <c r="C183" s="135">
        <f>[22]С2.5!$AQ$11</f>
        <v>0</v>
      </c>
    </row>
    <row r="184" spans="2:3" ht="13.5" hidden="1" thickBot="1" x14ac:dyDescent="0.25">
      <c r="B184" s="110">
        <f t="shared" si="0"/>
        <v>2059</v>
      </c>
      <c r="C184" s="135">
        <f>[22]С2.5!$AR$11</f>
        <v>0</v>
      </c>
    </row>
    <row r="185" spans="2:3" ht="13.5" hidden="1" thickBot="1" x14ac:dyDescent="0.25">
      <c r="B185" s="110">
        <f t="shared" si="0"/>
        <v>2060</v>
      </c>
      <c r="C185" s="135">
        <f>[22]С2.5!$AS$11</f>
        <v>0</v>
      </c>
    </row>
    <row r="186" spans="2:3" ht="13.5" hidden="1" thickBot="1" x14ac:dyDescent="0.25">
      <c r="B186" s="110">
        <f t="shared" si="0"/>
        <v>2061</v>
      </c>
      <c r="C186" s="135">
        <f>[22]С2.5!$AT$11</f>
        <v>0</v>
      </c>
    </row>
    <row r="187" spans="2:3" ht="13.5" hidden="1" thickBot="1" x14ac:dyDescent="0.25">
      <c r="B187" s="110">
        <f t="shared" si="0"/>
        <v>2062</v>
      </c>
      <c r="C187" s="135">
        <f>[22]С2.5!$AU$11</f>
        <v>0</v>
      </c>
    </row>
    <row r="188" spans="2:3" ht="13.5" hidden="1" thickBot="1" x14ac:dyDescent="0.25">
      <c r="B188" s="110">
        <f t="shared" si="0"/>
        <v>2063</v>
      </c>
      <c r="C188" s="135">
        <f>[22]С2.5!$AV$11</f>
        <v>0</v>
      </c>
    </row>
    <row r="189" spans="2:3" ht="13.5" hidden="1" thickBot="1" x14ac:dyDescent="0.25">
      <c r="B189" s="110">
        <f t="shared" si="0"/>
        <v>2064</v>
      </c>
      <c r="C189" s="135">
        <f>[22]С2.5!$AW$11</f>
        <v>0</v>
      </c>
    </row>
    <row r="190" spans="2:3" ht="13.5" hidden="1" thickBot="1" x14ac:dyDescent="0.25">
      <c r="B190" s="110">
        <f t="shared" si="0"/>
        <v>2065</v>
      </c>
      <c r="C190" s="135">
        <f>[22]С2.5!$AX$11</f>
        <v>0</v>
      </c>
    </row>
    <row r="191" spans="2:3" ht="13.5" hidden="1" thickBot="1" x14ac:dyDescent="0.25">
      <c r="B191" s="110">
        <f t="shared" si="0"/>
        <v>2066</v>
      </c>
      <c r="C191" s="135">
        <f>[22]С2.5!$AY$11</f>
        <v>0</v>
      </c>
    </row>
    <row r="192" spans="2:3" ht="13.5" hidden="1" thickBot="1" x14ac:dyDescent="0.25">
      <c r="B192" s="110">
        <f t="shared" si="0"/>
        <v>2067</v>
      </c>
      <c r="C192" s="135">
        <f>[22]С2.5!$AZ$11</f>
        <v>0</v>
      </c>
    </row>
    <row r="193" spans="2:3" ht="13.5" hidden="1" thickBot="1" x14ac:dyDescent="0.25">
      <c r="B193" s="110">
        <f t="shared" si="0"/>
        <v>2068</v>
      </c>
      <c r="C193" s="135">
        <f>[22]С2.5!$BA$11</f>
        <v>0</v>
      </c>
    </row>
    <row r="194" spans="2:3" ht="13.5" hidden="1" thickBot="1" x14ac:dyDescent="0.25">
      <c r="B194" s="110">
        <f t="shared" si="0"/>
        <v>2069</v>
      </c>
      <c r="C194" s="135">
        <f>[22]С2.5!$BB$11</f>
        <v>0</v>
      </c>
    </row>
    <row r="195" spans="2:3" ht="13.5" hidden="1" thickBot="1" x14ac:dyDescent="0.25">
      <c r="B195" s="110">
        <f t="shared" si="0"/>
        <v>2070</v>
      </c>
      <c r="C195" s="135">
        <f>[22]С2.5!$BC$11</f>
        <v>0</v>
      </c>
    </row>
    <row r="196" spans="2:3" ht="13.5" hidden="1" thickBot="1" x14ac:dyDescent="0.25">
      <c r="B196" s="110">
        <f t="shared" si="0"/>
        <v>2071</v>
      </c>
      <c r="C196" s="135">
        <f>[22]С2.5!$BD$11</f>
        <v>0</v>
      </c>
    </row>
    <row r="197" spans="2:3" ht="13.5" hidden="1" thickBot="1" x14ac:dyDescent="0.25">
      <c r="B197" s="110">
        <f t="shared" si="0"/>
        <v>2072</v>
      </c>
      <c r="C197" s="135">
        <f>[22]С2.5!$BE$11</f>
        <v>0</v>
      </c>
    </row>
    <row r="198" spans="2:3" ht="13.5" hidden="1" thickBot="1" x14ac:dyDescent="0.25">
      <c r="B198" s="110">
        <f t="shared" si="0"/>
        <v>2073</v>
      </c>
      <c r="C198" s="135">
        <f>[22]С2.5!$BF$11</f>
        <v>0</v>
      </c>
    </row>
    <row r="199" spans="2:3" ht="13.5" hidden="1" thickBot="1" x14ac:dyDescent="0.25">
      <c r="B199" s="110">
        <f t="shared" si="0"/>
        <v>2074</v>
      </c>
      <c r="C199" s="135">
        <f>[22]С2.5!$BG$11</f>
        <v>0</v>
      </c>
    </row>
    <row r="200" spans="2:3" ht="13.5" hidden="1" thickBot="1" x14ac:dyDescent="0.25">
      <c r="B200" s="110">
        <f t="shared" si="0"/>
        <v>2075</v>
      </c>
      <c r="C200" s="135">
        <f>[22]С2.5!$BH$11</f>
        <v>0</v>
      </c>
    </row>
    <row r="201" spans="2:3" ht="13.5" hidden="1" thickBot="1" x14ac:dyDescent="0.25">
      <c r="B201" s="110">
        <f t="shared" si="0"/>
        <v>2076</v>
      </c>
      <c r="C201" s="135">
        <f>[22]С2.5!$BI$11</f>
        <v>0</v>
      </c>
    </row>
    <row r="202" spans="2:3" ht="13.5" hidden="1" thickBot="1" x14ac:dyDescent="0.25">
      <c r="B202" s="110">
        <f t="shared" si="0"/>
        <v>2077</v>
      </c>
      <c r="C202" s="135">
        <f>[22]С2.5!$BJ$11</f>
        <v>0</v>
      </c>
    </row>
    <row r="203" spans="2:3" ht="13.5" hidden="1" thickBot="1" x14ac:dyDescent="0.25">
      <c r="B203" s="110">
        <f t="shared" si="0"/>
        <v>2078</v>
      </c>
      <c r="C203" s="135">
        <f>[22]С2.5!$BK$11</f>
        <v>0</v>
      </c>
    </row>
    <row r="204" spans="2:3" ht="13.5" hidden="1" thickBot="1" x14ac:dyDescent="0.25">
      <c r="B204" s="110">
        <f t="shared" si="0"/>
        <v>2079</v>
      </c>
      <c r="C204" s="135">
        <f>[22]С2.5!$BL$11</f>
        <v>0</v>
      </c>
    </row>
    <row r="205" spans="2:3" ht="13.5" hidden="1" thickBot="1" x14ac:dyDescent="0.25">
      <c r="B205" s="110">
        <f t="shared" si="0"/>
        <v>2080</v>
      </c>
      <c r="C205" s="135">
        <f>[22]С2.5!$BM$11</f>
        <v>0</v>
      </c>
    </row>
    <row r="206" spans="2:3" ht="13.5" hidden="1" thickBot="1" x14ac:dyDescent="0.25">
      <c r="B206" s="110">
        <f t="shared" si="0"/>
        <v>2081</v>
      </c>
      <c r="C206" s="135">
        <f>[22]С2.5!$BN$11</f>
        <v>0</v>
      </c>
    </row>
    <row r="207" spans="2:3" ht="13.5" hidden="1" thickBot="1" x14ac:dyDescent="0.25">
      <c r="B207" s="110">
        <f t="shared" si="0"/>
        <v>2082</v>
      </c>
      <c r="C207" s="135">
        <f>[22]С2.5!$BO$11</f>
        <v>0</v>
      </c>
    </row>
    <row r="208" spans="2:3" ht="13.5" hidden="1" thickBot="1" x14ac:dyDescent="0.25">
      <c r="B208" s="110">
        <f t="shared" si="0"/>
        <v>2083</v>
      </c>
      <c r="C208" s="135">
        <f>[22]С2.5!$BP$11</f>
        <v>0</v>
      </c>
    </row>
    <row r="209" spans="2:3" ht="13.5" hidden="1" thickBot="1" x14ac:dyDescent="0.25">
      <c r="B209" s="110">
        <f t="shared" si="0"/>
        <v>2084</v>
      </c>
      <c r="C209" s="135">
        <f>[22]С2.5!$BQ$11</f>
        <v>0</v>
      </c>
    </row>
    <row r="210" spans="2:3" ht="13.5" hidden="1" thickBot="1" x14ac:dyDescent="0.25">
      <c r="B210" s="110">
        <f t="shared" si="0"/>
        <v>2085</v>
      </c>
      <c r="C210" s="135">
        <f>[22]С2.5!$BR$11</f>
        <v>0</v>
      </c>
    </row>
    <row r="211" spans="2:3" ht="13.5" hidden="1" thickBot="1" x14ac:dyDescent="0.25">
      <c r="B211" s="110">
        <f t="shared" ref="B211:B224" si="1">B210+1</f>
        <v>2086</v>
      </c>
      <c r="C211" s="135">
        <f>[22]С2.5!$BS$11</f>
        <v>0</v>
      </c>
    </row>
    <row r="212" spans="2:3" ht="13.5" hidden="1" thickBot="1" x14ac:dyDescent="0.25">
      <c r="B212" s="110">
        <f t="shared" si="1"/>
        <v>2087</v>
      </c>
      <c r="C212" s="135">
        <f>[22]С2.5!$BT$11</f>
        <v>0</v>
      </c>
    </row>
    <row r="213" spans="2:3" ht="13.5" hidden="1" thickBot="1" x14ac:dyDescent="0.25">
      <c r="B213" s="110">
        <f t="shared" si="1"/>
        <v>2088</v>
      </c>
      <c r="C213" s="135">
        <f>[22]С2.5!$BU$11</f>
        <v>0</v>
      </c>
    </row>
    <row r="214" spans="2:3" ht="13.5" hidden="1" thickBot="1" x14ac:dyDescent="0.25">
      <c r="B214" s="110">
        <f t="shared" si="1"/>
        <v>2089</v>
      </c>
      <c r="C214" s="135">
        <f>[22]С2.5!$BV$11</f>
        <v>0</v>
      </c>
    </row>
    <row r="215" spans="2:3" ht="13.5" hidden="1" thickBot="1" x14ac:dyDescent="0.25">
      <c r="B215" s="110">
        <f t="shared" si="1"/>
        <v>2090</v>
      </c>
      <c r="C215" s="135">
        <f>[22]С2.5!$BW$11</f>
        <v>0</v>
      </c>
    </row>
    <row r="216" spans="2:3" ht="13.5" hidden="1" thickBot="1" x14ac:dyDescent="0.25">
      <c r="B216" s="110">
        <f t="shared" si="1"/>
        <v>2091</v>
      </c>
      <c r="C216" s="135">
        <f>[22]С2.5!$BX$11</f>
        <v>0</v>
      </c>
    </row>
    <row r="217" spans="2:3" ht="13.5" hidden="1" thickBot="1" x14ac:dyDescent="0.25">
      <c r="B217" s="110">
        <f t="shared" si="1"/>
        <v>2092</v>
      </c>
      <c r="C217" s="135">
        <f>[22]С2.5!$BY$11</f>
        <v>0</v>
      </c>
    </row>
    <row r="218" spans="2:3" ht="13.5" hidden="1" thickBot="1" x14ac:dyDescent="0.25">
      <c r="B218" s="110">
        <f t="shared" si="1"/>
        <v>2093</v>
      </c>
      <c r="C218" s="135">
        <f>[22]С2.5!$BZ$11</f>
        <v>0</v>
      </c>
    </row>
    <row r="219" spans="2:3" ht="13.5" hidden="1" thickBot="1" x14ac:dyDescent="0.25">
      <c r="B219" s="110">
        <f t="shared" si="1"/>
        <v>2094</v>
      </c>
      <c r="C219" s="135">
        <f>[22]С2.5!$CA$11</f>
        <v>0</v>
      </c>
    </row>
    <row r="220" spans="2:3" ht="13.5" hidden="1" thickBot="1" x14ac:dyDescent="0.25">
      <c r="B220" s="110">
        <f t="shared" si="1"/>
        <v>2095</v>
      </c>
      <c r="C220" s="135">
        <f>[22]С2.5!$CB$11</f>
        <v>0</v>
      </c>
    </row>
    <row r="221" spans="2:3" ht="13.5" hidden="1" thickBot="1" x14ac:dyDescent="0.25">
      <c r="B221" s="110">
        <f t="shared" si="1"/>
        <v>2096</v>
      </c>
      <c r="C221" s="135">
        <f>[22]С2.5!$CC$11</f>
        <v>0</v>
      </c>
    </row>
    <row r="222" spans="2:3" ht="13.5" hidden="1" thickBot="1" x14ac:dyDescent="0.25">
      <c r="B222" s="110">
        <f t="shared" si="1"/>
        <v>2097</v>
      </c>
      <c r="C222" s="135">
        <f>[22]С2.5!$CD$11</f>
        <v>0</v>
      </c>
    </row>
    <row r="223" spans="2:3" ht="13.5" hidden="1" thickBot="1" x14ac:dyDescent="0.25">
      <c r="B223" s="110">
        <f t="shared" si="1"/>
        <v>2098</v>
      </c>
      <c r="C223" s="135">
        <f>[22]С2.5!$CE$11</f>
        <v>0</v>
      </c>
    </row>
    <row r="224" spans="2:3" ht="13.5" hidden="1" thickBot="1" x14ac:dyDescent="0.25">
      <c r="B224" s="110">
        <f t="shared" si="1"/>
        <v>2099</v>
      </c>
      <c r="C224" s="135">
        <f>[22]С2.5!$CF$11</f>
        <v>0</v>
      </c>
    </row>
    <row r="225" spans="2:3" ht="13.5" hidden="1" thickBot="1" x14ac:dyDescent="0.25">
      <c r="B225" s="112">
        <f>B162+1</f>
        <v>2038</v>
      </c>
      <c r="C225" s="136" t="e">
        <f>[22]С2.5!#REF!</f>
        <v>#REF!</v>
      </c>
    </row>
    <row r="226" spans="2:3" x14ac:dyDescent="0.2">
      <c r="B226" s="137"/>
      <c r="C226" s="138"/>
    </row>
  </sheetData>
  <mergeCells count="9">
    <mergeCell ref="B143:C143"/>
    <mergeCell ref="A14:C14"/>
    <mergeCell ref="B1:C1"/>
    <mergeCell ref="B27:C27"/>
    <mergeCell ref="B45:C45"/>
    <mergeCell ref="B90:C90"/>
    <mergeCell ref="B101:C101"/>
    <mergeCell ref="B126:C126"/>
    <mergeCell ref="B129:C129"/>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9457" r:id="rId3" name="Button 1">
              <controlPr defaultSize="0" print="0" autoFill="0" autoPict="0" macro="[8]!Лист29.PrintBlock">
                <anchor moveWithCells="1" sizeWithCells="1">
                  <from>
                    <xdr:col>3</xdr:col>
                    <xdr:colOff>0</xdr:colOff>
                    <xdr:row>0</xdr:row>
                    <xdr:rowOff>104775</xdr:rowOff>
                  </from>
                  <to>
                    <xdr:col>4</xdr:col>
                    <xdr:colOff>0</xdr:colOff>
                    <xdr:row>0</xdr:row>
                    <xdr:rowOff>352425</xdr:rowOff>
                  </to>
                </anchor>
              </controlPr>
            </control>
          </mc:Choice>
        </mc:AlternateContent>
        <mc:AlternateContent xmlns:mc="http://schemas.openxmlformats.org/markup-compatibility/2006">
          <mc:Choice Requires="x14">
            <control shapeId="19458" r:id="rId4" name="Button 2">
              <controlPr defaultSize="0" print="0" autoFill="0" autoPict="0" macro="[22]!Лист29.PrintBlock">
                <anchor moveWithCells="1" sizeWithCells="1">
                  <from>
                    <xdr:col>3</xdr:col>
                    <xdr:colOff>47625</xdr:colOff>
                    <xdr:row>0</xdr:row>
                    <xdr:rowOff>104775</xdr:rowOff>
                  </from>
                  <to>
                    <xdr:col>4</xdr:col>
                    <xdr:colOff>1095375</xdr:colOff>
                    <xdr:row>0</xdr:row>
                    <xdr:rowOff>352425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26"/>
  <sheetViews>
    <sheetView tabSelected="1" zoomScaleNormal="100"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28.5703125" style="141" customWidth="1"/>
    <col min="5" max="5" width="5.140625" style="2" customWidth="1"/>
    <col min="6" max="6" width="17.5703125" style="2" customWidth="1"/>
    <col min="7" max="250" width="9.140625" style="2"/>
    <col min="251" max="251" width="3.5703125" style="2" customWidth="1"/>
    <col min="252" max="252" width="96.85546875" style="2" customWidth="1"/>
    <col min="253" max="253" width="30.85546875" style="2" customWidth="1"/>
    <col min="254" max="254" width="12.5703125" style="2" customWidth="1"/>
    <col min="255" max="255" width="5.140625" style="2" customWidth="1"/>
    <col min="256" max="256" width="9.140625" style="2"/>
    <col min="257" max="257" width="4.85546875" style="2" customWidth="1"/>
    <col min="258" max="258" width="30.5703125" style="2" customWidth="1"/>
    <col min="259" max="259" width="33.85546875" style="2" customWidth="1"/>
    <col min="260" max="260" width="5.140625" style="2" customWidth="1"/>
    <col min="261" max="262" width="17.5703125" style="2" customWidth="1"/>
    <col min="263" max="506" width="9.140625" style="2"/>
    <col min="507" max="507" width="3.5703125" style="2" customWidth="1"/>
    <col min="508" max="508" width="96.85546875" style="2" customWidth="1"/>
    <col min="509" max="509" width="30.85546875" style="2" customWidth="1"/>
    <col min="510" max="510" width="12.5703125" style="2" customWidth="1"/>
    <col min="511" max="511" width="5.140625" style="2" customWidth="1"/>
    <col min="512" max="512" width="9.140625" style="2"/>
    <col min="513" max="513" width="4.85546875" style="2" customWidth="1"/>
    <col min="514" max="514" width="30.5703125" style="2" customWidth="1"/>
    <col min="515" max="515" width="33.85546875" style="2" customWidth="1"/>
    <col min="516" max="516" width="5.140625" style="2" customWidth="1"/>
    <col min="517" max="518" width="17.5703125" style="2" customWidth="1"/>
    <col min="519" max="762" width="9.140625" style="2"/>
    <col min="763" max="763" width="3.5703125" style="2" customWidth="1"/>
    <col min="764" max="764" width="96.85546875" style="2" customWidth="1"/>
    <col min="765" max="765" width="30.85546875" style="2" customWidth="1"/>
    <col min="766" max="766" width="12.5703125" style="2" customWidth="1"/>
    <col min="767" max="767" width="5.140625" style="2" customWidth="1"/>
    <col min="768" max="768" width="9.140625" style="2"/>
    <col min="769" max="769" width="4.85546875" style="2" customWidth="1"/>
    <col min="770" max="770" width="30.5703125" style="2" customWidth="1"/>
    <col min="771" max="771" width="33.85546875" style="2" customWidth="1"/>
    <col min="772" max="772" width="5.140625" style="2" customWidth="1"/>
    <col min="773" max="774" width="17.5703125" style="2" customWidth="1"/>
    <col min="775" max="1018" width="9.140625" style="2"/>
    <col min="1019" max="1019" width="3.5703125" style="2" customWidth="1"/>
    <col min="1020" max="1020" width="96.85546875" style="2" customWidth="1"/>
    <col min="1021" max="1021" width="30.85546875" style="2" customWidth="1"/>
    <col min="1022" max="1022" width="12.5703125" style="2" customWidth="1"/>
    <col min="1023" max="1023" width="5.140625" style="2" customWidth="1"/>
    <col min="1024" max="1024" width="9.140625" style="2"/>
    <col min="1025" max="1025" width="4.85546875" style="2" customWidth="1"/>
    <col min="1026" max="1026" width="30.5703125" style="2" customWidth="1"/>
    <col min="1027" max="1027" width="33.85546875" style="2" customWidth="1"/>
    <col min="1028" max="1028" width="5.140625" style="2" customWidth="1"/>
    <col min="1029" max="1030" width="17.5703125" style="2" customWidth="1"/>
    <col min="1031" max="1274" width="9.140625" style="2"/>
    <col min="1275" max="1275" width="3.5703125" style="2" customWidth="1"/>
    <col min="1276" max="1276" width="96.85546875" style="2" customWidth="1"/>
    <col min="1277" max="1277" width="30.85546875" style="2" customWidth="1"/>
    <col min="1278" max="1278" width="12.5703125" style="2" customWidth="1"/>
    <col min="1279" max="1279" width="5.140625" style="2" customWidth="1"/>
    <col min="1280" max="1280" width="9.140625" style="2"/>
    <col min="1281" max="1281" width="4.85546875" style="2" customWidth="1"/>
    <col min="1282" max="1282" width="30.5703125" style="2" customWidth="1"/>
    <col min="1283" max="1283" width="33.85546875" style="2" customWidth="1"/>
    <col min="1284" max="1284" width="5.140625" style="2" customWidth="1"/>
    <col min="1285" max="1286" width="17.5703125" style="2" customWidth="1"/>
    <col min="1287" max="1530" width="9.140625" style="2"/>
    <col min="1531" max="1531" width="3.5703125" style="2" customWidth="1"/>
    <col min="1532" max="1532" width="96.85546875" style="2" customWidth="1"/>
    <col min="1533" max="1533" width="30.85546875" style="2" customWidth="1"/>
    <col min="1534" max="1534" width="12.5703125" style="2" customWidth="1"/>
    <col min="1535" max="1535" width="5.140625" style="2" customWidth="1"/>
    <col min="1536" max="1536" width="9.140625" style="2"/>
    <col min="1537" max="1537" width="4.85546875" style="2" customWidth="1"/>
    <col min="1538" max="1538" width="30.5703125" style="2" customWidth="1"/>
    <col min="1539" max="1539" width="33.85546875" style="2" customWidth="1"/>
    <col min="1540" max="1540" width="5.140625" style="2" customWidth="1"/>
    <col min="1541" max="1542" width="17.5703125" style="2" customWidth="1"/>
    <col min="1543" max="1786" width="9.140625" style="2"/>
    <col min="1787" max="1787" width="3.5703125" style="2" customWidth="1"/>
    <col min="1788" max="1788" width="96.85546875" style="2" customWidth="1"/>
    <col min="1789" max="1789" width="30.85546875" style="2" customWidth="1"/>
    <col min="1790" max="1790" width="12.5703125" style="2" customWidth="1"/>
    <col min="1791" max="1791" width="5.140625" style="2" customWidth="1"/>
    <col min="1792" max="1792" width="9.140625" style="2"/>
    <col min="1793" max="1793" width="4.85546875" style="2" customWidth="1"/>
    <col min="1794" max="1794" width="30.5703125" style="2" customWidth="1"/>
    <col min="1795" max="1795" width="33.85546875" style="2" customWidth="1"/>
    <col min="1796" max="1796" width="5.140625" style="2" customWidth="1"/>
    <col min="1797" max="1798" width="17.5703125" style="2" customWidth="1"/>
    <col min="1799" max="2042" width="9.140625" style="2"/>
    <col min="2043" max="2043" width="3.5703125" style="2" customWidth="1"/>
    <col min="2044" max="2044" width="96.85546875" style="2" customWidth="1"/>
    <col min="2045" max="2045" width="30.85546875" style="2" customWidth="1"/>
    <col min="2046" max="2046" width="12.5703125" style="2" customWidth="1"/>
    <col min="2047" max="2047" width="5.140625" style="2" customWidth="1"/>
    <col min="2048" max="2048" width="9.140625" style="2"/>
    <col min="2049" max="2049" width="4.85546875" style="2" customWidth="1"/>
    <col min="2050" max="2050" width="30.5703125" style="2" customWidth="1"/>
    <col min="2051" max="2051" width="33.85546875" style="2" customWidth="1"/>
    <col min="2052" max="2052" width="5.140625" style="2" customWidth="1"/>
    <col min="2053" max="2054" width="17.5703125" style="2" customWidth="1"/>
    <col min="2055" max="2298" width="9.140625" style="2"/>
    <col min="2299" max="2299" width="3.5703125" style="2" customWidth="1"/>
    <col min="2300" max="2300" width="96.85546875" style="2" customWidth="1"/>
    <col min="2301" max="2301" width="30.85546875" style="2" customWidth="1"/>
    <col min="2302" max="2302" width="12.5703125" style="2" customWidth="1"/>
    <col min="2303" max="2303" width="5.140625" style="2" customWidth="1"/>
    <col min="2304" max="2304" width="9.140625" style="2"/>
    <col min="2305" max="2305" width="4.85546875" style="2" customWidth="1"/>
    <col min="2306" max="2306" width="30.5703125" style="2" customWidth="1"/>
    <col min="2307" max="2307" width="33.85546875" style="2" customWidth="1"/>
    <col min="2308" max="2308" width="5.140625" style="2" customWidth="1"/>
    <col min="2309" max="2310" width="17.5703125" style="2" customWidth="1"/>
    <col min="2311" max="2554" width="9.140625" style="2"/>
    <col min="2555" max="2555" width="3.5703125" style="2" customWidth="1"/>
    <col min="2556" max="2556" width="96.85546875" style="2" customWidth="1"/>
    <col min="2557" max="2557" width="30.85546875" style="2" customWidth="1"/>
    <col min="2558" max="2558" width="12.5703125" style="2" customWidth="1"/>
    <col min="2559" max="2559" width="5.140625" style="2" customWidth="1"/>
    <col min="2560" max="2560" width="9.140625" style="2"/>
    <col min="2561" max="2561" width="4.85546875" style="2" customWidth="1"/>
    <col min="2562" max="2562" width="30.5703125" style="2" customWidth="1"/>
    <col min="2563" max="2563" width="33.85546875" style="2" customWidth="1"/>
    <col min="2564" max="2564" width="5.140625" style="2" customWidth="1"/>
    <col min="2565" max="2566" width="17.5703125" style="2" customWidth="1"/>
    <col min="2567" max="2810" width="9.140625" style="2"/>
    <col min="2811" max="2811" width="3.5703125" style="2" customWidth="1"/>
    <col min="2812" max="2812" width="96.85546875" style="2" customWidth="1"/>
    <col min="2813" max="2813" width="30.85546875" style="2" customWidth="1"/>
    <col min="2814" max="2814" width="12.5703125" style="2" customWidth="1"/>
    <col min="2815" max="2815" width="5.140625" style="2" customWidth="1"/>
    <col min="2816" max="2816" width="9.140625" style="2"/>
    <col min="2817" max="2817" width="4.85546875" style="2" customWidth="1"/>
    <col min="2818" max="2818" width="30.5703125" style="2" customWidth="1"/>
    <col min="2819" max="2819" width="33.85546875" style="2" customWidth="1"/>
    <col min="2820" max="2820" width="5.140625" style="2" customWidth="1"/>
    <col min="2821" max="2822" width="17.5703125" style="2" customWidth="1"/>
    <col min="2823" max="3066" width="9.140625" style="2"/>
    <col min="3067" max="3067" width="3.5703125" style="2" customWidth="1"/>
    <col min="3068" max="3068" width="96.85546875" style="2" customWidth="1"/>
    <col min="3069" max="3069" width="30.85546875" style="2" customWidth="1"/>
    <col min="3070" max="3070" width="12.5703125" style="2" customWidth="1"/>
    <col min="3071" max="3071" width="5.140625" style="2" customWidth="1"/>
    <col min="3072" max="3072" width="9.140625" style="2"/>
    <col min="3073" max="3073" width="4.85546875" style="2" customWidth="1"/>
    <col min="3074" max="3074" width="30.5703125" style="2" customWidth="1"/>
    <col min="3075" max="3075" width="33.85546875" style="2" customWidth="1"/>
    <col min="3076" max="3076" width="5.140625" style="2" customWidth="1"/>
    <col min="3077" max="3078" width="17.5703125" style="2" customWidth="1"/>
    <col min="3079" max="3322" width="9.140625" style="2"/>
    <col min="3323" max="3323" width="3.5703125" style="2" customWidth="1"/>
    <col min="3324" max="3324" width="96.85546875" style="2" customWidth="1"/>
    <col min="3325" max="3325" width="30.85546875" style="2" customWidth="1"/>
    <col min="3326" max="3326" width="12.5703125" style="2" customWidth="1"/>
    <col min="3327" max="3327" width="5.140625" style="2" customWidth="1"/>
    <col min="3328" max="3328" width="9.140625" style="2"/>
    <col min="3329" max="3329" width="4.85546875" style="2" customWidth="1"/>
    <col min="3330" max="3330" width="30.5703125" style="2" customWidth="1"/>
    <col min="3331" max="3331" width="33.85546875" style="2" customWidth="1"/>
    <col min="3332" max="3332" width="5.140625" style="2" customWidth="1"/>
    <col min="3333" max="3334" width="17.5703125" style="2" customWidth="1"/>
    <col min="3335" max="3578" width="9.140625" style="2"/>
    <col min="3579" max="3579" width="3.5703125" style="2" customWidth="1"/>
    <col min="3580" max="3580" width="96.85546875" style="2" customWidth="1"/>
    <col min="3581" max="3581" width="30.85546875" style="2" customWidth="1"/>
    <col min="3582" max="3582" width="12.5703125" style="2" customWidth="1"/>
    <col min="3583" max="3583" width="5.140625" style="2" customWidth="1"/>
    <col min="3584" max="3584" width="9.140625" style="2"/>
    <col min="3585" max="3585" width="4.85546875" style="2" customWidth="1"/>
    <col min="3586" max="3586" width="30.5703125" style="2" customWidth="1"/>
    <col min="3587" max="3587" width="33.85546875" style="2" customWidth="1"/>
    <col min="3588" max="3588" width="5.140625" style="2" customWidth="1"/>
    <col min="3589" max="3590" width="17.5703125" style="2" customWidth="1"/>
    <col min="3591" max="3834" width="9.140625" style="2"/>
    <col min="3835" max="3835" width="3.5703125" style="2" customWidth="1"/>
    <col min="3836" max="3836" width="96.85546875" style="2" customWidth="1"/>
    <col min="3837" max="3837" width="30.85546875" style="2" customWidth="1"/>
    <col min="3838" max="3838" width="12.5703125" style="2" customWidth="1"/>
    <col min="3839" max="3839" width="5.140625" style="2" customWidth="1"/>
    <col min="3840" max="3840" width="9.140625" style="2"/>
    <col min="3841" max="3841" width="4.85546875" style="2" customWidth="1"/>
    <col min="3842" max="3842" width="30.5703125" style="2" customWidth="1"/>
    <col min="3843" max="3843" width="33.85546875" style="2" customWidth="1"/>
    <col min="3844" max="3844" width="5.140625" style="2" customWidth="1"/>
    <col min="3845" max="3846" width="17.5703125" style="2" customWidth="1"/>
    <col min="3847" max="4090" width="9.140625" style="2"/>
    <col min="4091" max="4091" width="3.5703125" style="2" customWidth="1"/>
    <col min="4092" max="4092" width="96.85546875" style="2" customWidth="1"/>
    <col min="4093" max="4093" width="30.85546875" style="2" customWidth="1"/>
    <col min="4094" max="4094" width="12.5703125" style="2" customWidth="1"/>
    <col min="4095" max="4095" width="5.140625" style="2" customWidth="1"/>
    <col min="4096" max="4096" width="9.140625" style="2"/>
    <col min="4097" max="4097" width="4.85546875" style="2" customWidth="1"/>
    <col min="4098" max="4098" width="30.5703125" style="2" customWidth="1"/>
    <col min="4099" max="4099" width="33.85546875" style="2" customWidth="1"/>
    <col min="4100" max="4100" width="5.140625" style="2" customWidth="1"/>
    <col min="4101" max="4102" width="17.5703125" style="2" customWidth="1"/>
    <col min="4103" max="4346" width="9.140625" style="2"/>
    <col min="4347" max="4347" width="3.5703125" style="2" customWidth="1"/>
    <col min="4348" max="4348" width="96.85546875" style="2" customWidth="1"/>
    <col min="4349" max="4349" width="30.85546875" style="2" customWidth="1"/>
    <col min="4350" max="4350" width="12.5703125" style="2" customWidth="1"/>
    <col min="4351" max="4351" width="5.140625" style="2" customWidth="1"/>
    <col min="4352" max="4352" width="9.140625" style="2"/>
    <col min="4353" max="4353" width="4.85546875" style="2" customWidth="1"/>
    <col min="4354" max="4354" width="30.5703125" style="2" customWidth="1"/>
    <col min="4355" max="4355" width="33.85546875" style="2" customWidth="1"/>
    <col min="4356" max="4356" width="5.140625" style="2" customWidth="1"/>
    <col min="4357" max="4358" width="17.5703125" style="2" customWidth="1"/>
    <col min="4359" max="4602" width="9.140625" style="2"/>
    <col min="4603" max="4603" width="3.5703125" style="2" customWidth="1"/>
    <col min="4604" max="4604" width="96.85546875" style="2" customWidth="1"/>
    <col min="4605" max="4605" width="30.85546875" style="2" customWidth="1"/>
    <col min="4606" max="4606" width="12.5703125" style="2" customWidth="1"/>
    <col min="4607" max="4607" width="5.140625" style="2" customWidth="1"/>
    <col min="4608" max="4608" width="9.140625" style="2"/>
    <col min="4609" max="4609" width="4.85546875" style="2" customWidth="1"/>
    <col min="4610" max="4610" width="30.5703125" style="2" customWidth="1"/>
    <col min="4611" max="4611" width="33.85546875" style="2" customWidth="1"/>
    <col min="4612" max="4612" width="5.140625" style="2" customWidth="1"/>
    <col min="4613" max="4614" width="17.5703125" style="2" customWidth="1"/>
    <col min="4615" max="4858" width="9.140625" style="2"/>
    <col min="4859" max="4859" width="3.5703125" style="2" customWidth="1"/>
    <col min="4860" max="4860" width="96.85546875" style="2" customWidth="1"/>
    <col min="4861" max="4861" width="30.85546875" style="2" customWidth="1"/>
    <col min="4862" max="4862" width="12.5703125" style="2" customWidth="1"/>
    <col min="4863" max="4863" width="5.140625" style="2" customWidth="1"/>
    <col min="4864" max="4864" width="9.140625" style="2"/>
    <col min="4865" max="4865" width="4.85546875" style="2" customWidth="1"/>
    <col min="4866" max="4866" width="30.5703125" style="2" customWidth="1"/>
    <col min="4867" max="4867" width="33.85546875" style="2" customWidth="1"/>
    <col min="4868" max="4868" width="5.140625" style="2" customWidth="1"/>
    <col min="4869" max="4870" width="17.5703125" style="2" customWidth="1"/>
    <col min="4871" max="5114" width="9.140625" style="2"/>
    <col min="5115" max="5115" width="3.5703125" style="2" customWidth="1"/>
    <col min="5116" max="5116" width="96.85546875" style="2" customWidth="1"/>
    <col min="5117" max="5117" width="30.85546875" style="2" customWidth="1"/>
    <col min="5118" max="5118" width="12.5703125" style="2" customWidth="1"/>
    <col min="5119" max="5119" width="5.140625" style="2" customWidth="1"/>
    <col min="5120" max="5120" width="9.140625" style="2"/>
    <col min="5121" max="5121" width="4.85546875" style="2" customWidth="1"/>
    <col min="5122" max="5122" width="30.5703125" style="2" customWidth="1"/>
    <col min="5123" max="5123" width="33.85546875" style="2" customWidth="1"/>
    <col min="5124" max="5124" width="5.140625" style="2" customWidth="1"/>
    <col min="5125" max="5126" width="17.5703125" style="2" customWidth="1"/>
    <col min="5127" max="5370" width="9.140625" style="2"/>
    <col min="5371" max="5371" width="3.5703125" style="2" customWidth="1"/>
    <col min="5372" max="5372" width="96.85546875" style="2" customWidth="1"/>
    <col min="5373" max="5373" width="30.85546875" style="2" customWidth="1"/>
    <col min="5374" max="5374" width="12.5703125" style="2" customWidth="1"/>
    <col min="5375" max="5375" width="5.140625" style="2" customWidth="1"/>
    <col min="5376" max="5376" width="9.140625" style="2"/>
    <col min="5377" max="5377" width="4.85546875" style="2" customWidth="1"/>
    <col min="5378" max="5378" width="30.5703125" style="2" customWidth="1"/>
    <col min="5379" max="5379" width="33.85546875" style="2" customWidth="1"/>
    <col min="5380" max="5380" width="5.140625" style="2" customWidth="1"/>
    <col min="5381" max="5382" width="17.5703125" style="2" customWidth="1"/>
    <col min="5383" max="5626" width="9.140625" style="2"/>
    <col min="5627" max="5627" width="3.5703125" style="2" customWidth="1"/>
    <col min="5628" max="5628" width="96.85546875" style="2" customWidth="1"/>
    <col min="5629" max="5629" width="30.85546875" style="2" customWidth="1"/>
    <col min="5630" max="5630" width="12.5703125" style="2" customWidth="1"/>
    <col min="5631" max="5631" width="5.140625" style="2" customWidth="1"/>
    <col min="5632" max="5632" width="9.140625" style="2"/>
    <col min="5633" max="5633" width="4.85546875" style="2" customWidth="1"/>
    <col min="5634" max="5634" width="30.5703125" style="2" customWidth="1"/>
    <col min="5635" max="5635" width="33.85546875" style="2" customWidth="1"/>
    <col min="5636" max="5636" width="5.140625" style="2" customWidth="1"/>
    <col min="5637" max="5638" width="17.5703125" style="2" customWidth="1"/>
    <col min="5639" max="5882" width="9.140625" style="2"/>
    <col min="5883" max="5883" width="3.5703125" style="2" customWidth="1"/>
    <col min="5884" max="5884" width="96.85546875" style="2" customWidth="1"/>
    <col min="5885" max="5885" width="30.85546875" style="2" customWidth="1"/>
    <col min="5886" max="5886" width="12.5703125" style="2" customWidth="1"/>
    <col min="5887" max="5887" width="5.140625" style="2" customWidth="1"/>
    <col min="5888" max="5888" width="9.140625" style="2"/>
    <col min="5889" max="5889" width="4.85546875" style="2" customWidth="1"/>
    <col min="5890" max="5890" width="30.5703125" style="2" customWidth="1"/>
    <col min="5891" max="5891" width="33.85546875" style="2" customWidth="1"/>
    <col min="5892" max="5892" width="5.140625" style="2" customWidth="1"/>
    <col min="5893" max="5894" width="17.5703125" style="2" customWidth="1"/>
    <col min="5895" max="6138" width="9.140625" style="2"/>
    <col min="6139" max="6139" width="3.5703125" style="2" customWidth="1"/>
    <col min="6140" max="6140" width="96.85546875" style="2" customWidth="1"/>
    <col min="6141" max="6141" width="30.85546875" style="2" customWidth="1"/>
    <col min="6142" max="6142" width="12.5703125" style="2" customWidth="1"/>
    <col min="6143" max="6143" width="5.140625" style="2" customWidth="1"/>
    <col min="6144" max="6144" width="9.140625" style="2"/>
    <col min="6145" max="6145" width="4.85546875" style="2" customWidth="1"/>
    <col min="6146" max="6146" width="30.5703125" style="2" customWidth="1"/>
    <col min="6147" max="6147" width="33.85546875" style="2" customWidth="1"/>
    <col min="6148" max="6148" width="5.140625" style="2" customWidth="1"/>
    <col min="6149" max="6150" width="17.5703125" style="2" customWidth="1"/>
    <col min="6151" max="6394" width="9.140625" style="2"/>
    <col min="6395" max="6395" width="3.5703125" style="2" customWidth="1"/>
    <col min="6396" max="6396" width="96.85546875" style="2" customWidth="1"/>
    <col min="6397" max="6397" width="30.85546875" style="2" customWidth="1"/>
    <col min="6398" max="6398" width="12.5703125" style="2" customWidth="1"/>
    <col min="6399" max="6399" width="5.140625" style="2" customWidth="1"/>
    <col min="6400" max="6400" width="9.140625" style="2"/>
    <col min="6401" max="6401" width="4.85546875" style="2" customWidth="1"/>
    <col min="6402" max="6402" width="30.5703125" style="2" customWidth="1"/>
    <col min="6403" max="6403" width="33.85546875" style="2" customWidth="1"/>
    <col min="6404" max="6404" width="5.140625" style="2" customWidth="1"/>
    <col min="6405" max="6406" width="17.5703125" style="2" customWidth="1"/>
    <col min="6407" max="6650" width="9.140625" style="2"/>
    <col min="6651" max="6651" width="3.5703125" style="2" customWidth="1"/>
    <col min="6652" max="6652" width="96.85546875" style="2" customWidth="1"/>
    <col min="6653" max="6653" width="30.85546875" style="2" customWidth="1"/>
    <col min="6654" max="6654" width="12.5703125" style="2" customWidth="1"/>
    <col min="6655" max="6655" width="5.140625" style="2" customWidth="1"/>
    <col min="6656" max="6656" width="9.140625" style="2"/>
    <col min="6657" max="6657" width="4.85546875" style="2" customWidth="1"/>
    <col min="6658" max="6658" width="30.5703125" style="2" customWidth="1"/>
    <col min="6659" max="6659" width="33.85546875" style="2" customWidth="1"/>
    <col min="6660" max="6660" width="5.140625" style="2" customWidth="1"/>
    <col min="6661" max="6662" width="17.5703125" style="2" customWidth="1"/>
    <col min="6663" max="6906" width="9.140625" style="2"/>
    <col min="6907" max="6907" width="3.5703125" style="2" customWidth="1"/>
    <col min="6908" max="6908" width="96.85546875" style="2" customWidth="1"/>
    <col min="6909" max="6909" width="30.85546875" style="2" customWidth="1"/>
    <col min="6910" max="6910" width="12.5703125" style="2" customWidth="1"/>
    <col min="6911" max="6911" width="5.140625" style="2" customWidth="1"/>
    <col min="6912" max="6912" width="9.140625" style="2"/>
    <col min="6913" max="6913" width="4.85546875" style="2" customWidth="1"/>
    <col min="6914" max="6914" width="30.5703125" style="2" customWidth="1"/>
    <col min="6915" max="6915" width="33.85546875" style="2" customWidth="1"/>
    <col min="6916" max="6916" width="5.140625" style="2" customWidth="1"/>
    <col min="6917" max="6918" width="17.5703125" style="2" customWidth="1"/>
    <col min="6919" max="7162" width="9.140625" style="2"/>
    <col min="7163" max="7163" width="3.5703125" style="2" customWidth="1"/>
    <col min="7164" max="7164" width="96.85546875" style="2" customWidth="1"/>
    <col min="7165" max="7165" width="30.85546875" style="2" customWidth="1"/>
    <col min="7166" max="7166" width="12.5703125" style="2" customWidth="1"/>
    <col min="7167" max="7167" width="5.140625" style="2" customWidth="1"/>
    <col min="7168" max="7168" width="9.140625" style="2"/>
    <col min="7169" max="7169" width="4.85546875" style="2" customWidth="1"/>
    <col min="7170" max="7170" width="30.5703125" style="2" customWidth="1"/>
    <col min="7171" max="7171" width="33.85546875" style="2" customWidth="1"/>
    <col min="7172" max="7172" width="5.140625" style="2" customWidth="1"/>
    <col min="7173" max="7174" width="17.5703125" style="2" customWidth="1"/>
    <col min="7175" max="7418" width="9.140625" style="2"/>
    <col min="7419" max="7419" width="3.5703125" style="2" customWidth="1"/>
    <col min="7420" max="7420" width="96.85546875" style="2" customWidth="1"/>
    <col min="7421" max="7421" width="30.85546875" style="2" customWidth="1"/>
    <col min="7422" max="7422" width="12.5703125" style="2" customWidth="1"/>
    <col min="7423" max="7423" width="5.140625" style="2" customWidth="1"/>
    <col min="7424" max="7424" width="9.140625" style="2"/>
    <col min="7425" max="7425" width="4.85546875" style="2" customWidth="1"/>
    <col min="7426" max="7426" width="30.5703125" style="2" customWidth="1"/>
    <col min="7427" max="7427" width="33.85546875" style="2" customWidth="1"/>
    <col min="7428" max="7428" width="5.140625" style="2" customWidth="1"/>
    <col min="7429" max="7430" width="17.5703125" style="2" customWidth="1"/>
    <col min="7431" max="7674" width="9.140625" style="2"/>
    <col min="7675" max="7675" width="3.5703125" style="2" customWidth="1"/>
    <col min="7676" max="7676" width="96.85546875" style="2" customWidth="1"/>
    <col min="7677" max="7677" width="30.85546875" style="2" customWidth="1"/>
    <col min="7678" max="7678" width="12.5703125" style="2" customWidth="1"/>
    <col min="7679" max="7679" width="5.140625" style="2" customWidth="1"/>
    <col min="7680" max="7680" width="9.140625" style="2"/>
    <col min="7681" max="7681" width="4.85546875" style="2" customWidth="1"/>
    <col min="7682" max="7682" width="30.5703125" style="2" customWidth="1"/>
    <col min="7683" max="7683" width="33.85546875" style="2" customWidth="1"/>
    <col min="7684" max="7684" width="5.140625" style="2" customWidth="1"/>
    <col min="7685" max="7686" width="17.5703125" style="2" customWidth="1"/>
    <col min="7687" max="7930" width="9.140625" style="2"/>
    <col min="7931" max="7931" width="3.5703125" style="2" customWidth="1"/>
    <col min="7932" max="7932" width="96.85546875" style="2" customWidth="1"/>
    <col min="7933" max="7933" width="30.85546875" style="2" customWidth="1"/>
    <col min="7934" max="7934" width="12.5703125" style="2" customWidth="1"/>
    <col min="7935" max="7935" width="5.140625" style="2" customWidth="1"/>
    <col min="7936" max="7936" width="9.140625" style="2"/>
    <col min="7937" max="7937" width="4.85546875" style="2" customWidth="1"/>
    <col min="7938" max="7938" width="30.5703125" style="2" customWidth="1"/>
    <col min="7939" max="7939" width="33.85546875" style="2" customWidth="1"/>
    <col min="7940" max="7940" width="5.140625" style="2" customWidth="1"/>
    <col min="7941" max="7942" width="17.5703125" style="2" customWidth="1"/>
    <col min="7943" max="8186" width="9.140625" style="2"/>
    <col min="8187" max="8187" width="3.5703125" style="2" customWidth="1"/>
    <col min="8188" max="8188" width="96.85546875" style="2" customWidth="1"/>
    <col min="8189" max="8189" width="30.85546875" style="2" customWidth="1"/>
    <col min="8190" max="8190" width="12.5703125" style="2" customWidth="1"/>
    <col min="8191" max="8191" width="5.140625" style="2" customWidth="1"/>
    <col min="8192" max="8192" width="9.140625" style="2"/>
    <col min="8193" max="8193" width="4.85546875" style="2" customWidth="1"/>
    <col min="8194" max="8194" width="30.5703125" style="2" customWidth="1"/>
    <col min="8195" max="8195" width="33.85546875" style="2" customWidth="1"/>
    <col min="8196" max="8196" width="5.140625" style="2" customWidth="1"/>
    <col min="8197" max="8198" width="17.5703125" style="2" customWidth="1"/>
    <col min="8199" max="8442" width="9.140625" style="2"/>
    <col min="8443" max="8443" width="3.5703125" style="2" customWidth="1"/>
    <col min="8444" max="8444" width="96.85546875" style="2" customWidth="1"/>
    <col min="8445" max="8445" width="30.85546875" style="2" customWidth="1"/>
    <col min="8446" max="8446" width="12.5703125" style="2" customWidth="1"/>
    <col min="8447" max="8447" width="5.140625" style="2" customWidth="1"/>
    <col min="8448" max="8448" width="9.140625" style="2"/>
    <col min="8449" max="8449" width="4.85546875" style="2" customWidth="1"/>
    <col min="8450" max="8450" width="30.5703125" style="2" customWidth="1"/>
    <col min="8451" max="8451" width="33.85546875" style="2" customWidth="1"/>
    <col min="8452" max="8452" width="5.140625" style="2" customWidth="1"/>
    <col min="8453" max="8454" width="17.5703125" style="2" customWidth="1"/>
    <col min="8455" max="8698" width="9.140625" style="2"/>
    <col min="8699" max="8699" width="3.5703125" style="2" customWidth="1"/>
    <col min="8700" max="8700" width="96.85546875" style="2" customWidth="1"/>
    <col min="8701" max="8701" width="30.85546875" style="2" customWidth="1"/>
    <col min="8702" max="8702" width="12.5703125" style="2" customWidth="1"/>
    <col min="8703" max="8703" width="5.140625" style="2" customWidth="1"/>
    <col min="8704" max="8704" width="9.140625" style="2"/>
    <col min="8705" max="8705" width="4.85546875" style="2" customWidth="1"/>
    <col min="8706" max="8706" width="30.5703125" style="2" customWidth="1"/>
    <col min="8707" max="8707" width="33.85546875" style="2" customWidth="1"/>
    <col min="8708" max="8708" width="5.140625" style="2" customWidth="1"/>
    <col min="8709" max="8710" width="17.5703125" style="2" customWidth="1"/>
    <col min="8711" max="8954" width="9.140625" style="2"/>
    <col min="8955" max="8955" width="3.5703125" style="2" customWidth="1"/>
    <col min="8956" max="8956" width="96.85546875" style="2" customWidth="1"/>
    <col min="8957" max="8957" width="30.85546875" style="2" customWidth="1"/>
    <col min="8958" max="8958" width="12.5703125" style="2" customWidth="1"/>
    <col min="8959" max="8959" width="5.140625" style="2" customWidth="1"/>
    <col min="8960" max="8960" width="9.140625" style="2"/>
    <col min="8961" max="8961" width="4.85546875" style="2" customWidth="1"/>
    <col min="8962" max="8962" width="30.5703125" style="2" customWidth="1"/>
    <col min="8963" max="8963" width="33.85546875" style="2" customWidth="1"/>
    <col min="8964" max="8964" width="5.140625" style="2" customWidth="1"/>
    <col min="8965" max="8966" width="17.5703125" style="2" customWidth="1"/>
    <col min="8967" max="9210" width="9.140625" style="2"/>
    <col min="9211" max="9211" width="3.5703125" style="2" customWidth="1"/>
    <col min="9212" max="9212" width="96.85546875" style="2" customWidth="1"/>
    <col min="9213" max="9213" width="30.85546875" style="2" customWidth="1"/>
    <col min="9214" max="9214" width="12.5703125" style="2" customWidth="1"/>
    <col min="9215" max="9215" width="5.140625" style="2" customWidth="1"/>
    <col min="9216" max="9216" width="9.140625" style="2"/>
    <col min="9217" max="9217" width="4.85546875" style="2" customWidth="1"/>
    <col min="9218" max="9218" width="30.5703125" style="2" customWidth="1"/>
    <col min="9219" max="9219" width="33.85546875" style="2" customWidth="1"/>
    <col min="9220" max="9220" width="5.140625" style="2" customWidth="1"/>
    <col min="9221" max="9222" width="17.5703125" style="2" customWidth="1"/>
    <col min="9223" max="9466" width="9.140625" style="2"/>
    <col min="9467" max="9467" width="3.5703125" style="2" customWidth="1"/>
    <col min="9468" max="9468" width="96.85546875" style="2" customWidth="1"/>
    <col min="9469" max="9469" width="30.85546875" style="2" customWidth="1"/>
    <col min="9470" max="9470" width="12.5703125" style="2" customWidth="1"/>
    <col min="9471" max="9471" width="5.140625" style="2" customWidth="1"/>
    <col min="9472" max="9472" width="9.140625" style="2"/>
    <col min="9473" max="9473" width="4.85546875" style="2" customWidth="1"/>
    <col min="9474" max="9474" width="30.5703125" style="2" customWidth="1"/>
    <col min="9475" max="9475" width="33.85546875" style="2" customWidth="1"/>
    <col min="9476" max="9476" width="5.140625" style="2" customWidth="1"/>
    <col min="9477" max="9478" width="17.5703125" style="2" customWidth="1"/>
    <col min="9479" max="9722" width="9.140625" style="2"/>
    <col min="9723" max="9723" width="3.5703125" style="2" customWidth="1"/>
    <col min="9724" max="9724" width="96.85546875" style="2" customWidth="1"/>
    <col min="9725" max="9725" width="30.85546875" style="2" customWidth="1"/>
    <col min="9726" max="9726" width="12.5703125" style="2" customWidth="1"/>
    <col min="9727" max="9727" width="5.140625" style="2" customWidth="1"/>
    <col min="9728" max="9728" width="9.140625" style="2"/>
    <col min="9729" max="9729" width="4.85546875" style="2" customWidth="1"/>
    <col min="9730" max="9730" width="30.5703125" style="2" customWidth="1"/>
    <col min="9731" max="9731" width="33.85546875" style="2" customWidth="1"/>
    <col min="9732" max="9732" width="5.140625" style="2" customWidth="1"/>
    <col min="9733" max="9734" width="17.5703125" style="2" customWidth="1"/>
    <col min="9735" max="9978" width="9.140625" style="2"/>
    <col min="9979" max="9979" width="3.5703125" style="2" customWidth="1"/>
    <col min="9980" max="9980" width="96.85546875" style="2" customWidth="1"/>
    <col min="9981" max="9981" width="30.85546875" style="2" customWidth="1"/>
    <col min="9982" max="9982" width="12.5703125" style="2" customWidth="1"/>
    <col min="9983" max="9983" width="5.140625" style="2" customWidth="1"/>
    <col min="9984" max="9984" width="9.140625" style="2"/>
    <col min="9985" max="9985" width="4.85546875" style="2" customWidth="1"/>
    <col min="9986" max="9986" width="30.5703125" style="2" customWidth="1"/>
    <col min="9987" max="9987" width="33.85546875" style="2" customWidth="1"/>
    <col min="9988" max="9988" width="5.140625" style="2" customWidth="1"/>
    <col min="9989" max="9990" width="17.5703125" style="2" customWidth="1"/>
    <col min="9991" max="10234" width="9.140625" style="2"/>
    <col min="10235" max="10235" width="3.5703125" style="2" customWidth="1"/>
    <col min="10236" max="10236" width="96.85546875" style="2" customWidth="1"/>
    <col min="10237" max="10237" width="30.85546875" style="2" customWidth="1"/>
    <col min="10238" max="10238" width="12.5703125" style="2" customWidth="1"/>
    <col min="10239" max="10239" width="5.140625" style="2" customWidth="1"/>
    <col min="10240" max="10240" width="9.140625" style="2"/>
    <col min="10241" max="10241" width="4.85546875" style="2" customWidth="1"/>
    <col min="10242" max="10242" width="30.5703125" style="2" customWidth="1"/>
    <col min="10243" max="10243" width="33.85546875" style="2" customWidth="1"/>
    <col min="10244" max="10244" width="5.140625" style="2" customWidth="1"/>
    <col min="10245" max="10246" width="17.5703125" style="2" customWidth="1"/>
    <col min="10247" max="10490" width="9.140625" style="2"/>
    <col min="10491" max="10491" width="3.5703125" style="2" customWidth="1"/>
    <col min="10492" max="10492" width="96.85546875" style="2" customWidth="1"/>
    <col min="10493" max="10493" width="30.85546875" style="2" customWidth="1"/>
    <col min="10494" max="10494" width="12.5703125" style="2" customWidth="1"/>
    <col min="10495" max="10495" width="5.140625" style="2" customWidth="1"/>
    <col min="10496" max="10496" width="9.140625" style="2"/>
    <col min="10497" max="10497" width="4.85546875" style="2" customWidth="1"/>
    <col min="10498" max="10498" width="30.5703125" style="2" customWidth="1"/>
    <col min="10499" max="10499" width="33.85546875" style="2" customWidth="1"/>
    <col min="10500" max="10500" width="5.140625" style="2" customWidth="1"/>
    <col min="10501" max="10502" width="17.5703125" style="2" customWidth="1"/>
    <col min="10503" max="10746" width="9.140625" style="2"/>
    <col min="10747" max="10747" width="3.5703125" style="2" customWidth="1"/>
    <col min="10748" max="10748" width="96.85546875" style="2" customWidth="1"/>
    <col min="10749" max="10749" width="30.85546875" style="2" customWidth="1"/>
    <col min="10750" max="10750" width="12.5703125" style="2" customWidth="1"/>
    <col min="10751" max="10751" width="5.140625" style="2" customWidth="1"/>
    <col min="10752" max="10752" width="9.140625" style="2"/>
    <col min="10753" max="10753" width="4.85546875" style="2" customWidth="1"/>
    <col min="10754" max="10754" width="30.5703125" style="2" customWidth="1"/>
    <col min="10755" max="10755" width="33.85546875" style="2" customWidth="1"/>
    <col min="10756" max="10756" width="5.140625" style="2" customWidth="1"/>
    <col min="10757" max="10758" width="17.5703125" style="2" customWidth="1"/>
    <col min="10759" max="11002" width="9.140625" style="2"/>
    <col min="11003" max="11003" width="3.5703125" style="2" customWidth="1"/>
    <col min="11004" max="11004" width="96.85546875" style="2" customWidth="1"/>
    <col min="11005" max="11005" width="30.85546875" style="2" customWidth="1"/>
    <col min="11006" max="11006" width="12.5703125" style="2" customWidth="1"/>
    <col min="11007" max="11007" width="5.140625" style="2" customWidth="1"/>
    <col min="11008" max="11008" width="9.140625" style="2"/>
    <col min="11009" max="11009" width="4.85546875" style="2" customWidth="1"/>
    <col min="11010" max="11010" width="30.5703125" style="2" customWidth="1"/>
    <col min="11011" max="11011" width="33.85546875" style="2" customWidth="1"/>
    <col min="11012" max="11012" width="5.140625" style="2" customWidth="1"/>
    <col min="11013" max="11014" width="17.5703125" style="2" customWidth="1"/>
    <col min="11015" max="11258" width="9.140625" style="2"/>
    <col min="11259" max="11259" width="3.5703125" style="2" customWidth="1"/>
    <col min="11260" max="11260" width="96.85546875" style="2" customWidth="1"/>
    <col min="11261" max="11261" width="30.85546875" style="2" customWidth="1"/>
    <col min="11262" max="11262" width="12.5703125" style="2" customWidth="1"/>
    <col min="11263" max="11263" width="5.140625" style="2" customWidth="1"/>
    <col min="11264" max="11264" width="9.140625" style="2"/>
    <col min="11265" max="11265" width="4.85546875" style="2" customWidth="1"/>
    <col min="11266" max="11266" width="30.5703125" style="2" customWidth="1"/>
    <col min="11267" max="11267" width="33.85546875" style="2" customWidth="1"/>
    <col min="11268" max="11268" width="5.140625" style="2" customWidth="1"/>
    <col min="11269" max="11270" width="17.5703125" style="2" customWidth="1"/>
    <col min="11271" max="11514" width="9.140625" style="2"/>
    <col min="11515" max="11515" width="3.5703125" style="2" customWidth="1"/>
    <col min="11516" max="11516" width="96.85546875" style="2" customWidth="1"/>
    <col min="11517" max="11517" width="30.85546875" style="2" customWidth="1"/>
    <col min="11518" max="11518" width="12.5703125" style="2" customWidth="1"/>
    <col min="11519" max="11519" width="5.140625" style="2" customWidth="1"/>
    <col min="11520" max="11520" width="9.140625" style="2"/>
    <col min="11521" max="11521" width="4.85546875" style="2" customWidth="1"/>
    <col min="11522" max="11522" width="30.5703125" style="2" customWidth="1"/>
    <col min="11523" max="11523" width="33.85546875" style="2" customWidth="1"/>
    <col min="11524" max="11524" width="5.140625" style="2" customWidth="1"/>
    <col min="11525" max="11526" width="17.5703125" style="2" customWidth="1"/>
    <col min="11527" max="11770" width="9.140625" style="2"/>
    <col min="11771" max="11771" width="3.5703125" style="2" customWidth="1"/>
    <col min="11772" max="11772" width="96.85546875" style="2" customWidth="1"/>
    <col min="11773" max="11773" width="30.85546875" style="2" customWidth="1"/>
    <col min="11774" max="11774" width="12.5703125" style="2" customWidth="1"/>
    <col min="11775" max="11775" width="5.140625" style="2" customWidth="1"/>
    <col min="11776" max="11776" width="9.140625" style="2"/>
    <col min="11777" max="11777" width="4.85546875" style="2" customWidth="1"/>
    <col min="11778" max="11778" width="30.5703125" style="2" customWidth="1"/>
    <col min="11779" max="11779" width="33.85546875" style="2" customWidth="1"/>
    <col min="11780" max="11780" width="5.140625" style="2" customWidth="1"/>
    <col min="11781" max="11782" width="17.5703125" style="2" customWidth="1"/>
    <col min="11783" max="12026" width="9.140625" style="2"/>
    <col min="12027" max="12027" width="3.5703125" style="2" customWidth="1"/>
    <col min="12028" max="12028" width="96.85546875" style="2" customWidth="1"/>
    <col min="12029" max="12029" width="30.85546875" style="2" customWidth="1"/>
    <col min="12030" max="12030" width="12.5703125" style="2" customWidth="1"/>
    <col min="12031" max="12031" width="5.140625" style="2" customWidth="1"/>
    <col min="12032" max="12032" width="9.140625" style="2"/>
    <col min="12033" max="12033" width="4.85546875" style="2" customWidth="1"/>
    <col min="12034" max="12034" width="30.5703125" style="2" customWidth="1"/>
    <col min="12035" max="12035" width="33.85546875" style="2" customWidth="1"/>
    <col min="12036" max="12036" width="5.140625" style="2" customWidth="1"/>
    <col min="12037" max="12038" width="17.5703125" style="2" customWidth="1"/>
    <col min="12039" max="12282" width="9.140625" style="2"/>
    <col min="12283" max="12283" width="3.5703125" style="2" customWidth="1"/>
    <col min="12284" max="12284" width="96.85546875" style="2" customWidth="1"/>
    <col min="12285" max="12285" width="30.85546875" style="2" customWidth="1"/>
    <col min="12286" max="12286" width="12.5703125" style="2" customWidth="1"/>
    <col min="12287" max="12287" width="5.140625" style="2" customWidth="1"/>
    <col min="12288" max="12288" width="9.140625" style="2"/>
    <col min="12289" max="12289" width="4.85546875" style="2" customWidth="1"/>
    <col min="12290" max="12290" width="30.5703125" style="2" customWidth="1"/>
    <col min="12291" max="12291" width="33.85546875" style="2" customWidth="1"/>
    <col min="12292" max="12292" width="5.140625" style="2" customWidth="1"/>
    <col min="12293" max="12294" width="17.5703125" style="2" customWidth="1"/>
    <col min="12295" max="12538" width="9.140625" style="2"/>
    <col min="12539" max="12539" width="3.5703125" style="2" customWidth="1"/>
    <col min="12540" max="12540" width="96.85546875" style="2" customWidth="1"/>
    <col min="12541" max="12541" width="30.85546875" style="2" customWidth="1"/>
    <col min="12542" max="12542" width="12.5703125" style="2" customWidth="1"/>
    <col min="12543" max="12543" width="5.140625" style="2" customWidth="1"/>
    <col min="12544" max="12544" width="9.140625" style="2"/>
    <col min="12545" max="12545" width="4.85546875" style="2" customWidth="1"/>
    <col min="12546" max="12546" width="30.5703125" style="2" customWidth="1"/>
    <col min="12547" max="12547" width="33.85546875" style="2" customWidth="1"/>
    <col min="12548" max="12548" width="5.140625" style="2" customWidth="1"/>
    <col min="12549" max="12550" width="17.5703125" style="2" customWidth="1"/>
    <col min="12551" max="12794" width="9.140625" style="2"/>
    <col min="12795" max="12795" width="3.5703125" style="2" customWidth="1"/>
    <col min="12796" max="12796" width="96.85546875" style="2" customWidth="1"/>
    <col min="12797" max="12797" width="30.85546875" style="2" customWidth="1"/>
    <col min="12798" max="12798" width="12.5703125" style="2" customWidth="1"/>
    <col min="12799" max="12799" width="5.140625" style="2" customWidth="1"/>
    <col min="12800" max="12800" width="9.140625" style="2"/>
    <col min="12801" max="12801" width="4.85546875" style="2" customWidth="1"/>
    <col min="12802" max="12802" width="30.5703125" style="2" customWidth="1"/>
    <col min="12803" max="12803" width="33.85546875" style="2" customWidth="1"/>
    <col min="12804" max="12804" width="5.140625" style="2" customWidth="1"/>
    <col min="12805" max="12806" width="17.5703125" style="2" customWidth="1"/>
    <col min="12807" max="13050" width="9.140625" style="2"/>
    <col min="13051" max="13051" width="3.5703125" style="2" customWidth="1"/>
    <col min="13052" max="13052" width="96.85546875" style="2" customWidth="1"/>
    <col min="13053" max="13053" width="30.85546875" style="2" customWidth="1"/>
    <col min="13054" max="13054" width="12.5703125" style="2" customWidth="1"/>
    <col min="13055" max="13055" width="5.140625" style="2" customWidth="1"/>
    <col min="13056" max="13056" width="9.140625" style="2"/>
    <col min="13057" max="13057" width="4.85546875" style="2" customWidth="1"/>
    <col min="13058" max="13058" width="30.5703125" style="2" customWidth="1"/>
    <col min="13059" max="13059" width="33.85546875" style="2" customWidth="1"/>
    <col min="13060" max="13060" width="5.140625" style="2" customWidth="1"/>
    <col min="13061" max="13062" width="17.5703125" style="2" customWidth="1"/>
    <col min="13063" max="13306" width="9.140625" style="2"/>
    <col min="13307" max="13307" width="3.5703125" style="2" customWidth="1"/>
    <col min="13308" max="13308" width="96.85546875" style="2" customWidth="1"/>
    <col min="13309" max="13309" width="30.85546875" style="2" customWidth="1"/>
    <col min="13310" max="13310" width="12.5703125" style="2" customWidth="1"/>
    <col min="13311" max="13311" width="5.140625" style="2" customWidth="1"/>
    <col min="13312" max="13312" width="9.140625" style="2"/>
    <col min="13313" max="13313" width="4.85546875" style="2" customWidth="1"/>
    <col min="13314" max="13314" width="30.5703125" style="2" customWidth="1"/>
    <col min="13315" max="13315" width="33.85546875" style="2" customWidth="1"/>
    <col min="13316" max="13316" width="5.140625" style="2" customWidth="1"/>
    <col min="13317" max="13318" width="17.5703125" style="2" customWidth="1"/>
    <col min="13319" max="13562" width="9.140625" style="2"/>
    <col min="13563" max="13563" width="3.5703125" style="2" customWidth="1"/>
    <col min="13564" max="13564" width="96.85546875" style="2" customWidth="1"/>
    <col min="13565" max="13565" width="30.85546875" style="2" customWidth="1"/>
    <col min="13566" max="13566" width="12.5703125" style="2" customWidth="1"/>
    <col min="13567" max="13567" width="5.140625" style="2" customWidth="1"/>
    <col min="13568" max="13568" width="9.140625" style="2"/>
    <col min="13569" max="13569" width="4.85546875" style="2" customWidth="1"/>
    <col min="13570" max="13570" width="30.5703125" style="2" customWidth="1"/>
    <col min="13571" max="13571" width="33.85546875" style="2" customWidth="1"/>
    <col min="13572" max="13572" width="5.140625" style="2" customWidth="1"/>
    <col min="13573" max="13574" width="17.5703125" style="2" customWidth="1"/>
    <col min="13575" max="13818" width="9.140625" style="2"/>
    <col min="13819" max="13819" width="3.5703125" style="2" customWidth="1"/>
    <col min="13820" max="13820" width="96.85546875" style="2" customWidth="1"/>
    <col min="13821" max="13821" width="30.85546875" style="2" customWidth="1"/>
    <col min="13822" max="13822" width="12.5703125" style="2" customWidth="1"/>
    <col min="13823" max="13823" width="5.140625" style="2" customWidth="1"/>
    <col min="13824" max="13824" width="9.140625" style="2"/>
    <col min="13825" max="13825" width="4.85546875" style="2" customWidth="1"/>
    <col min="13826" max="13826" width="30.5703125" style="2" customWidth="1"/>
    <col min="13827" max="13827" width="33.85546875" style="2" customWidth="1"/>
    <col min="13828" max="13828" width="5.140625" style="2" customWidth="1"/>
    <col min="13829" max="13830" width="17.5703125" style="2" customWidth="1"/>
    <col min="13831" max="14074" width="9.140625" style="2"/>
    <col min="14075" max="14075" width="3.5703125" style="2" customWidth="1"/>
    <col min="14076" max="14076" width="96.85546875" style="2" customWidth="1"/>
    <col min="14077" max="14077" width="30.85546875" style="2" customWidth="1"/>
    <col min="14078" max="14078" width="12.5703125" style="2" customWidth="1"/>
    <col min="14079" max="14079" width="5.140625" style="2" customWidth="1"/>
    <col min="14080" max="14080" width="9.140625" style="2"/>
    <col min="14081" max="14081" width="4.85546875" style="2" customWidth="1"/>
    <col min="14082" max="14082" width="30.5703125" style="2" customWidth="1"/>
    <col min="14083" max="14083" width="33.85546875" style="2" customWidth="1"/>
    <col min="14084" max="14084" width="5.140625" style="2" customWidth="1"/>
    <col min="14085" max="14086" width="17.5703125" style="2" customWidth="1"/>
    <col min="14087" max="14330" width="9.140625" style="2"/>
    <col min="14331" max="14331" width="3.5703125" style="2" customWidth="1"/>
    <col min="14332" max="14332" width="96.85546875" style="2" customWidth="1"/>
    <col min="14333" max="14333" width="30.85546875" style="2" customWidth="1"/>
    <col min="14334" max="14334" width="12.5703125" style="2" customWidth="1"/>
    <col min="14335" max="14335" width="5.140625" style="2" customWidth="1"/>
    <col min="14336" max="14336" width="9.140625" style="2"/>
    <col min="14337" max="14337" width="4.85546875" style="2" customWidth="1"/>
    <col min="14338" max="14338" width="30.5703125" style="2" customWidth="1"/>
    <col min="14339" max="14339" width="33.85546875" style="2" customWidth="1"/>
    <col min="14340" max="14340" width="5.140625" style="2" customWidth="1"/>
    <col min="14341" max="14342" width="17.5703125" style="2" customWidth="1"/>
    <col min="14343" max="14586" width="9.140625" style="2"/>
    <col min="14587" max="14587" width="3.5703125" style="2" customWidth="1"/>
    <col min="14588" max="14588" width="96.85546875" style="2" customWidth="1"/>
    <col min="14589" max="14589" width="30.85546875" style="2" customWidth="1"/>
    <col min="14590" max="14590" width="12.5703125" style="2" customWidth="1"/>
    <col min="14591" max="14591" width="5.140625" style="2" customWidth="1"/>
    <col min="14592" max="14592" width="9.140625" style="2"/>
    <col min="14593" max="14593" width="4.85546875" style="2" customWidth="1"/>
    <col min="14594" max="14594" width="30.5703125" style="2" customWidth="1"/>
    <col min="14595" max="14595" width="33.85546875" style="2" customWidth="1"/>
    <col min="14596" max="14596" width="5.140625" style="2" customWidth="1"/>
    <col min="14597" max="14598" width="17.5703125" style="2" customWidth="1"/>
    <col min="14599" max="14842" width="9.140625" style="2"/>
    <col min="14843" max="14843" width="3.5703125" style="2" customWidth="1"/>
    <col min="14844" max="14844" width="96.85546875" style="2" customWidth="1"/>
    <col min="14845" max="14845" width="30.85546875" style="2" customWidth="1"/>
    <col min="14846" max="14846" width="12.5703125" style="2" customWidth="1"/>
    <col min="14847" max="14847" width="5.140625" style="2" customWidth="1"/>
    <col min="14848" max="14848" width="9.140625" style="2"/>
    <col min="14849" max="14849" width="4.85546875" style="2" customWidth="1"/>
    <col min="14850" max="14850" width="30.5703125" style="2" customWidth="1"/>
    <col min="14851" max="14851" width="33.85546875" style="2" customWidth="1"/>
    <col min="14852" max="14852" width="5.140625" style="2" customWidth="1"/>
    <col min="14853" max="14854" width="17.5703125" style="2" customWidth="1"/>
    <col min="14855" max="15098" width="9.140625" style="2"/>
    <col min="15099" max="15099" width="3.5703125" style="2" customWidth="1"/>
    <col min="15100" max="15100" width="96.85546875" style="2" customWidth="1"/>
    <col min="15101" max="15101" width="30.85546875" style="2" customWidth="1"/>
    <col min="15102" max="15102" width="12.5703125" style="2" customWidth="1"/>
    <col min="15103" max="15103" width="5.140625" style="2" customWidth="1"/>
    <col min="15104" max="15104" width="9.140625" style="2"/>
    <col min="15105" max="15105" width="4.85546875" style="2" customWidth="1"/>
    <col min="15106" max="15106" width="30.5703125" style="2" customWidth="1"/>
    <col min="15107" max="15107" width="33.85546875" style="2" customWidth="1"/>
    <col min="15108" max="15108" width="5.140625" style="2" customWidth="1"/>
    <col min="15109" max="15110" width="17.5703125" style="2" customWidth="1"/>
    <col min="15111" max="15354" width="9.140625" style="2"/>
    <col min="15355" max="15355" width="3.5703125" style="2" customWidth="1"/>
    <col min="15356" max="15356" width="96.85546875" style="2" customWidth="1"/>
    <col min="15357" max="15357" width="30.85546875" style="2" customWidth="1"/>
    <col min="15358" max="15358" width="12.5703125" style="2" customWidth="1"/>
    <col min="15359" max="15359" width="5.140625" style="2" customWidth="1"/>
    <col min="15360" max="15360" width="9.140625" style="2"/>
    <col min="15361" max="15361" width="4.85546875" style="2" customWidth="1"/>
    <col min="15362" max="15362" width="30.5703125" style="2" customWidth="1"/>
    <col min="15363" max="15363" width="33.85546875" style="2" customWidth="1"/>
    <col min="15364" max="15364" width="5.140625" style="2" customWidth="1"/>
    <col min="15365" max="15366" width="17.5703125" style="2" customWidth="1"/>
    <col min="15367" max="15610" width="9.140625" style="2"/>
    <col min="15611" max="15611" width="3.5703125" style="2" customWidth="1"/>
    <col min="15612" max="15612" width="96.85546875" style="2" customWidth="1"/>
    <col min="15613" max="15613" width="30.85546875" style="2" customWidth="1"/>
    <col min="15614" max="15614" width="12.5703125" style="2" customWidth="1"/>
    <col min="15615" max="15615" width="5.140625" style="2" customWidth="1"/>
    <col min="15616" max="15616" width="9.140625" style="2"/>
    <col min="15617" max="15617" width="4.85546875" style="2" customWidth="1"/>
    <col min="15618" max="15618" width="30.5703125" style="2" customWidth="1"/>
    <col min="15619" max="15619" width="33.85546875" style="2" customWidth="1"/>
    <col min="15620" max="15620" width="5.140625" style="2" customWidth="1"/>
    <col min="15621" max="15622" width="17.5703125" style="2" customWidth="1"/>
    <col min="15623" max="15866" width="9.140625" style="2"/>
    <col min="15867" max="15867" width="3.5703125" style="2" customWidth="1"/>
    <col min="15868" max="15868" width="96.85546875" style="2" customWidth="1"/>
    <col min="15869" max="15869" width="30.85546875" style="2" customWidth="1"/>
    <col min="15870" max="15870" width="12.5703125" style="2" customWidth="1"/>
    <col min="15871" max="15871" width="5.140625" style="2" customWidth="1"/>
    <col min="15872" max="15872" width="9.140625" style="2"/>
    <col min="15873" max="15873" width="4.85546875" style="2" customWidth="1"/>
    <col min="15874" max="15874" width="30.5703125" style="2" customWidth="1"/>
    <col min="15875" max="15875" width="33.85546875" style="2" customWidth="1"/>
    <col min="15876" max="15876" width="5.140625" style="2" customWidth="1"/>
    <col min="15877" max="15878" width="17.5703125" style="2" customWidth="1"/>
    <col min="15879" max="16122" width="9.140625" style="2"/>
    <col min="16123" max="16123" width="3.5703125" style="2" customWidth="1"/>
    <col min="16124" max="16124" width="96.85546875" style="2" customWidth="1"/>
    <col min="16125" max="16125" width="30.85546875" style="2" customWidth="1"/>
    <col min="16126" max="16126" width="12.5703125" style="2" customWidth="1"/>
    <col min="16127" max="16127" width="5.140625" style="2" customWidth="1"/>
    <col min="16128" max="16128" width="9.140625" style="2"/>
    <col min="16129" max="16129" width="4.85546875" style="2" customWidth="1"/>
    <col min="16130" max="16130" width="30.5703125" style="2" customWidth="1"/>
    <col min="16131" max="16131" width="33.85546875" style="2" customWidth="1"/>
    <col min="16132" max="16132" width="5.140625" style="2" customWidth="1"/>
    <col min="16133" max="16134" width="17.5703125" style="2" customWidth="1"/>
    <col min="16135" max="16384" width="9.140625" style="2"/>
  </cols>
  <sheetData>
    <row r="1" spans="1:4" ht="48" customHeight="1" x14ac:dyDescent="0.2">
      <c r="A1" s="1"/>
      <c r="B1" s="163" t="s">
        <v>0</v>
      </c>
      <c r="C1" s="163"/>
      <c r="D1" s="163"/>
    </row>
    <row r="2" spans="1:4" x14ac:dyDescent="0.2">
      <c r="A2" s="3"/>
      <c r="B2" s="4" t="s">
        <v>1</v>
      </c>
      <c r="C2" s="5">
        <v>45317</v>
      </c>
    </row>
    <row r="3" spans="1:4" x14ac:dyDescent="0.2">
      <c r="A3" s="3"/>
      <c r="B3" s="6" t="s">
        <v>2</v>
      </c>
    </row>
    <row r="4" spans="1:4" ht="25.5" x14ac:dyDescent="0.2">
      <c r="A4" s="8"/>
      <c r="B4" s="9" t="str">
        <f>[23]И1!D13</f>
        <v>Субъект Российской Федерации</v>
      </c>
      <c r="C4" s="10" t="str">
        <f>[23]И1!E13</f>
        <v>Новосибирская область</v>
      </c>
      <c r="D4" s="142"/>
    </row>
    <row r="5" spans="1:4" ht="46.9" customHeight="1" x14ac:dyDescent="0.2">
      <c r="A5" s="8"/>
      <c r="B5" s="9" t="str">
        <f>[23]И1!D14</f>
        <v>Тип муниципального образования (выберите из списка)</v>
      </c>
      <c r="C5" s="10" t="str">
        <f>[23]И1!E14</f>
        <v xml:space="preserve">деревня Шибково, Искитимский муниципальный район </v>
      </c>
      <c r="D5" s="142"/>
    </row>
    <row r="6" spans="1:4" x14ac:dyDescent="0.2">
      <c r="A6" s="8"/>
      <c r="B6" s="9" t="str">
        <f>IF([23]И1!E15="","",[23]И1!D15)</f>
        <v/>
      </c>
      <c r="C6" s="10" t="str">
        <f>IF([23]И1!E15="","",[23]И1!E15)</f>
        <v/>
      </c>
      <c r="D6" s="142"/>
    </row>
    <row r="7" spans="1:4" x14ac:dyDescent="0.2">
      <c r="A7" s="8"/>
      <c r="B7" s="9" t="str">
        <f>[23]И1!D16</f>
        <v>Код ОКТМО</v>
      </c>
      <c r="C7" s="11" t="str">
        <f>[23]И1!E16</f>
        <v>(50615440101)</v>
      </c>
      <c r="D7" s="142"/>
    </row>
    <row r="8" spans="1:4" x14ac:dyDescent="0.2">
      <c r="A8" s="8"/>
      <c r="B8" s="12" t="str">
        <f>[23]И1!D17</f>
        <v>Система теплоснабжения</v>
      </c>
      <c r="C8" s="13">
        <f>[23]И1!E17</f>
        <v>0</v>
      </c>
      <c r="D8" s="142"/>
    </row>
    <row r="9" spans="1:4" x14ac:dyDescent="0.2">
      <c r="A9" s="8"/>
      <c r="B9" s="9" t="str">
        <f>[23]И1!D8</f>
        <v>Период регулирования (i)-й</v>
      </c>
      <c r="C9" s="14">
        <f>[23]И1!E8</f>
        <v>2024</v>
      </c>
      <c r="D9" s="142"/>
    </row>
    <row r="10" spans="1:4" x14ac:dyDescent="0.2">
      <c r="A10" s="8"/>
      <c r="B10" s="9" t="str">
        <f>[23]И1!D9</f>
        <v>Период регулирования (i-1)-й</v>
      </c>
      <c r="C10" s="14">
        <f>[23]И1!E9</f>
        <v>2023</v>
      </c>
      <c r="D10" s="142"/>
    </row>
    <row r="11" spans="1:4" x14ac:dyDescent="0.2">
      <c r="A11" s="8"/>
      <c r="B11" s="9" t="str">
        <f>[23]И1!D10</f>
        <v>Период регулирования (i-2)-й</v>
      </c>
      <c r="C11" s="14">
        <f>[23]И1!E10</f>
        <v>2022</v>
      </c>
      <c r="D11" s="142"/>
    </row>
    <row r="12" spans="1:4" x14ac:dyDescent="0.2">
      <c r="A12" s="8"/>
      <c r="B12" s="9" t="str">
        <f>[23]И1!D11</f>
        <v>Базовый год (б)</v>
      </c>
      <c r="C12" s="14">
        <f>[23]И1!E11</f>
        <v>2019</v>
      </c>
      <c r="D12" s="142"/>
    </row>
    <row r="13" spans="1:4" ht="38.25" x14ac:dyDescent="0.2">
      <c r="A13" s="8"/>
      <c r="B13" s="9" t="str">
        <f>[23]И1!D18</f>
        <v>Вид топлива, использование которого преобладает в системе теплоснабжения</v>
      </c>
      <c r="C13" s="15" t="str">
        <f>[23]С1.1!E13</f>
        <v>уголь (вид угля не указан в топливном балансе)</v>
      </c>
      <c r="D13" s="142"/>
    </row>
    <row r="14" spans="1:4" ht="31.7" customHeight="1" thickBot="1" x14ac:dyDescent="0.25">
      <c r="A14" s="162" t="s">
        <v>3</v>
      </c>
      <c r="B14" s="162"/>
      <c r="C14" s="162"/>
    </row>
    <row r="15" spans="1:4" x14ac:dyDescent="0.2">
      <c r="A15" s="16" t="s">
        <v>4</v>
      </c>
      <c r="B15" s="17" t="s">
        <v>5</v>
      </c>
      <c r="C15" s="18" t="s">
        <v>6</v>
      </c>
    </row>
    <row r="16" spans="1:4" x14ac:dyDescent="0.2">
      <c r="A16" s="19">
        <v>1</v>
      </c>
      <c r="B16" s="20">
        <v>2</v>
      </c>
      <c r="C16" s="21">
        <v>3</v>
      </c>
    </row>
    <row r="17" spans="1:4" x14ac:dyDescent="0.2">
      <c r="A17" s="22">
        <v>1</v>
      </c>
      <c r="B17" s="23" t="s">
        <v>7</v>
      </c>
      <c r="C17" s="24">
        <f>SUM(C18:C22)</f>
        <v>3652.0526007687163</v>
      </c>
    </row>
    <row r="18" spans="1:4" ht="42.75" x14ac:dyDescent="0.2">
      <c r="A18" s="22" t="s">
        <v>8</v>
      </c>
      <c r="B18" s="25" t="s">
        <v>9</v>
      </c>
      <c r="C18" s="26">
        <f>[23]С1!F12</f>
        <v>665.23209308057574</v>
      </c>
    </row>
    <row r="19" spans="1:4" ht="42.75" x14ac:dyDescent="0.2">
      <c r="A19" s="22" t="s">
        <v>10</v>
      </c>
      <c r="B19" s="25" t="s">
        <v>11</v>
      </c>
      <c r="C19" s="26">
        <f>[23]С2!F12</f>
        <v>2000.3680279558928</v>
      </c>
    </row>
    <row r="20" spans="1:4" ht="30" x14ac:dyDescent="0.2">
      <c r="A20" s="22" t="s">
        <v>12</v>
      </c>
      <c r="B20" s="25" t="s">
        <v>13</v>
      </c>
      <c r="C20" s="26">
        <f>[23]С3!F12</f>
        <v>475.74490066496389</v>
      </c>
    </row>
    <row r="21" spans="1:4" ht="42.75" x14ac:dyDescent="0.2">
      <c r="A21" s="22" t="s">
        <v>14</v>
      </c>
      <c r="B21" s="25" t="s">
        <v>15</v>
      </c>
      <c r="C21" s="26">
        <f>[23]С4!F12</f>
        <v>439.09870454240729</v>
      </c>
    </row>
    <row r="22" spans="1:4" ht="30" x14ac:dyDescent="0.2">
      <c r="A22" s="22" t="s">
        <v>16</v>
      </c>
      <c r="B22" s="25" t="s">
        <v>17</v>
      </c>
      <c r="C22" s="26">
        <f>[23]С5!F12</f>
        <v>71.608874524876796</v>
      </c>
    </row>
    <row r="23" spans="1:4" ht="43.5" thickBot="1" x14ac:dyDescent="0.25">
      <c r="A23" s="27" t="s">
        <v>18</v>
      </c>
      <c r="B23" s="140" t="s">
        <v>19</v>
      </c>
      <c r="C23" s="28" t="str">
        <f>[23]С6!F12</f>
        <v>-</v>
      </c>
    </row>
    <row r="24" spans="1:4" ht="13.5" thickBot="1" x14ac:dyDescent="0.25">
      <c r="A24" s="3"/>
    </row>
    <row r="25" spans="1:4" x14ac:dyDescent="0.2">
      <c r="A25" s="16" t="s">
        <v>4</v>
      </c>
      <c r="B25" s="29" t="s">
        <v>5</v>
      </c>
      <c r="C25" s="30" t="s">
        <v>6</v>
      </c>
      <c r="D25" s="143" t="s">
        <v>259</v>
      </c>
    </row>
    <row r="26" spans="1:4" x14ac:dyDescent="0.2">
      <c r="A26" s="19">
        <v>1</v>
      </c>
      <c r="B26" s="31">
        <v>2</v>
      </c>
      <c r="C26" s="32">
        <v>3</v>
      </c>
      <c r="D26" s="144">
        <v>4</v>
      </c>
    </row>
    <row r="27" spans="1:4" ht="30" customHeight="1" x14ac:dyDescent="0.2">
      <c r="A27" s="22">
        <v>1</v>
      </c>
      <c r="B27" s="164" t="s">
        <v>20</v>
      </c>
      <c r="C27" s="164"/>
      <c r="D27" s="169"/>
    </row>
    <row r="28" spans="1:4" x14ac:dyDescent="0.2">
      <c r="A28" s="22" t="s">
        <v>8</v>
      </c>
      <c r="B28" s="33" t="s">
        <v>21</v>
      </c>
      <c r="C28" s="34">
        <f>[23]С1.1!E16</f>
        <v>5100</v>
      </c>
      <c r="D28" s="145">
        <f>[23]С1.1!F16</f>
        <v>0</v>
      </c>
    </row>
    <row r="29" spans="1:4" ht="42.75" x14ac:dyDescent="0.2">
      <c r="A29" s="22" t="s">
        <v>10</v>
      </c>
      <c r="B29" s="33" t="s">
        <v>22</v>
      </c>
      <c r="C29" s="34">
        <f>[23]С1.1!E27</f>
        <v>2988.9166666666665</v>
      </c>
      <c r="D29" s="145">
        <f>IF([23]С1.1!E23=[23]С1.1!I9,[23]С1.1!F24,IF([23]С1.1!E23=[23]С1.1!I10,[23]С1.1!I10,IF([23]С1.1!E23=[23]С1.1!I11,[23]С1.3!G9,IF([23]С1.1!E23=[23]С1.1!I12,[23]С1.1!F25,IF([23]С1.1!E23=[23]С1.1!I13,[23]С1.1!F26,"")))))</f>
        <v>0</v>
      </c>
    </row>
    <row r="30" spans="1:4" ht="267.75" x14ac:dyDescent="0.2">
      <c r="A30" s="22" t="s">
        <v>12</v>
      </c>
      <c r="B30" s="33" t="s">
        <v>23</v>
      </c>
      <c r="C30" s="35">
        <f>[23]С1.1!E19</f>
        <v>-0.19900000000000001</v>
      </c>
      <c r="D30" s="145" t="str">
        <f>[23]С1.1!F19</f>
        <v xml:space="preserve">Прогноз социально-экономического развития Российской Федерации на 2023 год и на плановый период 2024 и 2025 годов (размещен на официальном сайте Министерства экономического развития Российской Федерации (далее -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"Добыча полезных ископаемых (Раздел B)", строка "Добыча угля (05)", (показатель "ИЦП") </v>
      </c>
    </row>
    <row r="31" spans="1:4" ht="229.5" x14ac:dyDescent="0.2">
      <c r="A31" s="22" t="s">
        <v>14</v>
      </c>
      <c r="B31" s="33" t="s">
        <v>24</v>
      </c>
      <c r="C31" s="35">
        <f>[23]С1.1!E20</f>
        <v>5.7000000000000002E-2</v>
      </c>
      <c r="D31" s="145" t="str">
        <f>[23]С1.1!F20</f>
        <v xml:space="preserve">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"Добыча полезных ископаемых (Раздел B)", строка "Добыча угля (05)", (показатель "ИЦП") </v>
      </c>
    </row>
    <row r="32" spans="1:4" ht="30" x14ac:dyDescent="0.2">
      <c r="A32" s="22" t="s">
        <v>16</v>
      </c>
      <c r="B32" s="36" t="s">
        <v>25</v>
      </c>
      <c r="C32" s="37">
        <f>[23]С1!F13</f>
        <v>176.4</v>
      </c>
      <c r="D32" s="146" t="s">
        <v>260</v>
      </c>
    </row>
    <row r="33" spans="1:4" x14ac:dyDescent="0.2">
      <c r="A33" s="22" t="s">
        <v>18</v>
      </c>
      <c r="B33" s="36" t="s">
        <v>26</v>
      </c>
      <c r="C33" s="38">
        <f>[23]С1!F16</f>
        <v>7000</v>
      </c>
      <c r="D33" s="147" t="s">
        <v>261</v>
      </c>
    </row>
    <row r="34" spans="1:4" ht="14.25" x14ac:dyDescent="0.2">
      <c r="A34" s="22" t="s">
        <v>27</v>
      </c>
      <c r="B34" s="39" t="s">
        <v>28</v>
      </c>
      <c r="C34" s="40">
        <f>[23]С1!F17</f>
        <v>0.72857142857142854</v>
      </c>
      <c r="D34" s="145"/>
    </row>
    <row r="35" spans="1:4" ht="15.75" x14ac:dyDescent="0.2">
      <c r="A35" s="41" t="s">
        <v>29</v>
      </c>
      <c r="B35" s="42" t="s">
        <v>30</v>
      </c>
      <c r="C35" s="40">
        <f>[23]С1!F20</f>
        <v>21.588411179999994</v>
      </c>
      <c r="D35" s="145"/>
    </row>
    <row r="36" spans="1:4" ht="15.75" x14ac:dyDescent="0.2">
      <c r="A36" s="41" t="s">
        <v>31</v>
      </c>
      <c r="B36" s="43" t="s">
        <v>32</v>
      </c>
      <c r="C36" s="40">
        <f>[23]С1!F21</f>
        <v>20.818139999999996</v>
      </c>
      <c r="D36" s="145"/>
    </row>
    <row r="37" spans="1:4" ht="14.25" x14ac:dyDescent="0.2">
      <c r="A37" s="41" t="s">
        <v>33</v>
      </c>
      <c r="B37" s="44" t="s">
        <v>34</v>
      </c>
      <c r="C37" s="40">
        <f>[23]С1!F22</f>
        <v>1.0369999999999999</v>
      </c>
      <c r="D37" s="145" t="s">
        <v>262</v>
      </c>
    </row>
    <row r="38" spans="1:4" ht="53.25" thickBot="1" x14ac:dyDescent="0.25">
      <c r="A38" s="27" t="s">
        <v>35</v>
      </c>
      <c r="B38" s="45" t="s">
        <v>36</v>
      </c>
      <c r="C38" s="46">
        <f>[23]С1!F23</f>
        <v>1.0469999999999999</v>
      </c>
      <c r="D38" s="148" t="s">
        <v>263</v>
      </c>
    </row>
    <row r="39" spans="1:4" ht="13.5" thickBot="1" x14ac:dyDescent="0.25">
      <c r="A39" s="47"/>
      <c r="B39" s="48"/>
      <c r="C39" s="49"/>
      <c r="D39" s="149"/>
    </row>
    <row r="40" spans="1:4" ht="30" customHeight="1" x14ac:dyDescent="0.2">
      <c r="A40" s="50" t="s">
        <v>37</v>
      </c>
      <c r="B40" s="165" t="s">
        <v>38</v>
      </c>
      <c r="C40" s="165"/>
      <c r="D40" s="170"/>
    </row>
    <row r="41" spans="1:4" ht="25.5" x14ac:dyDescent="0.2">
      <c r="A41" s="22" t="s">
        <v>39</v>
      </c>
      <c r="B41" s="36" t="s">
        <v>40</v>
      </c>
      <c r="C41" s="51" t="str">
        <f>[23]С2.1!E12</f>
        <v>V</v>
      </c>
      <c r="D41" s="145" t="s">
        <v>264</v>
      </c>
    </row>
    <row r="42" spans="1:4" ht="242.25" x14ac:dyDescent="0.2">
      <c r="A42" s="22" t="s">
        <v>41</v>
      </c>
      <c r="B42" s="33" t="s">
        <v>42</v>
      </c>
      <c r="C42" s="51" t="str">
        <f>[23]С2.1!E13</f>
        <v>6 и менее баллов</v>
      </c>
      <c r="D42" s="145" t="str">
        <f>[23]С2.1!F13</f>
        <v xml:space="preserve"> Приложение А (обязательное) "Общее сейсмическое районирование территории Российской Федерации ОСР-2015. Список населенных пунктов Российской Федерации, расположенных в сейсмических районах, с указанием расчетной сейсмической интенсивности в баллах шкалы MSK-64 для средних грунтовых условий и трех степеней сейсмической опасности - A (10%), B (5%), C (1%) в течение 50 лет" к своду правил "СП 14.13330.2018 Строительство в сейсмических районах. Актуализир. редакция СНиП II-7-81".</v>
      </c>
    </row>
    <row r="43" spans="1:4" ht="165.75" x14ac:dyDescent="0.2">
      <c r="A43" s="22" t="s">
        <v>43</v>
      </c>
      <c r="B43" s="33" t="s">
        <v>44</v>
      </c>
      <c r="C43" s="51" t="str">
        <f>[23]С2.1!E14</f>
        <v>от 200 до 500</v>
      </c>
      <c r="D43" s="145" t="str">
        <f>[23]С2.1!F14</f>
        <v>Карта Российской Федерации в масштабе, позволяющем определить расстояние на транспортировку основных средств котельной, определяется как расстояние от границы системы теплоснабжения до границы ближайшего административного центра субъекта РФ с железнодорожным сообщением</v>
      </c>
    </row>
    <row r="44" spans="1:4" ht="25.5" x14ac:dyDescent="0.2">
      <c r="A44" s="22" t="s">
        <v>45</v>
      </c>
      <c r="B44" s="33" t="s">
        <v>46</v>
      </c>
      <c r="C44" s="52" t="str">
        <f>[23]С2.1!E15</f>
        <v>нет</v>
      </c>
      <c r="D44" s="145">
        <f>[23]С2.1!F15</f>
        <v>0</v>
      </c>
    </row>
    <row r="45" spans="1:4" ht="30" x14ac:dyDescent="0.2">
      <c r="A45" s="22" t="s">
        <v>47</v>
      </c>
      <c r="B45" s="33" t="s">
        <v>48</v>
      </c>
      <c r="C45" s="34">
        <f>[23]С2!F18</f>
        <v>35106.652004551666</v>
      </c>
      <c r="D45" s="146"/>
    </row>
    <row r="46" spans="1:4" ht="30" x14ac:dyDescent="0.2">
      <c r="A46" s="22" t="s">
        <v>49</v>
      </c>
      <c r="B46" s="53" t="s">
        <v>50</v>
      </c>
      <c r="C46" s="34">
        <f>IF([23]С2!F19&gt;0,[23]С2!F19,[23]С2!F20)</f>
        <v>23441.524932855718</v>
      </c>
      <c r="D46" s="145"/>
    </row>
    <row r="47" spans="1:4" ht="38.25" x14ac:dyDescent="0.2">
      <c r="A47" s="22" t="s">
        <v>51</v>
      </c>
      <c r="B47" s="54" t="s">
        <v>52</v>
      </c>
      <c r="C47" s="34">
        <f>[23]С2.1!E19</f>
        <v>-38</v>
      </c>
      <c r="D47" s="145" t="str">
        <f>CONCATENATE([23]С2.1!F19,"  ",[23]С2.1!F20)</f>
        <v xml:space="preserve">Схема теплоснабжения (расчетная температура наружного воздуха)  </v>
      </c>
    </row>
    <row r="48" spans="1:4" ht="25.5" x14ac:dyDescent="0.2">
      <c r="A48" s="22" t="s">
        <v>53</v>
      </c>
      <c r="B48" s="54" t="s">
        <v>54</v>
      </c>
      <c r="C48" s="34" t="str">
        <f>[23]С2.1!E22</f>
        <v>нет</v>
      </c>
      <c r="D48" s="150">
        <f>[23]С2.1!F22</f>
        <v>0</v>
      </c>
    </row>
    <row r="49" spans="1:4" ht="38.25" x14ac:dyDescent="0.2">
      <c r="A49" s="22" t="s">
        <v>55</v>
      </c>
      <c r="B49" s="55" t="s">
        <v>56</v>
      </c>
      <c r="C49" s="34">
        <f>[23]С2.2!E10</f>
        <v>1287</v>
      </c>
      <c r="D49" s="145" t="s">
        <v>265</v>
      </c>
    </row>
    <row r="50" spans="1:4" ht="25.5" x14ac:dyDescent="0.2">
      <c r="A50" s="22" t="s">
        <v>57</v>
      </c>
      <c r="B50" s="56" t="s">
        <v>58</v>
      </c>
      <c r="C50" s="34">
        <f>[23]С2.2!E12</f>
        <v>5.97</v>
      </c>
      <c r="D50" s="145" t="s">
        <v>266</v>
      </c>
    </row>
    <row r="51" spans="1:4" ht="52.5" x14ac:dyDescent="0.2">
      <c r="A51" s="22" t="s">
        <v>59</v>
      </c>
      <c r="B51" s="57" t="s">
        <v>60</v>
      </c>
      <c r="C51" s="34">
        <f>[23]С2.2!E13</f>
        <v>1</v>
      </c>
      <c r="D51" s="147" t="s">
        <v>261</v>
      </c>
    </row>
    <row r="52" spans="1:4" ht="27.75" x14ac:dyDescent="0.2">
      <c r="A52" s="22" t="s">
        <v>61</v>
      </c>
      <c r="B52" s="56" t="s">
        <v>62</v>
      </c>
      <c r="C52" s="34">
        <f>[23]С2.2!E14</f>
        <v>12104</v>
      </c>
      <c r="D52" s="145" t="s">
        <v>265</v>
      </c>
    </row>
    <row r="53" spans="1:4" ht="63.75" x14ac:dyDescent="0.2">
      <c r="A53" s="22" t="s">
        <v>63</v>
      </c>
      <c r="B53" s="57" t="s">
        <v>64</v>
      </c>
      <c r="C53" s="35">
        <f>[23]С2.2!E15</f>
        <v>4.8000000000000001E-2</v>
      </c>
      <c r="D53" s="145" t="s">
        <v>267</v>
      </c>
    </row>
    <row r="54" spans="1:4" ht="76.5" x14ac:dyDescent="0.2">
      <c r="A54" s="22" t="s">
        <v>65</v>
      </c>
      <c r="B54" s="57" t="s">
        <v>66</v>
      </c>
      <c r="C54" s="34">
        <f>[23]С2.2!E16</f>
        <v>1</v>
      </c>
      <c r="D54" s="145" t="s">
        <v>268</v>
      </c>
    </row>
    <row r="55" spans="1:4" ht="15.75" x14ac:dyDescent="0.2">
      <c r="A55" s="22" t="s">
        <v>67</v>
      </c>
      <c r="B55" s="58" t="s">
        <v>68</v>
      </c>
      <c r="C55" s="34">
        <f>[23]С2!F21</f>
        <v>1</v>
      </c>
      <c r="D55" s="146" t="s">
        <v>269</v>
      </c>
    </row>
    <row r="56" spans="1:4" ht="30" x14ac:dyDescent="0.2">
      <c r="A56" s="59" t="s">
        <v>69</v>
      </c>
      <c r="B56" s="33" t="s">
        <v>70</v>
      </c>
      <c r="C56" s="34">
        <f>[23]С2!F13</f>
        <v>183796.83936385796</v>
      </c>
      <c r="D56" s="146"/>
    </row>
    <row r="57" spans="1:4" ht="30" x14ac:dyDescent="0.2">
      <c r="A57" s="59" t="s">
        <v>71</v>
      </c>
      <c r="B57" s="58" t="s">
        <v>72</v>
      </c>
      <c r="C57" s="34">
        <f>[23]С2!F14</f>
        <v>113455</v>
      </c>
      <c r="D57" s="146" t="s">
        <v>260</v>
      </c>
    </row>
    <row r="58" spans="1:4" ht="15.75" x14ac:dyDescent="0.2">
      <c r="A58" s="59" t="s">
        <v>73</v>
      </c>
      <c r="B58" s="60" t="s">
        <v>74</v>
      </c>
      <c r="C58" s="40">
        <f>[23]С2!F15</f>
        <v>1.071</v>
      </c>
      <c r="D58" s="146" t="s">
        <v>270</v>
      </c>
    </row>
    <row r="59" spans="1:4" ht="15.75" x14ac:dyDescent="0.2">
      <c r="A59" s="59" t="s">
        <v>75</v>
      </c>
      <c r="B59" s="60" t="s">
        <v>76</v>
      </c>
      <c r="C59" s="40">
        <f>[23]С2!F16</f>
        <v>1</v>
      </c>
      <c r="D59" s="146" t="s">
        <v>269</v>
      </c>
    </row>
    <row r="60" spans="1:4" ht="17.25" x14ac:dyDescent="0.2">
      <c r="A60" s="59" t="s">
        <v>77</v>
      </c>
      <c r="B60" s="58" t="s">
        <v>78</v>
      </c>
      <c r="C60" s="34">
        <f>[23]С2!F17</f>
        <v>1.01</v>
      </c>
      <c r="D60" s="146" t="s">
        <v>271</v>
      </c>
    </row>
    <row r="61" spans="1:4" s="63" customFormat="1" ht="14.25" x14ac:dyDescent="0.2">
      <c r="A61" s="59" t="s">
        <v>79</v>
      </c>
      <c r="B61" s="61" t="s">
        <v>80</v>
      </c>
      <c r="C61" s="62">
        <f>[23]С2!F33</f>
        <v>10</v>
      </c>
      <c r="D61" s="146" t="s">
        <v>272</v>
      </c>
    </row>
    <row r="62" spans="1:4" ht="30" x14ac:dyDescent="0.2">
      <c r="A62" s="59" t="s">
        <v>81</v>
      </c>
      <c r="B62" s="64" t="s">
        <v>82</v>
      </c>
      <c r="C62" s="34">
        <f>[23]С2!F26</f>
        <v>2780.7867618428891</v>
      </c>
      <c r="D62" s="146"/>
    </row>
    <row r="63" spans="1:4" ht="165.75" x14ac:dyDescent="0.2">
      <c r="A63" s="59" t="s">
        <v>83</v>
      </c>
      <c r="B63" s="53" t="s">
        <v>84</v>
      </c>
      <c r="C63" s="34">
        <f>[23]С2!F27</f>
        <v>0.44209422600000003</v>
      </c>
      <c r="D63" s="145" t="str">
        <f>[23]С2.4!F12</f>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
    </row>
    <row r="64" spans="1:4" ht="17.25" x14ac:dyDescent="0.2">
      <c r="A64" s="59" t="s">
        <v>85</v>
      </c>
      <c r="B64" s="58" t="s">
        <v>86</v>
      </c>
      <c r="C64" s="62">
        <f>[23]С2!F28</f>
        <v>4200</v>
      </c>
      <c r="D64" s="146" t="s">
        <v>260</v>
      </c>
    </row>
    <row r="65" spans="1:4" ht="42.75" x14ac:dyDescent="0.2">
      <c r="A65" s="59" t="s">
        <v>87</v>
      </c>
      <c r="B65" s="33" t="s">
        <v>88</v>
      </c>
      <c r="C65" s="34">
        <f>[23]С2!F22</f>
        <v>38698.422798410109</v>
      </c>
      <c r="D65" s="146"/>
    </row>
    <row r="66" spans="1:4" ht="30" x14ac:dyDescent="0.2">
      <c r="A66" s="59" t="s">
        <v>89</v>
      </c>
      <c r="B66" s="60" t="s">
        <v>90</v>
      </c>
      <c r="C66" s="34">
        <f>[23]С2!F23</f>
        <v>1990</v>
      </c>
      <c r="D66" s="145" t="s">
        <v>273</v>
      </c>
    </row>
    <row r="67" spans="1:4" ht="30" x14ac:dyDescent="0.2">
      <c r="A67" s="59" t="s">
        <v>91</v>
      </c>
      <c r="B67" s="53" t="s">
        <v>92</v>
      </c>
      <c r="C67" s="34">
        <f>[23]С2.1!E27</f>
        <v>14307.876789999998</v>
      </c>
      <c r="D67" s="146"/>
    </row>
    <row r="68" spans="1:4" ht="38.25" x14ac:dyDescent="0.2">
      <c r="A68" s="59" t="s">
        <v>93</v>
      </c>
      <c r="B68" s="65" t="s">
        <v>94</v>
      </c>
      <c r="C68" s="52">
        <f>[23]С2.3!E21</f>
        <v>0</v>
      </c>
      <c r="D68" s="145">
        <f>[23]С2.3!F21</f>
        <v>0</v>
      </c>
    </row>
    <row r="69" spans="1:4" ht="25.5" x14ac:dyDescent="0.2">
      <c r="A69" s="59" t="s">
        <v>95</v>
      </c>
      <c r="B69" s="66" t="s">
        <v>96</v>
      </c>
      <c r="C69" s="67">
        <f>[23]С2.3!E11</f>
        <v>9.89</v>
      </c>
      <c r="D69" s="146" t="s">
        <v>274</v>
      </c>
    </row>
    <row r="70" spans="1:4" ht="25.5" x14ac:dyDescent="0.2">
      <c r="A70" s="59" t="s">
        <v>97</v>
      </c>
      <c r="B70" s="66" t="s">
        <v>98</v>
      </c>
      <c r="C70" s="62">
        <f>[23]С2.3!E13</f>
        <v>300</v>
      </c>
      <c r="D70" s="146" t="s">
        <v>274</v>
      </c>
    </row>
    <row r="71" spans="1:4" ht="25.5" x14ac:dyDescent="0.2">
      <c r="A71" s="59" t="s">
        <v>99</v>
      </c>
      <c r="B71" s="65" t="s">
        <v>100</v>
      </c>
      <c r="C71" s="68">
        <f>IF([23]С2.3!E22&gt;0,[23]С2.3!E22,[23]С2.3!E14)</f>
        <v>61211</v>
      </c>
      <c r="D71" s="145" t="str">
        <f>IF(C71=[23]С2.3!E14,"Таблица ТЭП (IV)",[23]С2.3!F22)</f>
        <v>Таблица ТЭП (IV)</v>
      </c>
    </row>
    <row r="72" spans="1:4" ht="38.25" x14ac:dyDescent="0.2">
      <c r="A72" s="59" t="s">
        <v>101</v>
      </c>
      <c r="B72" s="65" t="s">
        <v>102</v>
      </c>
      <c r="C72" s="68">
        <f>IF([23]С2.3!E23&gt;0,[23]С2.3!E23,[23]С2.3!E15)</f>
        <v>45675</v>
      </c>
      <c r="D72" s="145" t="str">
        <f>IF(C72=[23]С2.3!E15,"Таблица ТЭП (IV)",[23]С2.3!F23)</f>
        <v>Таблица ТЭП (IV)</v>
      </c>
    </row>
    <row r="73" spans="1:4" ht="30" x14ac:dyDescent="0.2">
      <c r="A73" s="59" t="s">
        <v>103</v>
      </c>
      <c r="B73" s="53" t="s">
        <v>104</v>
      </c>
      <c r="C73" s="34">
        <f>[23]С2.1!E28</f>
        <v>9541.9567200000001</v>
      </c>
      <c r="D73" s="146"/>
    </row>
    <row r="74" spans="1:4" ht="38.25" x14ac:dyDescent="0.2">
      <c r="A74" s="59" t="s">
        <v>105</v>
      </c>
      <c r="B74" s="65" t="s">
        <v>106</v>
      </c>
      <c r="C74" s="52">
        <f>[23]С2.3!E25</f>
        <v>0</v>
      </c>
      <c r="D74" s="145">
        <f>[23]С2.3!F25</f>
        <v>0</v>
      </c>
    </row>
    <row r="75" spans="1:4" ht="25.5" x14ac:dyDescent="0.2">
      <c r="A75" s="59" t="s">
        <v>107</v>
      </c>
      <c r="B75" s="66" t="s">
        <v>108</v>
      </c>
      <c r="C75" s="67">
        <f>[23]С2.3!E12</f>
        <v>0.56000000000000005</v>
      </c>
      <c r="D75" s="146" t="s">
        <v>274</v>
      </c>
    </row>
    <row r="76" spans="1:4" ht="25.5" x14ac:dyDescent="0.2">
      <c r="A76" s="59" t="s">
        <v>109</v>
      </c>
      <c r="B76" s="66" t="s">
        <v>98</v>
      </c>
      <c r="C76" s="62">
        <f>[23]С2.3!E13</f>
        <v>300</v>
      </c>
      <c r="D76" s="146" t="s">
        <v>274</v>
      </c>
    </row>
    <row r="77" spans="1:4" ht="25.5" x14ac:dyDescent="0.2">
      <c r="A77" s="59" t="s">
        <v>110</v>
      </c>
      <c r="B77" s="69" t="s">
        <v>111</v>
      </c>
      <c r="C77" s="68">
        <f>IF([23]С2.3!E26&gt;0,[23]С2.3!E26,[23]С2.3!E16)</f>
        <v>65637</v>
      </c>
      <c r="D77" s="145" t="str">
        <f>IF(C77=[23]С2.3!E16,"Таблица ТЭП (IV)",[23]С2.3!F26)</f>
        <v>Таблица ТЭП (IV)</v>
      </c>
    </row>
    <row r="78" spans="1:4" ht="38.25" x14ac:dyDescent="0.2">
      <c r="A78" s="59" t="s">
        <v>112</v>
      </c>
      <c r="B78" s="69" t="s">
        <v>113</v>
      </c>
      <c r="C78" s="68">
        <f>IF([23]С2.3!E27&gt;0,[23]С2.3!E27,[23]С2.3!E17)</f>
        <v>31684</v>
      </c>
      <c r="D78" s="145" t="str">
        <f>IF(C78=[23]С2.3!E17,"Таблица ТЭП (IV)",[23]С2.3!F27)</f>
        <v>Таблица ТЭП (IV)</v>
      </c>
    </row>
    <row r="79" spans="1:4" ht="17.25" x14ac:dyDescent="0.2">
      <c r="A79" s="59" t="s">
        <v>114</v>
      </c>
      <c r="B79" s="33" t="s">
        <v>115</v>
      </c>
      <c r="C79" s="35">
        <f>[23]С2!F29</f>
        <v>9.5962865259740182E-2</v>
      </c>
      <c r="D79" s="151"/>
    </row>
    <row r="80" spans="1:4" ht="30" x14ac:dyDescent="0.2">
      <c r="A80" s="59" t="s">
        <v>116</v>
      </c>
      <c r="B80" s="53" t="s">
        <v>117</v>
      </c>
      <c r="C80" s="70">
        <f>[23]С2!F30</f>
        <v>8.4029304029304031E-2</v>
      </c>
      <c r="D80" s="152" t="str">
        <f>[23]С2.6!G11</f>
        <v>Информация с официального сайта Банка России</v>
      </c>
    </row>
    <row r="81" spans="1:4" ht="17.25" x14ac:dyDescent="0.2">
      <c r="A81" s="59" t="s">
        <v>118</v>
      </c>
      <c r="B81" s="71" t="s">
        <v>119</v>
      </c>
      <c r="C81" s="35">
        <f>[23]С2!F31</f>
        <v>0.13880000000000001</v>
      </c>
      <c r="D81" s="146" t="s">
        <v>272</v>
      </c>
    </row>
    <row r="82" spans="1:4" s="63" customFormat="1" ht="18" thickBot="1" x14ac:dyDescent="0.25">
      <c r="A82" s="72" t="s">
        <v>120</v>
      </c>
      <c r="B82" s="73" t="s">
        <v>121</v>
      </c>
      <c r="C82" s="74">
        <f>[23]С2!F32</f>
        <v>0.12640000000000001</v>
      </c>
      <c r="D82" s="153" t="s">
        <v>272</v>
      </c>
    </row>
    <row r="83" spans="1:4" ht="13.5" thickBot="1" x14ac:dyDescent="0.25">
      <c r="A83" s="47"/>
      <c r="B83" s="75"/>
      <c r="C83" s="15"/>
      <c r="D83" s="154"/>
    </row>
    <row r="84" spans="1:4" s="63" customFormat="1" ht="30" customHeight="1" x14ac:dyDescent="0.2">
      <c r="A84" s="76" t="s">
        <v>122</v>
      </c>
      <c r="B84" s="165" t="s">
        <v>123</v>
      </c>
      <c r="C84" s="165"/>
      <c r="D84" s="170"/>
    </row>
    <row r="85" spans="1:4" s="63" customFormat="1" ht="30" x14ac:dyDescent="0.2">
      <c r="A85" s="77" t="s">
        <v>124</v>
      </c>
      <c r="B85" s="33" t="s">
        <v>125</v>
      </c>
      <c r="C85" s="34">
        <f>[23]С3!F14</f>
        <v>6117.6201782637581</v>
      </c>
      <c r="D85" s="145"/>
    </row>
    <row r="86" spans="1:4" s="63" customFormat="1" ht="42.75" x14ac:dyDescent="0.2">
      <c r="A86" s="77" t="s">
        <v>126</v>
      </c>
      <c r="B86" s="53" t="s">
        <v>127</v>
      </c>
      <c r="C86" s="78">
        <f>[23]С3!F15</f>
        <v>0.2</v>
      </c>
      <c r="D86" s="145">
        <f>[23]С3.1!F12</f>
        <v>0</v>
      </c>
    </row>
    <row r="87" spans="1:4" s="63" customFormat="1" ht="14.25" x14ac:dyDescent="0.2">
      <c r="A87" s="77" t="s">
        <v>128</v>
      </c>
      <c r="B87" s="79" t="s">
        <v>129</v>
      </c>
      <c r="C87" s="62">
        <f>[23]С3!F18</f>
        <v>15</v>
      </c>
      <c r="D87" s="145" t="s">
        <v>272</v>
      </c>
    </row>
    <row r="88" spans="1:4" s="63" customFormat="1" ht="17.25" x14ac:dyDescent="0.2">
      <c r="A88" s="77" t="s">
        <v>130</v>
      </c>
      <c r="B88" s="33" t="s">
        <v>131</v>
      </c>
      <c r="C88" s="34">
        <f>[23]С3!F19</f>
        <v>3778.1614077800232</v>
      </c>
      <c r="D88" s="145"/>
    </row>
    <row r="89" spans="1:4" s="63" customFormat="1" ht="55.5" x14ac:dyDescent="0.2">
      <c r="A89" s="77" t="s">
        <v>132</v>
      </c>
      <c r="B89" s="53" t="s">
        <v>133</v>
      </c>
      <c r="C89" s="80">
        <f>[23]С3!F20</f>
        <v>2.1999999999999999E-2</v>
      </c>
      <c r="D89" s="145">
        <f>[23]С3.1!F13</f>
        <v>0</v>
      </c>
    </row>
    <row r="90" spans="1:4" s="63" customFormat="1" ht="14.25" x14ac:dyDescent="0.2">
      <c r="A90" s="77" t="s">
        <v>134</v>
      </c>
      <c r="B90" s="58" t="s">
        <v>80</v>
      </c>
      <c r="C90" s="62">
        <f>[23]С3!F21</f>
        <v>10</v>
      </c>
      <c r="D90" s="145" t="s">
        <v>272</v>
      </c>
    </row>
    <row r="91" spans="1:4" s="63" customFormat="1" ht="17.25" x14ac:dyDescent="0.2">
      <c r="A91" s="77" t="s">
        <v>135</v>
      </c>
      <c r="B91" s="33" t="s">
        <v>136</v>
      </c>
      <c r="C91" s="34">
        <f>[23]С3!F22</f>
        <v>8.3423602855286667</v>
      </c>
      <c r="D91" s="145"/>
    </row>
    <row r="92" spans="1:4" s="63" customFormat="1" ht="55.5" x14ac:dyDescent="0.2">
      <c r="A92" s="77" t="s">
        <v>137</v>
      </c>
      <c r="B92" s="53" t="s">
        <v>138</v>
      </c>
      <c r="C92" s="80">
        <f>[23]С3!F23</f>
        <v>3.0000000000000001E-3</v>
      </c>
      <c r="D92" s="145">
        <f>[23]С3.1!F14</f>
        <v>0</v>
      </c>
    </row>
    <row r="93" spans="1:4" s="63" customFormat="1" ht="27.75" thickBot="1" x14ac:dyDescent="0.25">
      <c r="A93" s="81" t="s">
        <v>139</v>
      </c>
      <c r="B93" s="82" t="s">
        <v>140</v>
      </c>
      <c r="C93" s="83">
        <f>[23]С3!F24</f>
        <v>2780.7867618428891</v>
      </c>
      <c r="D93" s="148"/>
    </row>
    <row r="94" spans="1:4" ht="13.5" thickBot="1" x14ac:dyDescent="0.25">
      <c r="A94" s="47"/>
      <c r="B94" s="75"/>
      <c r="C94" s="15"/>
      <c r="D94" s="154"/>
    </row>
    <row r="95" spans="1:4" ht="30" customHeight="1" x14ac:dyDescent="0.2">
      <c r="A95" s="84" t="s">
        <v>141</v>
      </c>
      <c r="B95" s="165" t="s">
        <v>142</v>
      </c>
      <c r="C95" s="165"/>
      <c r="D95" s="170"/>
    </row>
    <row r="96" spans="1:4" ht="30" x14ac:dyDescent="0.2">
      <c r="A96" s="59" t="s">
        <v>143</v>
      </c>
      <c r="B96" s="33" t="s">
        <v>144</v>
      </c>
      <c r="C96" s="34">
        <f>[23]С4!F16</f>
        <v>1652.5</v>
      </c>
      <c r="D96" s="145"/>
    </row>
    <row r="97" spans="1:4" ht="30" x14ac:dyDescent="0.2">
      <c r="A97" s="59" t="s">
        <v>145</v>
      </c>
      <c r="B97" s="58" t="s">
        <v>146</v>
      </c>
      <c r="C97" s="34">
        <f>[23]С4!F17</f>
        <v>73547</v>
      </c>
      <c r="D97" s="145" t="s">
        <v>260</v>
      </c>
    </row>
    <row r="98" spans="1:4" ht="17.25" x14ac:dyDescent="0.2">
      <c r="A98" s="59" t="s">
        <v>147</v>
      </c>
      <c r="B98" s="58" t="s">
        <v>148</v>
      </c>
      <c r="C98" s="40">
        <f>[23]С4!F18</f>
        <v>0.02</v>
      </c>
      <c r="D98" s="145" t="s">
        <v>260</v>
      </c>
    </row>
    <row r="99" spans="1:4" ht="30" x14ac:dyDescent="0.2">
      <c r="A99" s="59" t="s">
        <v>149</v>
      </c>
      <c r="B99" s="58" t="s">
        <v>150</v>
      </c>
      <c r="C99" s="34">
        <f>[23]С4!F19</f>
        <v>12104</v>
      </c>
      <c r="D99" s="145" t="s">
        <v>275</v>
      </c>
    </row>
    <row r="100" spans="1:4" ht="31.5" x14ac:dyDescent="0.2">
      <c r="A100" s="59" t="s">
        <v>151</v>
      </c>
      <c r="B100" s="58" t="s">
        <v>152</v>
      </c>
      <c r="C100" s="40">
        <f>[23]С4!F20</f>
        <v>1.4999999999999999E-2</v>
      </c>
      <c r="D100" s="145" t="s">
        <v>275</v>
      </c>
    </row>
    <row r="101" spans="1:4" ht="30" x14ac:dyDescent="0.2">
      <c r="A101" s="59" t="s">
        <v>153</v>
      </c>
      <c r="B101" s="33" t="s">
        <v>154</v>
      </c>
      <c r="C101" s="34">
        <f>[23]С4!F21</f>
        <v>1933.1949342509995</v>
      </c>
      <c r="D101" s="145"/>
    </row>
    <row r="102" spans="1:4" ht="24" customHeight="1" x14ac:dyDescent="0.2">
      <c r="A102" s="59" t="s">
        <v>155</v>
      </c>
      <c r="B102" s="53" t="s">
        <v>156</v>
      </c>
      <c r="C102" s="85">
        <f>IF([23]С4.2!F8="да",[23]С4.2!D21,[23]С4.2!D15)</f>
        <v>0</v>
      </c>
      <c r="D102" s="145"/>
    </row>
    <row r="103" spans="1:4" ht="68.25" x14ac:dyDescent="0.2">
      <c r="A103" s="59" t="s">
        <v>157</v>
      </c>
      <c r="B103" s="53" t="s">
        <v>158</v>
      </c>
      <c r="C103" s="34">
        <f>[23]С4!F22</f>
        <v>3.6112641666666665</v>
      </c>
      <c r="D103" s="145">
        <f>IF([23]С4.2!F8="да",[23]С4.2!E21,[23]С4.2!E15)</f>
        <v>0</v>
      </c>
    </row>
    <row r="104" spans="1:4" ht="30" x14ac:dyDescent="0.2">
      <c r="A104" s="59" t="s">
        <v>159</v>
      </c>
      <c r="B104" s="58" t="s">
        <v>160</v>
      </c>
      <c r="C104" s="34">
        <f>[23]С4!F23</f>
        <v>180</v>
      </c>
      <c r="D104" s="145" t="s">
        <v>273</v>
      </c>
    </row>
    <row r="105" spans="1:4" ht="14.25" x14ac:dyDescent="0.2">
      <c r="A105" s="59" t="s">
        <v>161</v>
      </c>
      <c r="B105" s="53" t="s">
        <v>162</v>
      </c>
      <c r="C105" s="34">
        <f>[23]С4!F24</f>
        <v>8497.1999999999989</v>
      </c>
      <c r="D105" s="145" t="s">
        <v>260</v>
      </c>
    </row>
    <row r="106" spans="1:4" ht="14.25" x14ac:dyDescent="0.2">
      <c r="A106" s="59" t="s">
        <v>163</v>
      </c>
      <c r="B106" s="58" t="s">
        <v>164</v>
      </c>
      <c r="C106" s="40">
        <f>[23]С4!F25</f>
        <v>0.35</v>
      </c>
      <c r="D106" s="145" t="s">
        <v>276</v>
      </c>
    </row>
    <row r="107" spans="1:4" ht="17.25" x14ac:dyDescent="0.2">
      <c r="A107" s="59" t="s">
        <v>165</v>
      </c>
      <c r="B107" s="33" t="s">
        <v>166</v>
      </c>
      <c r="C107" s="34">
        <f>[23]С4!F26</f>
        <v>85.988129999999998</v>
      </c>
      <c r="D107" s="145"/>
    </row>
    <row r="108" spans="1:4" ht="25.5" x14ac:dyDescent="0.2">
      <c r="A108" s="59" t="s">
        <v>167</v>
      </c>
      <c r="B108" s="53" t="s">
        <v>94</v>
      </c>
      <c r="C108" s="85">
        <f>[23]С4.3!E16</f>
        <v>0</v>
      </c>
      <c r="D108" s="145">
        <f>[23]С4.3!F16</f>
        <v>0</v>
      </c>
    </row>
    <row r="109" spans="1:4" ht="25.5" x14ac:dyDescent="0.2">
      <c r="A109" s="59" t="s">
        <v>168</v>
      </c>
      <c r="B109" s="53" t="s">
        <v>169</v>
      </c>
      <c r="C109" s="34">
        <f>[23]С4.3!E17</f>
        <v>20.350000000000001</v>
      </c>
      <c r="D109" s="150">
        <f>[23]С4.3!F17</f>
        <v>0</v>
      </c>
    </row>
    <row r="110" spans="1:4" ht="38.25" x14ac:dyDescent="0.2">
      <c r="A110" s="59" t="s">
        <v>170</v>
      </c>
      <c r="B110" s="53" t="s">
        <v>106</v>
      </c>
      <c r="C110" s="85">
        <f>[23]С4.3!E18</f>
        <v>0</v>
      </c>
      <c r="D110" s="145">
        <f>[23]С4.3!F18</f>
        <v>0</v>
      </c>
    </row>
    <row r="111" spans="1:4" x14ac:dyDescent="0.2">
      <c r="A111" s="59" t="s">
        <v>171</v>
      </c>
      <c r="B111" s="53" t="s">
        <v>172</v>
      </c>
      <c r="C111" s="34">
        <f>[23]С4.3!E19</f>
        <v>71.67</v>
      </c>
      <c r="D111" s="150">
        <f>[23]С4.3!F19</f>
        <v>0</v>
      </c>
    </row>
    <row r="112" spans="1:4" x14ac:dyDescent="0.2">
      <c r="A112" s="59" t="s">
        <v>173</v>
      </c>
      <c r="B112" s="58" t="s">
        <v>174</v>
      </c>
      <c r="C112" s="34">
        <f>[23]С4.3!E11</f>
        <v>1871</v>
      </c>
      <c r="D112" s="145" t="s">
        <v>260</v>
      </c>
    </row>
    <row r="113" spans="1:4" x14ac:dyDescent="0.2">
      <c r="A113" s="59" t="s">
        <v>175</v>
      </c>
      <c r="B113" s="58" t="s">
        <v>176</v>
      </c>
      <c r="C113" s="52">
        <f>[23]С4.3!E12</f>
        <v>1636</v>
      </c>
      <c r="D113" s="145" t="s">
        <v>260</v>
      </c>
    </row>
    <row r="114" spans="1:4" x14ac:dyDescent="0.2">
      <c r="A114" s="59" t="s">
        <v>177</v>
      </c>
      <c r="B114" s="58" t="s">
        <v>178</v>
      </c>
      <c r="C114" s="52">
        <f>[23]С4.3!E13</f>
        <v>204</v>
      </c>
      <c r="D114" s="145" t="s">
        <v>260</v>
      </c>
    </row>
    <row r="115" spans="1:4" ht="30" x14ac:dyDescent="0.2">
      <c r="A115" s="59" t="s">
        <v>179</v>
      </c>
      <c r="B115" s="33" t="s">
        <v>180</v>
      </c>
      <c r="C115" s="34">
        <f>[23]С4!F27</f>
        <v>1291.2863994686898</v>
      </c>
      <c r="D115" s="145"/>
    </row>
    <row r="116" spans="1:4" ht="25.5" x14ac:dyDescent="0.2">
      <c r="A116" s="59" t="s">
        <v>181</v>
      </c>
      <c r="B116" s="53" t="s">
        <v>182</v>
      </c>
      <c r="C116" s="34">
        <f>[23]С4!F28</f>
        <v>991.77142816335618</v>
      </c>
      <c r="D116" s="150"/>
    </row>
    <row r="117" spans="1:4" ht="42.75" x14ac:dyDescent="0.2">
      <c r="A117" s="59" t="s">
        <v>183</v>
      </c>
      <c r="B117" s="53" t="s">
        <v>184</v>
      </c>
      <c r="C117" s="34">
        <f>[23]С4!F29</f>
        <v>299.51497130533357</v>
      </c>
      <c r="D117" s="145"/>
    </row>
    <row r="118" spans="1:4" ht="30" x14ac:dyDescent="0.2">
      <c r="A118" s="59" t="s">
        <v>185</v>
      </c>
      <c r="B118" s="39" t="s">
        <v>186</v>
      </c>
      <c r="C118" s="34">
        <f>[23]С4!F30</f>
        <v>1708.5430685767656</v>
      </c>
      <c r="D118" s="145"/>
    </row>
    <row r="119" spans="1:4" ht="42.75" x14ac:dyDescent="0.2">
      <c r="A119" s="59" t="s">
        <v>187</v>
      </c>
      <c r="B119" s="86" t="s">
        <v>188</v>
      </c>
      <c r="C119" s="34">
        <f>[23]С4!F33</f>
        <v>986.46332023711193</v>
      </c>
      <c r="D119" s="145"/>
    </row>
    <row r="120" spans="1:4" ht="30" x14ac:dyDescent="0.2">
      <c r="A120" s="59" t="s">
        <v>189</v>
      </c>
      <c r="B120" s="87" t="s">
        <v>190</v>
      </c>
      <c r="C120" s="34">
        <f>[23]С4!F35</f>
        <v>17.040680999999999</v>
      </c>
      <c r="D120" s="150"/>
    </row>
    <row r="121" spans="1:4" ht="14.25" x14ac:dyDescent="0.2">
      <c r="A121" s="59" t="s">
        <v>191</v>
      </c>
      <c r="B121" s="56" t="s">
        <v>192</v>
      </c>
      <c r="C121" s="34">
        <f>[23]С4!F36</f>
        <v>14319.9</v>
      </c>
      <c r="D121" s="145" t="s">
        <v>277</v>
      </c>
    </row>
    <row r="122" spans="1:4" ht="28.5" thickBot="1" x14ac:dyDescent="0.25">
      <c r="A122" s="72" t="s">
        <v>193</v>
      </c>
      <c r="B122" s="88" t="s">
        <v>194</v>
      </c>
      <c r="C122" s="83">
        <f>[23]С4!F37</f>
        <v>1.19</v>
      </c>
      <c r="D122" s="148" t="str">
        <f>[23]С4.1!F12</f>
        <v>пп № 274 от 01.03.2022</v>
      </c>
    </row>
    <row r="123" spans="1:4" s="89" customFormat="1" ht="13.5" thickBot="1" x14ac:dyDescent="0.25">
      <c r="A123" s="47"/>
      <c r="B123" s="75"/>
      <c r="C123" s="15"/>
      <c r="D123" s="154"/>
    </row>
    <row r="124" spans="1:4" s="63" customFormat="1" ht="30" customHeight="1" x14ac:dyDescent="0.2">
      <c r="A124" s="76" t="s">
        <v>195</v>
      </c>
      <c r="B124" s="165" t="s">
        <v>196</v>
      </c>
      <c r="C124" s="165"/>
      <c r="D124" s="170"/>
    </row>
    <row r="125" spans="1:4" ht="16.5" thickBot="1" x14ac:dyDescent="0.25">
      <c r="A125" s="27" t="s">
        <v>197</v>
      </c>
      <c r="B125" s="90" t="s">
        <v>198</v>
      </c>
      <c r="C125" s="83">
        <f>[23]С5!F17</f>
        <v>0.02</v>
      </c>
      <c r="D125" s="155" t="s">
        <v>261</v>
      </c>
    </row>
    <row r="126" spans="1:4" s="89" customFormat="1" ht="13.5" thickBot="1" x14ac:dyDescent="0.25">
      <c r="A126" s="47"/>
      <c r="B126" s="75"/>
      <c r="C126" s="15"/>
      <c r="D126" s="154"/>
    </row>
    <row r="127" spans="1:4" ht="42.75" customHeight="1" x14ac:dyDescent="0.2">
      <c r="A127" s="84" t="s">
        <v>199</v>
      </c>
      <c r="B127" s="166" t="s">
        <v>200</v>
      </c>
      <c r="C127" s="166"/>
      <c r="D127" s="171"/>
    </row>
    <row r="128" spans="1:4" ht="68.25" x14ac:dyDescent="0.2">
      <c r="A128" s="59" t="s">
        <v>201</v>
      </c>
      <c r="B128" s="91" t="s">
        <v>202</v>
      </c>
      <c r="C128" s="34" t="s">
        <v>203</v>
      </c>
      <c r="D128" s="146" t="s">
        <v>261</v>
      </c>
    </row>
    <row r="129" spans="1:5" ht="42.75" hidden="1" x14ac:dyDescent="0.2">
      <c r="A129" s="59" t="s">
        <v>204</v>
      </c>
      <c r="B129" s="86" t="s">
        <v>205</v>
      </c>
      <c r="C129" s="92"/>
      <c r="D129" s="145"/>
    </row>
    <row r="130" spans="1:5" ht="69" thickBot="1" x14ac:dyDescent="0.25">
      <c r="A130" s="72" t="s">
        <v>206</v>
      </c>
      <c r="B130" s="93" t="s">
        <v>207</v>
      </c>
      <c r="C130" s="94" t="s">
        <v>203</v>
      </c>
      <c r="D130" s="153" t="s">
        <v>261</v>
      </c>
    </row>
    <row r="131" spans="1:5" ht="62.25" hidden="1" customHeight="1" x14ac:dyDescent="0.2">
      <c r="A131" s="95" t="s">
        <v>208</v>
      </c>
      <c r="B131" s="96" t="s">
        <v>209</v>
      </c>
      <c r="C131" s="97"/>
      <c r="D131" s="156"/>
    </row>
    <row r="132" spans="1:5" ht="68.25" hidden="1" x14ac:dyDescent="0.2">
      <c r="A132" s="59" t="s">
        <v>210</v>
      </c>
      <c r="B132" s="86" t="s">
        <v>211</v>
      </c>
      <c r="C132" s="35"/>
      <c r="D132" s="145"/>
    </row>
    <row r="133" spans="1:5" ht="69" hidden="1" thickBot="1" x14ac:dyDescent="0.25">
      <c r="A133" s="72" t="s">
        <v>212</v>
      </c>
      <c r="B133" s="98" t="s">
        <v>213</v>
      </c>
      <c r="C133" s="74"/>
      <c r="D133" s="148"/>
    </row>
    <row r="134" spans="1:5" s="89" customFormat="1" ht="13.5" thickBot="1" x14ac:dyDescent="0.25">
      <c r="A134" s="47"/>
      <c r="B134" s="75"/>
      <c r="C134" s="15"/>
      <c r="D134" s="154"/>
    </row>
    <row r="135" spans="1:5" ht="26.25" customHeight="1" x14ac:dyDescent="0.2">
      <c r="A135" s="84" t="s">
        <v>214</v>
      </c>
      <c r="B135" s="99" t="s">
        <v>215</v>
      </c>
      <c r="C135" s="100">
        <f>[23]С2!F37</f>
        <v>20.818139999999996</v>
      </c>
      <c r="D135" s="157"/>
    </row>
    <row r="136" spans="1:5" ht="14.25" x14ac:dyDescent="0.2">
      <c r="A136" s="59" t="s">
        <v>216</v>
      </c>
      <c r="B136" s="101" t="s">
        <v>217</v>
      </c>
      <c r="C136" s="34">
        <f>[23]С2!F38</f>
        <v>7</v>
      </c>
      <c r="D136" s="145" t="s">
        <v>260</v>
      </c>
    </row>
    <row r="137" spans="1:5" ht="17.25" x14ac:dyDescent="0.2">
      <c r="A137" s="59" t="s">
        <v>218</v>
      </c>
      <c r="B137" s="101" t="s">
        <v>219</v>
      </c>
      <c r="C137" s="34">
        <f>[23]С2!F40</f>
        <v>0.97</v>
      </c>
      <c r="D137" s="145" t="s">
        <v>260</v>
      </c>
    </row>
    <row r="138" spans="1:5" ht="15" thickBot="1" x14ac:dyDescent="0.25">
      <c r="A138" s="72" t="s">
        <v>220</v>
      </c>
      <c r="B138" s="102" t="s">
        <v>221</v>
      </c>
      <c r="C138" s="46">
        <f>[23]С2!F42</f>
        <v>0.35</v>
      </c>
      <c r="D138" s="148" t="s">
        <v>276</v>
      </c>
    </row>
    <row r="139" spans="1:5" s="89" customFormat="1" ht="13.5" thickBot="1" x14ac:dyDescent="0.25">
      <c r="A139" s="47"/>
      <c r="B139" s="75"/>
      <c r="C139" s="15"/>
      <c r="D139" s="154"/>
    </row>
    <row r="140" spans="1:5" ht="409.5" x14ac:dyDescent="0.2">
      <c r="A140" s="84" t="s">
        <v>222</v>
      </c>
      <c r="B140" s="103" t="s">
        <v>223</v>
      </c>
      <c r="C140" s="104">
        <f>[23]С2!F35</f>
        <v>1.4976266307379205</v>
      </c>
      <c r="D140" s="158" t="str">
        <f>[23]С2.5!D15</f>
        <v>на 2020: Прогноз социально-экономического развития Российской Федерации на 2022 год и на плановый период 2023 и 2024 годов (размещен на официальном сайте Минэкономразвития России 30.09.2021): файл в формате Microsoft Excel «12. Дефляторы базовый», таблица «Прогноз индексов цен производителей и индексов-дефляторов по видам экономической деятельности, в % г/г (Базовый вариант)», отрасль «Промышленность (BСDE)», (показатель «ИЦП»)
на 2021-2023 годы: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отрасль «Промышленность (BСDE)», (показатель «ИЦП»)</v>
      </c>
      <c r="E140" s="89"/>
    </row>
    <row r="141" spans="1:5" ht="22.7" customHeight="1" thickBot="1" x14ac:dyDescent="0.25">
      <c r="A141" s="72" t="s">
        <v>224</v>
      </c>
      <c r="B141" s="161" t="s">
        <v>225</v>
      </c>
      <c r="C141" s="161"/>
      <c r="D141" s="168"/>
      <c r="E141" s="89"/>
    </row>
    <row r="142" spans="1:5" ht="13.5" thickBot="1" x14ac:dyDescent="0.25">
      <c r="A142" s="105"/>
      <c r="B142" s="106" t="s">
        <v>226</v>
      </c>
      <c r="C142" s="107"/>
      <c r="D142" s="142"/>
      <c r="E142" s="89"/>
    </row>
    <row r="143" spans="1:5" x14ac:dyDescent="0.2">
      <c r="A143" s="105"/>
      <c r="B143" s="108">
        <v>2020</v>
      </c>
      <c r="C143" s="109">
        <f>[23]С2.5!$E$11</f>
        <v>-2.9000000000000026E-2</v>
      </c>
      <c r="D143" s="142"/>
      <c r="E143" s="89"/>
    </row>
    <row r="144" spans="1:5" x14ac:dyDescent="0.2">
      <c r="A144" s="105"/>
      <c r="B144" s="110">
        <f>B143+1</f>
        <v>2021</v>
      </c>
      <c r="C144" s="111">
        <f>[23]С2.5!$F$11</f>
        <v>0.245</v>
      </c>
      <c r="D144" s="142"/>
      <c r="E144" s="89"/>
    </row>
    <row r="145" spans="1:5" x14ac:dyDescent="0.2">
      <c r="A145" s="105"/>
      <c r="B145" s="110">
        <f t="shared" ref="B145:B208" si="0">B144+1</f>
        <v>2022</v>
      </c>
      <c r="C145" s="111">
        <f>[23]С2.5!$G$11</f>
        <v>0.114</v>
      </c>
      <c r="D145" s="142"/>
      <c r="E145" s="89"/>
    </row>
    <row r="146" spans="1:5" ht="13.5" thickBot="1" x14ac:dyDescent="0.25">
      <c r="A146" s="105"/>
      <c r="B146" s="112">
        <f t="shared" si="0"/>
        <v>2023</v>
      </c>
      <c r="C146" s="113">
        <f>[23]С2.5!$H$11</f>
        <v>2.4E-2</v>
      </c>
      <c r="D146" s="142"/>
      <c r="E146" s="89"/>
    </row>
    <row r="147" spans="1:5" x14ac:dyDescent="0.2">
      <c r="A147" s="105"/>
      <c r="B147" s="114">
        <f t="shared" si="0"/>
        <v>2024</v>
      </c>
      <c r="C147" s="115">
        <f>[23]С2.5!$I$11</f>
        <v>8.5999999999999993E-2</v>
      </c>
      <c r="D147" s="142"/>
      <c r="E147" s="89"/>
    </row>
    <row r="148" spans="1:5" hidden="1" x14ac:dyDescent="0.2">
      <c r="A148" s="105"/>
      <c r="B148" s="110">
        <f t="shared" si="0"/>
        <v>2025</v>
      </c>
      <c r="C148" s="111">
        <f>[23]С2.5!$J$11</f>
        <v>0.21215960863291</v>
      </c>
      <c r="D148" s="142"/>
      <c r="E148" s="89"/>
    </row>
    <row r="149" spans="1:5" hidden="1" x14ac:dyDescent="0.2">
      <c r="A149" s="105"/>
      <c r="B149" s="110">
        <f t="shared" si="0"/>
        <v>2026</v>
      </c>
      <c r="C149" s="111">
        <f>[23]С2.5!$K$11</f>
        <v>3.5813361771260002E-2</v>
      </c>
      <c r="D149" s="142"/>
      <c r="E149" s="89"/>
    </row>
    <row r="150" spans="1:5" hidden="1" x14ac:dyDescent="0.2">
      <c r="A150" s="105"/>
      <c r="B150" s="110">
        <f t="shared" si="0"/>
        <v>2027</v>
      </c>
      <c r="C150" s="111">
        <f>[23]С2.5!$L$11</f>
        <v>3.2682303599220003E-2</v>
      </c>
      <c r="D150" s="142"/>
      <c r="E150" s="89"/>
    </row>
    <row r="151" spans="1:5" hidden="1" x14ac:dyDescent="0.2">
      <c r="A151" s="105"/>
      <c r="B151" s="110">
        <f t="shared" si="0"/>
        <v>2028</v>
      </c>
      <c r="C151" s="111">
        <f>[23]С2.5!$M$11</f>
        <v>0</v>
      </c>
      <c r="D151" s="142"/>
      <c r="E151" s="89"/>
    </row>
    <row r="152" spans="1:5" hidden="1" x14ac:dyDescent="0.2">
      <c r="A152" s="105"/>
      <c r="B152" s="110">
        <f t="shared" si="0"/>
        <v>2029</v>
      </c>
      <c r="C152" s="111">
        <f>[23]С2.5!$N$11</f>
        <v>0</v>
      </c>
      <c r="D152" s="142"/>
      <c r="E152" s="89"/>
    </row>
    <row r="153" spans="1:5" hidden="1" x14ac:dyDescent="0.2">
      <c r="A153" s="105"/>
      <c r="B153" s="110">
        <f t="shared" si="0"/>
        <v>2030</v>
      </c>
      <c r="C153" s="111">
        <f>[23]С2.5!$O$11</f>
        <v>0</v>
      </c>
      <c r="D153" s="142"/>
      <c r="E153" s="89"/>
    </row>
    <row r="154" spans="1:5" hidden="1" x14ac:dyDescent="0.2">
      <c r="A154" s="105"/>
      <c r="B154" s="110">
        <f t="shared" si="0"/>
        <v>2031</v>
      </c>
      <c r="C154" s="111">
        <f>[23]С2.5!$P$11</f>
        <v>0</v>
      </c>
      <c r="D154" s="142"/>
      <c r="E154" s="89"/>
    </row>
    <row r="155" spans="1:5" hidden="1" x14ac:dyDescent="0.2">
      <c r="A155" s="89"/>
      <c r="B155" s="110">
        <f t="shared" si="0"/>
        <v>2032</v>
      </c>
      <c r="C155" s="111">
        <f>[23]С2.5!$Q$11</f>
        <v>0</v>
      </c>
      <c r="D155" s="142"/>
      <c r="E155" s="89"/>
    </row>
    <row r="156" spans="1:5" hidden="1" x14ac:dyDescent="0.2">
      <c r="A156" s="89"/>
      <c r="B156" s="110">
        <f t="shared" si="0"/>
        <v>2033</v>
      </c>
      <c r="C156" s="111">
        <f>[23]С2.5!$R$11</f>
        <v>0</v>
      </c>
      <c r="D156" s="142"/>
      <c r="E156" s="89"/>
    </row>
    <row r="157" spans="1:5" hidden="1" x14ac:dyDescent="0.2">
      <c r="B157" s="110">
        <f t="shared" si="0"/>
        <v>2034</v>
      </c>
      <c r="C157" s="111">
        <f>[23]С2.5!$S$11</f>
        <v>0</v>
      </c>
    </row>
    <row r="158" spans="1:5" hidden="1" x14ac:dyDescent="0.2">
      <c r="B158" s="110">
        <f t="shared" si="0"/>
        <v>2035</v>
      </c>
      <c r="C158" s="111">
        <f>[23]С2.5!$T$11</f>
        <v>0</v>
      </c>
    </row>
    <row r="159" spans="1:5" hidden="1" x14ac:dyDescent="0.2">
      <c r="B159" s="110">
        <f t="shared" si="0"/>
        <v>2036</v>
      </c>
      <c r="C159" s="111">
        <f>[23]С2.5!$U$11</f>
        <v>0</v>
      </c>
    </row>
    <row r="160" spans="1:5" hidden="1" x14ac:dyDescent="0.2">
      <c r="B160" s="110">
        <f t="shared" si="0"/>
        <v>2037</v>
      </c>
      <c r="C160" s="111">
        <f>[23]С2.5!$V$11</f>
        <v>0</v>
      </c>
    </row>
    <row r="161" spans="2:3" s="2" customFormat="1" hidden="1" x14ac:dyDescent="0.2">
      <c r="B161" s="110">
        <f t="shared" si="0"/>
        <v>2038</v>
      </c>
      <c r="C161" s="111">
        <f>[23]С2.5!$W$11</f>
        <v>0</v>
      </c>
    </row>
    <row r="162" spans="2:3" s="2" customFormat="1" hidden="1" x14ac:dyDescent="0.2">
      <c r="B162" s="110">
        <f t="shared" si="0"/>
        <v>2039</v>
      </c>
      <c r="C162" s="111">
        <f>[23]С2.5!$X$11</f>
        <v>0</v>
      </c>
    </row>
    <row r="163" spans="2:3" s="2" customFormat="1" hidden="1" x14ac:dyDescent="0.2">
      <c r="B163" s="110">
        <f t="shared" si="0"/>
        <v>2040</v>
      </c>
      <c r="C163" s="111">
        <f>[23]С2.5!$Y$11</f>
        <v>0</v>
      </c>
    </row>
    <row r="164" spans="2:3" s="2" customFormat="1" hidden="1" x14ac:dyDescent="0.2">
      <c r="B164" s="110">
        <f t="shared" si="0"/>
        <v>2041</v>
      </c>
      <c r="C164" s="111">
        <f>[23]С2.5!$Z$11</f>
        <v>0</v>
      </c>
    </row>
    <row r="165" spans="2:3" s="2" customFormat="1" hidden="1" x14ac:dyDescent="0.2">
      <c r="B165" s="110">
        <f t="shared" si="0"/>
        <v>2042</v>
      </c>
      <c r="C165" s="111">
        <f>[23]С2.5!$AA$11</f>
        <v>0</v>
      </c>
    </row>
    <row r="166" spans="2:3" s="2" customFormat="1" hidden="1" x14ac:dyDescent="0.2">
      <c r="B166" s="110">
        <f t="shared" si="0"/>
        <v>2043</v>
      </c>
      <c r="C166" s="111">
        <f>[23]С2.5!$AB$11</f>
        <v>0</v>
      </c>
    </row>
    <row r="167" spans="2:3" s="2" customFormat="1" hidden="1" x14ac:dyDescent="0.2">
      <c r="B167" s="110">
        <f t="shared" si="0"/>
        <v>2044</v>
      </c>
      <c r="C167" s="111">
        <f>[23]С2.5!$AC$11</f>
        <v>0</v>
      </c>
    </row>
    <row r="168" spans="2:3" s="2" customFormat="1" hidden="1" x14ac:dyDescent="0.2">
      <c r="B168" s="110">
        <f t="shared" si="0"/>
        <v>2045</v>
      </c>
      <c r="C168" s="111">
        <f>[23]С2.5!$AD$11</f>
        <v>0</v>
      </c>
    </row>
    <row r="169" spans="2:3" s="2" customFormat="1" hidden="1" x14ac:dyDescent="0.2">
      <c r="B169" s="110">
        <f t="shared" si="0"/>
        <v>2046</v>
      </c>
      <c r="C169" s="111">
        <f>[23]С2.5!$AE$11</f>
        <v>0</v>
      </c>
    </row>
    <row r="170" spans="2:3" s="2" customFormat="1" hidden="1" x14ac:dyDescent="0.2">
      <c r="B170" s="110">
        <f t="shared" si="0"/>
        <v>2047</v>
      </c>
      <c r="C170" s="111">
        <f>[23]С2.5!$AF$11</f>
        <v>0</v>
      </c>
    </row>
    <row r="171" spans="2:3" s="2" customFormat="1" hidden="1" x14ac:dyDescent="0.2">
      <c r="B171" s="110">
        <f t="shared" si="0"/>
        <v>2048</v>
      </c>
      <c r="C171" s="111">
        <f>[23]С2.5!$AG$11</f>
        <v>0</v>
      </c>
    </row>
    <row r="172" spans="2:3" s="2" customFormat="1" hidden="1" x14ac:dyDescent="0.2">
      <c r="B172" s="110">
        <f t="shared" si="0"/>
        <v>2049</v>
      </c>
      <c r="C172" s="111">
        <f>[23]С2.5!$AH$11</f>
        <v>0</v>
      </c>
    </row>
    <row r="173" spans="2:3" s="2" customFormat="1" hidden="1" x14ac:dyDescent="0.2">
      <c r="B173" s="110">
        <f t="shared" si="0"/>
        <v>2050</v>
      </c>
      <c r="C173" s="111">
        <f>[23]С2.5!$AI$11</f>
        <v>0</v>
      </c>
    </row>
    <row r="174" spans="2:3" s="2" customFormat="1" hidden="1" x14ac:dyDescent="0.2">
      <c r="B174" s="110">
        <f t="shared" si="0"/>
        <v>2051</v>
      </c>
      <c r="C174" s="111">
        <f>[23]С2.5!$AJ$11</f>
        <v>0</v>
      </c>
    </row>
    <row r="175" spans="2:3" s="2" customFormat="1" hidden="1" x14ac:dyDescent="0.2">
      <c r="B175" s="110">
        <f t="shared" si="0"/>
        <v>2052</v>
      </c>
      <c r="C175" s="111">
        <f>[23]С2.5!$AK$11</f>
        <v>0</v>
      </c>
    </row>
    <row r="176" spans="2:3" s="2" customFormat="1" hidden="1" x14ac:dyDescent="0.2">
      <c r="B176" s="110">
        <f t="shared" si="0"/>
        <v>2053</v>
      </c>
      <c r="C176" s="111">
        <f>[23]С2.5!$AL$11</f>
        <v>0</v>
      </c>
    </row>
    <row r="177" spans="2:3" s="2" customFormat="1" hidden="1" x14ac:dyDescent="0.2">
      <c r="B177" s="110">
        <f t="shared" si="0"/>
        <v>2054</v>
      </c>
      <c r="C177" s="111">
        <f>[23]С2.5!$AM$11</f>
        <v>0</v>
      </c>
    </row>
    <row r="178" spans="2:3" s="2" customFormat="1" hidden="1" x14ac:dyDescent="0.2">
      <c r="B178" s="110">
        <f t="shared" si="0"/>
        <v>2055</v>
      </c>
      <c r="C178" s="111">
        <f>[23]С2.5!$AN$11</f>
        <v>0</v>
      </c>
    </row>
    <row r="179" spans="2:3" s="2" customFormat="1" hidden="1" x14ac:dyDescent="0.2">
      <c r="B179" s="110">
        <f t="shared" si="0"/>
        <v>2056</v>
      </c>
      <c r="C179" s="111">
        <f>[23]С2.5!$AO$11</f>
        <v>0</v>
      </c>
    </row>
    <row r="180" spans="2:3" s="2" customFormat="1" hidden="1" x14ac:dyDescent="0.2">
      <c r="B180" s="110">
        <f t="shared" si="0"/>
        <v>2057</v>
      </c>
      <c r="C180" s="111">
        <f>[23]С2.5!$AP$11</f>
        <v>0</v>
      </c>
    </row>
    <row r="181" spans="2:3" s="2" customFormat="1" hidden="1" x14ac:dyDescent="0.2">
      <c r="B181" s="110">
        <f t="shared" si="0"/>
        <v>2058</v>
      </c>
      <c r="C181" s="111">
        <f>[23]С2.5!$AQ$11</f>
        <v>0</v>
      </c>
    </row>
    <row r="182" spans="2:3" s="2" customFormat="1" hidden="1" x14ac:dyDescent="0.2">
      <c r="B182" s="110">
        <f t="shared" si="0"/>
        <v>2059</v>
      </c>
      <c r="C182" s="111">
        <f>[23]С2.5!$AR$11</f>
        <v>0</v>
      </c>
    </row>
    <row r="183" spans="2:3" s="2" customFormat="1" hidden="1" x14ac:dyDescent="0.2">
      <c r="B183" s="110">
        <f t="shared" si="0"/>
        <v>2060</v>
      </c>
      <c r="C183" s="111">
        <f>[23]С2.5!$AS$11</f>
        <v>0</v>
      </c>
    </row>
    <row r="184" spans="2:3" s="2" customFormat="1" hidden="1" x14ac:dyDescent="0.2">
      <c r="B184" s="110">
        <f t="shared" si="0"/>
        <v>2061</v>
      </c>
      <c r="C184" s="111">
        <f>[23]С2.5!$AT$11</f>
        <v>0</v>
      </c>
    </row>
    <row r="185" spans="2:3" s="2" customFormat="1" hidden="1" x14ac:dyDescent="0.2">
      <c r="B185" s="110">
        <f t="shared" si="0"/>
        <v>2062</v>
      </c>
      <c r="C185" s="111">
        <f>[23]С2.5!$AU$11</f>
        <v>0</v>
      </c>
    </row>
    <row r="186" spans="2:3" s="2" customFormat="1" hidden="1" x14ac:dyDescent="0.2">
      <c r="B186" s="110">
        <f t="shared" si="0"/>
        <v>2063</v>
      </c>
      <c r="C186" s="111">
        <f>[23]С2.5!$AV$11</f>
        <v>0</v>
      </c>
    </row>
    <row r="187" spans="2:3" s="2" customFormat="1" hidden="1" x14ac:dyDescent="0.2">
      <c r="B187" s="110">
        <f t="shared" si="0"/>
        <v>2064</v>
      </c>
      <c r="C187" s="111">
        <f>[23]С2.5!$AW$11</f>
        <v>0</v>
      </c>
    </row>
    <row r="188" spans="2:3" s="2" customFormat="1" hidden="1" x14ac:dyDescent="0.2">
      <c r="B188" s="110">
        <f t="shared" si="0"/>
        <v>2065</v>
      </c>
      <c r="C188" s="111">
        <f>[23]С2.5!$AX$11</f>
        <v>0</v>
      </c>
    </row>
    <row r="189" spans="2:3" s="2" customFormat="1" hidden="1" x14ac:dyDescent="0.2">
      <c r="B189" s="110">
        <f t="shared" si="0"/>
        <v>2066</v>
      </c>
      <c r="C189" s="111">
        <f>[23]С2.5!$AY$11</f>
        <v>0</v>
      </c>
    </row>
    <row r="190" spans="2:3" s="2" customFormat="1" hidden="1" x14ac:dyDescent="0.2">
      <c r="B190" s="110">
        <f t="shared" si="0"/>
        <v>2067</v>
      </c>
      <c r="C190" s="111">
        <f>[23]С2.5!$AZ$11</f>
        <v>0</v>
      </c>
    </row>
    <row r="191" spans="2:3" s="2" customFormat="1" hidden="1" x14ac:dyDescent="0.2">
      <c r="B191" s="110">
        <f t="shared" si="0"/>
        <v>2068</v>
      </c>
      <c r="C191" s="111">
        <f>[23]С2.5!$BA$11</f>
        <v>0</v>
      </c>
    </row>
    <row r="192" spans="2:3" s="2" customFormat="1" hidden="1" x14ac:dyDescent="0.2">
      <c r="B192" s="110">
        <f t="shared" si="0"/>
        <v>2069</v>
      </c>
      <c r="C192" s="111">
        <f>[23]С2.5!$BB$11</f>
        <v>0</v>
      </c>
    </row>
    <row r="193" spans="2:3" s="2" customFormat="1" hidden="1" x14ac:dyDescent="0.2">
      <c r="B193" s="110">
        <f t="shared" si="0"/>
        <v>2070</v>
      </c>
      <c r="C193" s="111">
        <f>[23]С2.5!$BC$11</f>
        <v>0</v>
      </c>
    </row>
    <row r="194" spans="2:3" s="2" customFormat="1" hidden="1" x14ac:dyDescent="0.2">
      <c r="B194" s="110">
        <f t="shared" si="0"/>
        <v>2071</v>
      </c>
      <c r="C194" s="111">
        <f>[23]С2.5!$BD$11</f>
        <v>0</v>
      </c>
    </row>
    <row r="195" spans="2:3" s="2" customFormat="1" hidden="1" x14ac:dyDescent="0.2">
      <c r="B195" s="110">
        <f t="shared" si="0"/>
        <v>2072</v>
      </c>
      <c r="C195" s="111">
        <f>[23]С2.5!$BE$11</f>
        <v>0</v>
      </c>
    </row>
    <row r="196" spans="2:3" s="2" customFormat="1" hidden="1" x14ac:dyDescent="0.2">
      <c r="B196" s="110">
        <f t="shared" si="0"/>
        <v>2073</v>
      </c>
      <c r="C196" s="111">
        <f>[23]С2.5!$BF$11</f>
        <v>0</v>
      </c>
    </row>
    <row r="197" spans="2:3" s="2" customFormat="1" hidden="1" x14ac:dyDescent="0.2">
      <c r="B197" s="110">
        <f t="shared" si="0"/>
        <v>2074</v>
      </c>
      <c r="C197" s="111">
        <f>[23]С2.5!$BG$11</f>
        <v>0</v>
      </c>
    </row>
    <row r="198" spans="2:3" s="2" customFormat="1" hidden="1" x14ac:dyDescent="0.2">
      <c r="B198" s="110">
        <f t="shared" si="0"/>
        <v>2075</v>
      </c>
      <c r="C198" s="111">
        <f>[23]С2.5!$BH$11</f>
        <v>0</v>
      </c>
    </row>
    <row r="199" spans="2:3" s="2" customFormat="1" hidden="1" x14ac:dyDescent="0.2">
      <c r="B199" s="110">
        <f t="shared" si="0"/>
        <v>2076</v>
      </c>
      <c r="C199" s="111">
        <f>[23]С2.5!$BI$11</f>
        <v>0</v>
      </c>
    </row>
    <row r="200" spans="2:3" s="2" customFormat="1" hidden="1" x14ac:dyDescent="0.2">
      <c r="B200" s="110">
        <f t="shared" si="0"/>
        <v>2077</v>
      </c>
      <c r="C200" s="111">
        <f>[23]С2.5!$BJ$11</f>
        <v>0</v>
      </c>
    </row>
    <row r="201" spans="2:3" s="2" customFormat="1" hidden="1" x14ac:dyDescent="0.2">
      <c r="B201" s="110">
        <f t="shared" si="0"/>
        <v>2078</v>
      </c>
      <c r="C201" s="111">
        <f>[23]С2.5!$BK$11</f>
        <v>0</v>
      </c>
    </row>
    <row r="202" spans="2:3" s="2" customFormat="1" hidden="1" x14ac:dyDescent="0.2">
      <c r="B202" s="110">
        <f t="shared" si="0"/>
        <v>2079</v>
      </c>
      <c r="C202" s="111">
        <f>[23]С2.5!$BL$11</f>
        <v>0</v>
      </c>
    </row>
    <row r="203" spans="2:3" s="2" customFormat="1" hidden="1" x14ac:dyDescent="0.2">
      <c r="B203" s="110">
        <f t="shared" si="0"/>
        <v>2080</v>
      </c>
      <c r="C203" s="111">
        <f>[23]С2.5!$BM$11</f>
        <v>0</v>
      </c>
    </row>
    <row r="204" spans="2:3" s="2" customFormat="1" hidden="1" x14ac:dyDescent="0.2">
      <c r="B204" s="110">
        <f t="shared" si="0"/>
        <v>2081</v>
      </c>
      <c r="C204" s="111">
        <f>[23]С2.5!$BN$11</f>
        <v>0</v>
      </c>
    </row>
    <row r="205" spans="2:3" s="2" customFormat="1" hidden="1" x14ac:dyDescent="0.2">
      <c r="B205" s="110">
        <f t="shared" si="0"/>
        <v>2082</v>
      </c>
      <c r="C205" s="111">
        <f>[23]С2.5!$BO$11</f>
        <v>0</v>
      </c>
    </row>
    <row r="206" spans="2:3" s="2" customFormat="1" hidden="1" x14ac:dyDescent="0.2">
      <c r="B206" s="110">
        <f t="shared" si="0"/>
        <v>2083</v>
      </c>
      <c r="C206" s="111">
        <f>[23]С2.5!$BP$11</f>
        <v>0</v>
      </c>
    </row>
    <row r="207" spans="2:3" s="2" customFormat="1" hidden="1" x14ac:dyDescent="0.2">
      <c r="B207" s="110">
        <f t="shared" si="0"/>
        <v>2084</v>
      </c>
      <c r="C207" s="111">
        <f>[23]С2.5!$BQ$11</f>
        <v>0</v>
      </c>
    </row>
    <row r="208" spans="2:3" s="2" customFormat="1" hidden="1" x14ac:dyDescent="0.2">
      <c r="B208" s="110">
        <f t="shared" si="0"/>
        <v>2085</v>
      </c>
      <c r="C208" s="111">
        <f>[23]С2.5!$BR$11</f>
        <v>0</v>
      </c>
    </row>
    <row r="209" spans="2:3" s="2" customFormat="1" hidden="1" x14ac:dyDescent="0.2">
      <c r="B209" s="110">
        <f t="shared" ref="B209:B223" si="1">B208+1</f>
        <v>2086</v>
      </c>
      <c r="C209" s="111">
        <f>[23]С2.5!$BS$11</f>
        <v>0</v>
      </c>
    </row>
    <row r="210" spans="2:3" s="2" customFormat="1" hidden="1" x14ac:dyDescent="0.2">
      <c r="B210" s="110">
        <f t="shared" si="1"/>
        <v>2087</v>
      </c>
      <c r="C210" s="111">
        <f>[23]С2.5!$BT$11</f>
        <v>0</v>
      </c>
    </row>
    <row r="211" spans="2:3" s="2" customFormat="1" hidden="1" x14ac:dyDescent="0.2">
      <c r="B211" s="110">
        <f t="shared" si="1"/>
        <v>2088</v>
      </c>
      <c r="C211" s="111">
        <f>[23]С2.5!$BU$11</f>
        <v>0</v>
      </c>
    </row>
    <row r="212" spans="2:3" s="2" customFormat="1" hidden="1" x14ac:dyDescent="0.2">
      <c r="B212" s="110">
        <f t="shared" si="1"/>
        <v>2089</v>
      </c>
      <c r="C212" s="111">
        <f>[23]С2.5!$BV$11</f>
        <v>0</v>
      </c>
    </row>
    <row r="213" spans="2:3" s="2" customFormat="1" hidden="1" x14ac:dyDescent="0.2">
      <c r="B213" s="110">
        <f t="shared" si="1"/>
        <v>2090</v>
      </c>
      <c r="C213" s="111">
        <f>[23]С2.5!$BW$11</f>
        <v>0</v>
      </c>
    </row>
    <row r="214" spans="2:3" s="2" customFormat="1" hidden="1" x14ac:dyDescent="0.2">
      <c r="B214" s="110">
        <f t="shared" si="1"/>
        <v>2091</v>
      </c>
      <c r="C214" s="111">
        <f>[23]С2.5!$BX$11</f>
        <v>0</v>
      </c>
    </row>
    <row r="215" spans="2:3" s="2" customFormat="1" hidden="1" x14ac:dyDescent="0.2">
      <c r="B215" s="110">
        <f t="shared" si="1"/>
        <v>2092</v>
      </c>
      <c r="C215" s="111">
        <f>[23]С2.5!$BY$11</f>
        <v>0</v>
      </c>
    </row>
    <row r="216" spans="2:3" s="2" customFormat="1" hidden="1" x14ac:dyDescent="0.2">
      <c r="B216" s="110">
        <f t="shared" si="1"/>
        <v>2093</v>
      </c>
      <c r="C216" s="111">
        <f>[23]С2.5!$BZ$11</f>
        <v>0</v>
      </c>
    </row>
    <row r="217" spans="2:3" s="2" customFormat="1" hidden="1" x14ac:dyDescent="0.2">
      <c r="B217" s="110">
        <f t="shared" si="1"/>
        <v>2094</v>
      </c>
      <c r="C217" s="111">
        <f>[23]С2.5!$CA$11</f>
        <v>0</v>
      </c>
    </row>
    <row r="218" spans="2:3" s="2" customFormat="1" hidden="1" x14ac:dyDescent="0.2">
      <c r="B218" s="110">
        <f t="shared" si="1"/>
        <v>2095</v>
      </c>
      <c r="C218" s="111">
        <f>[23]С2.5!$CB$11</f>
        <v>0</v>
      </c>
    </row>
    <row r="219" spans="2:3" s="2" customFormat="1" hidden="1" x14ac:dyDescent="0.2">
      <c r="B219" s="110">
        <f t="shared" si="1"/>
        <v>2096</v>
      </c>
      <c r="C219" s="111">
        <f>[23]С2.5!$CC$11</f>
        <v>0</v>
      </c>
    </row>
    <row r="220" spans="2:3" s="2" customFormat="1" hidden="1" x14ac:dyDescent="0.2">
      <c r="B220" s="110">
        <f t="shared" si="1"/>
        <v>2097</v>
      </c>
      <c r="C220" s="111">
        <f>[23]С2.5!$CD$11</f>
        <v>0</v>
      </c>
    </row>
    <row r="221" spans="2:3" s="2" customFormat="1" hidden="1" x14ac:dyDescent="0.2">
      <c r="B221" s="110">
        <f t="shared" si="1"/>
        <v>2098</v>
      </c>
      <c r="C221" s="111">
        <f>[23]С2.5!$CE$11</f>
        <v>0</v>
      </c>
    </row>
    <row r="222" spans="2:3" s="2" customFormat="1" hidden="1" x14ac:dyDescent="0.2">
      <c r="B222" s="110">
        <f t="shared" si="1"/>
        <v>2099</v>
      </c>
      <c r="C222" s="111">
        <f>[23]С2.5!$CF$11</f>
        <v>0</v>
      </c>
    </row>
    <row r="223" spans="2:3" s="2" customFormat="1" ht="13.5" hidden="1" thickBot="1" x14ac:dyDescent="0.25">
      <c r="B223" s="112">
        <f t="shared" si="1"/>
        <v>2100</v>
      </c>
      <c r="C223" s="113">
        <f>[23]С2.5!$CG$11</f>
        <v>0</v>
      </c>
    </row>
    <row r="224" spans="2:3" s="2" customFormat="1" hidden="1" x14ac:dyDescent="0.2">
      <c r="C224" s="116"/>
    </row>
    <row r="225" spans="3:3" s="2" customFormat="1" hidden="1" x14ac:dyDescent="0.2">
      <c r="C225" s="116"/>
    </row>
    <row r="226" spans="3:3" s="2" customFormat="1" x14ac:dyDescent="0.2">
      <c r="C226" s="116"/>
    </row>
  </sheetData>
  <mergeCells count="9">
    <mergeCell ref="B141:D141"/>
    <mergeCell ref="A14:C14"/>
    <mergeCell ref="B1:D1"/>
    <mergeCell ref="B27:D27"/>
    <mergeCell ref="B40:D40"/>
    <mergeCell ref="B84:D84"/>
    <mergeCell ref="B95:D95"/>
    <mergeCell ref="B124:D124"/>
    <mergeCell ref="B127:D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81" r:id="rId3" name="Button 1">
              <controlPr defaultSize="0" print="0" autoFill="0" autoPict="0" macro="[8]!Лист29.PrintBlock">
                <anchor moveWithCells="1" sizeWithCells="1">
                  <from>
                    <xdr:col>3</xdr:col>
                    <xdr:colOff>38100</xdr:colOff>
                    <xdr:row>0</xdr:row>
                    <xdr:rowOff>85725</xdr:rowOff>
                  </from>
                  <to>
                    <xdr:col>5</xdr:col>
                    <xdr:colOff>0</xdr:colOff>
                    <xdr:row>0</xdr:row>
                    <xdr:rowOff>238125</xdr:rowOff>
                  </to>
                </anchor>
              </controlPr>
            </control>
          </mc:Choice>
        </mc:AlternateContent>
        <mc:AlternateContent xmlns:mc="http://schemas.openxmlformats.org/markup-compatibility/2006">
          <mc:Choice Requires="x14">
            <control shapeId="20482" r:id="rId4" name="Button 2">
              <controlPr defaultSize="0" print="0" autoFill="0" autoPict="0" macro="[8]!Лист29.PrintBlock">
                <anchor moveWithCells="1" sizeWithCells="1">
                  <from>
                    <xdr:col>3</xdr:col>
                    <xdr:colOff>38100</xdr:colOff>
                    <xdr:row>0</xdr:row>
                    <xdr:rowOff>85725</xdr:rowOff>
                  </from>
                  <to>
                    <xdr:col>5</xdr:col>
                    <xdr:colOff>0</xdr:colOff>
                    <xdr:row>0</xdr:row>
                    <xdr:rowOff>238125</xdr:rowOff>
                  </to>
                </anchor>
              </controlPr>
            </control>
          </mc:Choice>
        </mc:AlternateContent>
        <mc:AlternateContent xmlns:mc="http://schemas.openxmlformats.org/markup-compatibility/2006">
          <mc:Choice Requires="x14">
            <control shapeId="20483" r:id="rId5" name="Button 3">
              <controlPr defaultSize="0" print="0" autoFill="0" autoPict="0" macro="[23]!Лист29.PrintBlock">
                <anchor moveWithCells="1" sizeWithCells="1">
                  <from>
                    <xdr:col>4</xdr:col>
                    <xdr:colOff>38100</xdr:colOff>
                    <xdr:row>0</xdr:row>
                    <xdr:rowOff>85725</xdr:rowOff>
                  </from>
                  <to>
                    <xdr:col>5</xdr:col>
                    <xdr:colOff>1000125</xdr:colOff>
                    <xdr:row>0</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63" t="s">
        <v>0</v>
      </c>
      <c r="C1" s="163"/>
    </row>
    <row r="2" spans="1:3" x14ac:dyDescent="0.2">
      <c r="A2" s="3"/>
      <c r="B2" s="4" t="s">
        <v>1</v>
      </c>
      <c r="C2" s="5">
        <v>45317</v>
      </c>
    </row>
    <row r="3" spans="1:3" x14ac:dyDescent="0.2">
      <c r="A3" s="3"/>
      <c r="B3" s="6" t="s">
        <v>2</v>
      </c>
    </row>
    <row r="4" spans="1:3" ht="25.5" x14ac:dyDescent="0.2">
      <c r="A4" s="8"/>
      <c r="B4" s="9" t="str">
        <f>[3]И1!D13</f>
        <v>Субъект Российской Федерации</v>
      </c>
      <c r="C4" s="10" t="str">
        <f>[3]И1!E13</f>
        <v>Новосибирская область</v>
      </c>
    </row>
    <row r="5" spans="1:3" ht="46.9" customHeight="1" x14ac:dyDescent="0.2">
      <c r="A5" s="8"/>
      <c r="B5" s="9" t="str">
        <f>[3]И1!D14</f>
        <v>Тип муниципального образования (выберите из списка)</v>
      </c>
      <c r="C5" s="10" t="str">
        <f>[3]И1!E14</f>
        <v xml:space="preserve">село Быстровка, Искитимский муниципальный район </v>
      </c>
    </row>
    <row r="6" spans="1:3" x14ac:dyDescent="0.2">
      <c r="A6" s="8"/>
      <c r="B6" s="9" t="str">
        <f>IF([3]И1!E15="","",[3]И1!D15)</f>
        <v/>
      </c>
      <c r="C6" s="10" t="str">
        <f>IF([3]И1!E15="","",[3]И1!E15)</f>
        <v/>
      </c>
    </row>
    <row r="7" spans="1:3" x14ac:dyDescent="0.2">
      <c r="A7" s="8"/>
      <c r="B7" s="9" t="str">
        <f>[3]И1!D16</f>
        <v>Код ОКТМО</v>
      </c>
      <c r="C7" s="11" t="str">
        <f>[3]И1!E16</f>
        <v>(50615402101)</v>
      </c>
    </row>
    <row r="8" spans="1:3" x14ac:dyDescent="0.2">
      <c r="A8" s="8"/>
      <c r="B8" s="12" t="str">
        <f>[3]И1!D17</f>
        <v>Система теплоснабжения</v>
      </c>
      <c r="C8" s="13">
        <f>[3]И1!E17</f>
        <v>0</v>
      </c>
    </row>
    <row r="9" spans="1:3" x14ac:dyDescent="0.2">
      <c r="A9" s="8"/>
      <c r="B9" s="9" t="str">
        <f>[3]И1!D8</f>
        <v>Период регулирования (i)-й</v>
      </c>
      <c r="C9" s="14">
        <f>[3]И1!E8</f>
        <v>2024</v>
      </c>
    </row>
    <row r="10" spans="1:3" x14ac:dyDescent="0.2">
      <c r="A10" s="8"/>
      <c r="B10" s="9" t="str">
        <f>[3]И1!D9</f>
        <v>Период регулирования (i-1)-й</v>
      </c>
      <c r="C10" s="14">
        <f>[3]И1!E9</f>
        <v>2023</v>
      </c>
    </row>
    <row r="11" spans="1:3" x14ac:dyDescent="0.2">
      <c r="A11" s="8"/>
      <c r="B11" s="9" t="str">
        <f>[3]И1!D10</f>
        <v>Период регулирования (i-2)-й</v>
      </c>
      <c r="C11" s="14">
        <f>[3]И1!E10</f>
        <v>2022</v>
      </c>
    </row>
    <row r="12" spans="1:3" x14ac:dyDescent="0.2">
      <c r="A12" s="8"/>
      <c r="B12" s="9" t="str">
        <f>[3]И1!D11</f>
        <v>Базовый год (б)</v>
      </c>
      <c r="C12" s="14">
        <f>[3]И1!E11</f>
        <v>2019</v>
      </c>
    </row>
    <row r="13" spans="1:3" ht="38.25" x14ac:dyDescent="0.2">
      <c r="A13" s="8"/>
      <c r="B13" s="9" t="str">
        <f>[3]И1!D18</f>
        <v>Вид топлива, использование которого преобладает в системе теплоснабжения</v>
      </c>
      <c r="C13" s="15" t="str">
        <f>[3]С1.1!E13</f>
        <v>уголь (вид угля не указан в топливном балансе)</v>
      </c>
    </row>
    <row r="14" spans="1:3" ht="31.7" customHeight="1" thickBot="1" x14ac:dyDescent="0.25">
      <c r="A14" s="162" t="s">
        <v>3</v>
      </c>
      <c r="B14" s="162"/>
      <c r="C14" s="16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3755.1269222377105</v>
      </c>
    </row>
    <row r="18" spans="1:3" ht="42.75" x14ac:dyDescent="0.2">
      <c r="A18" s="22" t="s">
        <v>8</v>
      </c>
      <c r="B18" s="25" t="s">
        <v>9</v>
      </c>
      <c r="C18" s="26">
        <f>[3]С1!F12</f>
        <v>759.67438872744583</v>
      </c>
    </row>
    <row r="19" spans="1:3" ht="42.75" x14ac:dyDescent="0.2">
      <c r="A19" s="22" t="s">
        <v>10</v>
      </c>
      <c r="B19" s="25" t="s">
        <v>11</v>
      </c>
      <c r="C19" s="26">
        <f>[3]С2!F12</f>
        <v>2000.3680279558928</v>
      </c>
    </row>
    <row r="20" spans="1:3" ht="30" x14ac:dyDescent="0.2">
      <c r="A20" s="22" t="s">
        <v>12</v>
      </c>
      <c r="B20" s="25" t="s">
        <v>13</v>
      </c>
      <c r="C20" s="26">
        <f>[3]С3!F12</f>
        <v>475.74490066496389</v>
      </c>
    </row>
    <row r="21" spans="1:3" ht="42.75" x14ac:dyDescent="0.2">
      <c r="A21" s="22" t="s">
        <v>14</v>
      </c>
      <c r="B21" s="25" t="s">
        <v>15</v>
      </c>
      <c r="C21" s="26">
        <f>[3]С4!F12</f>
        <v>445.70966523768817</v>
      </c>
    </row>
    <row r="22" spans="1:3" ht="30" x14ac:dyDescent="0.2">
      <c r="A22" s="22" t="s">
        <v>16</v>
      </c>
      <c r="B22" s="25" t="s">
        <v>17</v>
      </c>
      <c r="C22" s="26">
        <f>[3]С5!F12</f>
        <v>73.629939651719823</v>
      </c>
    </row>
    <row r="23" spans="1:3" ht="43.5" thickBot="1" x14ac:dyDescent="0.25">
      <c r="A23" s="27" t="s">
        <v>18</v>
      </c>
      <c r="B23" s="140" t="s">
        <v>19</v>
      </c>
      <c r="C23" s="28" t="str">
        <f>[3]С6!F12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64" t="s">
        <v>20</v>
      </c>
      <c r="C27" s="164"/>
    </row>
    <row r="28" spans="1:3" x14ac:dyDescent="0.2">
      <c r="A28" s="22" t="s">
        <v>8</v>
      </c>
      <c r="B28" s="33" t="s">
        <v>21</v>
      </c>
      <c r="C28" s="34">
        <f>[3]С1.1!E16</f>
        <v>5100</v>
      </c>
    </row>
    <row r="29" spans="1:3" ht="42.75" x14ac:dyDescent="0.2">
      <c r="A29" s="22" t="s">
        <v>10</v>
      </c>
      <c r="B29" s="33" t="s">
        <v>22</v>
      </c>
      <c r="C29" s="34">
        <f>[3]С1.1!E27</f>
        <v>3413.25</v>
      </c>
    </row>
    <row r="30" spans="1:3" ht="17.25" x14ac:dyDescent="0.2">
      <c r="A30" s="22" t="s">
        <v>12</v>
      </c>
      <c r="B30" s="33" t="s">
        <v>23</v>
      </c>
      <c r="C30" s="35">
        <f>[3]С1.1!E19</f>
        <v>-0.19900000000000001</v>
      </c>
    </row>
    <row r="31" spans="1:3" ht="17.25" x14ac:dyDescent="0.2">
      <c r="A31" s="22" t="s">
        <v>14</v>
      </c>
      <c r="B31" s="33" t="s">
        <v>24</v>
      </c>
      <c r="C31" s="35">
        <f>[3]С1.1!E20</f>
        <v>5.7000000000000002E-2</v>
      </c>
    </row>
    <row r="32" spans="1:3" ht="30" x14ac:dyDescent="0.2">
      <c r="A32" s="22" t="s">
        <v>16</v>
      </c>
      <c r="B32" s="36" t="s">
        <v>25</v>
      </c>
      <c r="C32" s="37">
        <f>[3]С1!F13</f>
        <v>176.4</v>
      </c>
    </row>
    <row r="33" spans="1:3" x14ac:dyDescent="0.2">
      <c r="A33" s="22" t="s">
        <v>18</v>
      </c>
      <c r="B33" s="36" t="s">
        <v>26</v>
      </c>
      <c r="C33" s="38">
        <f>[3]С1!F16</f>
        <v>7000</v>
      </c>
    </row>
    <row r="34" spans="1:3" ht="14.25" x14ac:dyDescent="0.2">
      <c r="A34" s="22" t="s">
        <v>27</v>
      </c>
      <c r="B34" s="39" t="s">
        <v>28</v>
      </c>
      <c r="C34" s="40">
        <f>[3]С1!F17</f>
        <v>0.72857142857142854</v>
      </c>
    </row>
    <row r="35" spans="1:3" ht="15.75" x14ac:dyDescent="0.2">
      <c r="A35" s="41" t="s">
        <v>29</v>
      </c>
      <c r="B35" s="42" t="s">
        <v>30</v>
      </c>
      <c r="C35" s="40">
        <f>[3]С1!F20</f>
        <v>21.588411179999994</v>
      </c>
    </row>
    <row r="36" spans="1:3" ht="15.75" x14ac:dyDescent="0.2">
      <c r="A36" s="41" t="s">
        <v>31</v>
      </c>
      <c r="B36" s="43" t="s">
        <v>32</v>
      </c>
      <c r="C36" s="40">
        <f>[3]С1!F21</f>
        <v>20.818139999999996</v>
      </c>
    </row>
    <row r="37" spans="1:3" ht="14.25" x14ac:dyDescent="0.2">
      <c r="A37" s="41" t="s">
        <v>33</v>
      </c>
      <c r="B37" s="44" t="s">
        <v>34</v>
      </c>
      <c r="C37" s="40">
        <f>[3]С1!F22</f>
        <v>1.0369999999999999</v>
      </c>
    </row>
    <row r="38" spans="1:3" ht="53.25" thickBot="1" x14ac:dyDescent="0.25">
      <c r="A38" s="27" t="s">
        <v>35</v>
      </c>
      <c r="B38" s="45" t="s">
        <v>36</v>
      </c>
      <c r="C38" s="46">
        <f>[3]С1!F23</f>
        <v>1.0469999999999999</v>
      </c>
    </row>
    <row r="39" spans="1:3" ht="13.5" thickBot="1" x14ac:dyDescent="0.25">
      <c r="A39" s="47"/>
      <c r="B39" s="48"/>
      <c r="C39" s="49"/>
    </row>
    <row r="40" spans="1:3" ht="30" customHeight="1" x14ac:dyDescent="0.2">
      <c r="A40" s="50" t="s">
        <v>37</v>
      </c>
      <c r="B40" s="165" t="s">
        <v>38</v>
      </c>
      <c r="C40" s="165"/>
    </row>
    <row r="41" spans="1:3" ht="25.5" x14ac:dyDescent="0.2">
      <c r="A41" s="22" t="s">
        <v>39</v>
      </c>
      <c r="B41" s="36" t="s">
        <v>40</v>
      </c>
      <c r="C41" s="51" t="str">
        <f>[3]С2.1!E12</f>
        <v>V</v>
      </c>
    </row>
    <row r="42" spans="1:3" ht="25.5" x14ac:dyDescent="0.2">
      <c r="A42" s="22" t="s">
        <v>41</v>
      </c>
      <c r="B42" s="33" t="s">
        <v>42</v>
      </c>
      <c r="C42" s="51" t="str">
        <f>[3]С2.1!E13</f>
        <v>6 и менее баллов</v>
      </c>
    </row>
    <row r="43" spans="1:3" ht="25.5" x14ac:dyDescent="0.2">
      <c r="A43" s="22" t="s">
        <v>43</v>
      </c>
      <c r="B43" s="33" t="s">
        <v>44</v>
      </c>
      <c r="C43" s="51" t="str">
        <f>[3]С2.1!E14</f>
        <v>от 200 до 500</v>
      </c>
    </row>
    <row r="44" spans="1:3" ht="25.5" x14ac:dyDescent="0.2">
      <c r="A44" s="22" t="s">
        <v>45</v>
      </c>
      <c r="B44" s="33" t="s">
        <v>46</v>
      </c>
      <c r="C44" s="52" t="str">
        <f>[3]С2.1!E15</f>
        <v>нет</v>
      </c>
    </row>
    <row r="45" spans="1:3" ht="30" x14ac:dyDescent="0.2">
      <c r="A45" s="22" t="s">
        <v>47</v>
      </c>
      <c r="B45" s="33" t="s">
        <v>48</v>
      </c>
      <c r="C45" s="34">
        <f>[3]С2!F18</f>
        <v>35106.652004551666</v>
      </c>
    </row>
    <row r="46" spans="1:3" ht="30" x14ac:dyDescent="0.2">
      <c r="A46" s="22" t="s">
        <v>49</v>
      </c>
      <c r="B46" s="53" t="s">
        <v>50</v>
      </c>
      <c r="C46" s="34">
        <f>IF([3]С2!F19&gt;0,[3]С2!F19,[3]С2!F20)</f>
        <v>23441.524932855718</v>
      </c>
    </row>
    <row r="47" spans="1:3" ht="25.5" x14ac:dyDescent="0.2">
      <c r="A47" s="22" t="s">
        <v>51</v>
      </c>
      <c r="B47" s="54" t="s">
        <v>52</v>
      </c>
      <c r="C47" s="34">
        <f>[3]С2.1!E19</f>
        <v>-38</v>
      </c>
    </row>
    <row r="48" spans="1:3" ht="25.5" x14ac:dyDescent="0.2">
      <c r="A48" s="22" t="s">
        <v>53</v>
      </c>
      <c r="B48" s="54" t="s">
        <v>54</v>
      </c>
      <c r="C48" s="34" t="str">
        <f>[3]С2.1!E22</f>
        <v>нет</v>
      </c>
    </row>
    <row r="49" spans="1:3" ht="38.25" x14ac:dyDescent="0.2">
      <c r="A49" s="22" t="s">
        <v>55</v>
      </c>
      <c r="B49" s="55" t="s">
        <v>56</v>
      </c>
      <c r="C49" s="34">
        <f>[3]С2.2!E10</f>
        <v>1287</v>
      </c>
    </row>
    <row r="50" spans="1:3" ht="25.5" x14ac:dyDescent="0.2">
      <c r="A50" s="22" t="s">
        <v>57</v>
      </c>
      <c r="B50" s="56" t="s">
        <v>58</v>
      </c>
      <c r="C50" s="34">
        <f>[3]С2.2!E12</f>
        <v>5.97</v>
      </c>
    </row>
    <row r="51" spans="1:3" ht="52.5" x14ac:dyDescent="0.2">
      <c r="A51" s="22" t="s">
        <v>59</v>
      </c>
      <c r="B51" s="57" t="s">
        <v>60</v>
      </c>
      <c r="C51" s="34">
        <f>[3]С2.2!E13</f>
        <v>1</v>
      </c>
    </row>
    <row r="52" spans="1:3" ht="27.75" x14ac:dyDescent="0.2">
      <c r="A52" s="22" t="s">
        <v>61</v>
      </c>
      <c r="B52" s="56" t="s">
        <v>62</v>
      </c>
      <c r="C52" s="34">
        <f>[3]С2.2!E14</f>
        <v>12104</v>
      </c>
    </row>
    <row r="53" spans="1:3" ht="25.5" x14ac:dyDescent="0.2">
      <c r="A53" s="22" t="s">
        <v>63</v>
      </c>
      <c r="B53" s="57" t="s">
        <v>64</v>
      </c>
      <c r="C53" s="35">
        <f>[3]С2.2!E15</f>
        <v>4.8000000000000001E-2</v>
      </c>
    </row>
    <row r="54" spans="1:3" x14ac:dyDescent="0.2">
      <c r="A54" s="22" t="s">
        <v>65</v>
      </c>
      <c r="B54" s="57" t="s">
        <v>66</v>
      </c>
      <c r="C54" s="34">
        <f>[3]С2.2!E16</f>
        <v>1</v>
      </c>
    </row>
    <row r="55" spans="1:3" ht="15.75" x14ac:dyDescent="0.2">
      <c r="A55" s="22" t="s">
        <v>67</v>
      </c>
      <c r="B55" s="58" t="s">
        <v>68</v>
      </c>
      <c r="C55" s="34">
        <f>[3]С2!F21</f>
        <v>1</v>
      </c>
    </row>
    <row r="56" spans="1:3" ht="30" x14ac:dyDescent="0.2">
      <c r="A56" s="59" t="s">
        <v>69</v>
      </c>
      <c r="B56" s="33" t="s">
        <v>70</v>
      </c>
      <c r="C56" s="34">
        <f>[3]С2!F13</f>
        <v>183796.83936385796</v>
      </c>
    </row>
    <row r="57" spans="1:3" ht="30" x14ac:dyDescent="0.2">
      <c r="A57" s="59" t="s">
        <v>71</v>
      </c>
      <c r="B57" s="58" t="s">
        <v>72</v>
      </c>
      <c r="C57" s="34">
        <f>[3]С2!F14</f>
        <v>113455</v>
      </c>
    </row>
    <row r="58" spans="1:3" ht="15.75" x14ac:dyDescent="0.2">
      <c r="A58" s="59" t="s">
        <v>73</v>
      </c>
      <c r="B58" s="60" t="s">
        <v>74</v>
      </c>
      <c r="C58" s="40">
        <f>[3]С2!F15</f>
        <v>1.071</v>
      </c>
    </row>
    <row r="59" spans="1:3" ht="15.75" x14ac:dyDescent="0.2">
      <c r="A59" s="59" t="s">
        <v>75</v>
      </c>
      <c r="B59" s="60" t="s">
        <v>76</v>
      </c>
      <c r="C59" s="40">
        <f>[3]С2!F16</f>
        <v>1</v>
      </c>
    </row>
    <row r="60" spans="1:3" ht="17.25" x14ac:dyDescent="0.2">
      <c r="A60" s="59" t="s">
        <v>77</v>
      </c>
      <c r="B60" s="58" t="s">
        <v>78</v>
      </c>
      <c r="C60" s="34">
        <f>[3]С2!F17</f>
        <v>1.01</v>
      </c>
    </row>
    <row r="61" spans="1:3" s="63" customFormat="1" ht="14.25" x14ac:dyDescent="0.2">
      <c r="A61" s="59" t="s">
        <v>79</v>
      </c>
      <c r="B61" s="61" t="s">
        <v>80</v>
      </c>
      <c r="C61" s="62">
        <f>[3]С2!F33</f>
        <v>10</v>
      </c>
    </row>
    <row r="62" spans="1:3" ht="30" x14ac:dyDescent="0.2">
      <c r="A62" s="59" t="s">
        <v>81</v>
      </c>
      <c r="B62" s="64" t="s">
        <v>82</v>
      </c>
      <c r="C62" s="34">
        <f>[3]С2!F26</f>
        <v>2780.7867618428891</v>
      </c>
    </row>
    <row r="63" spans="1:3" ht="17.25" x14ac:dyDescent="0.2">
      <c r="A63" s="59" t="s">
        <v>83</v>
      </c>
      <c r="B63" s="53" t="s">
        <v>84</v>
      </c>
      <c r="C63" s="34">
        <f>[3]С2!F27</f>
        <v>0.44209422600000003</v>
      </c>
    </row>
    <row r="64" spans="1:3" ht="17.25" x14ac:dyDescent="0.2">
      <c r="A64" s="59" t="s">
        <v>85</v>
      </c>
      <c r="B64" s="58" t="s">
        <v>86</v>
      </c>
      <c r="C64" s="62">
        <f>[3]С2!F28</f>
        <v>4200</v>
      </c>
    </row>
    <row r="65" spans="1:3" ht="42.75" x14ac:dyDescent="0.2">
      <c r="A65" s="59" t="s">
        <v>87</v>
      </c>
      <c r="B65" s="33" t="s">
        <v>88</v>
      </c>
      <c r="C65" s="34">
        <f>[3]С2!F22</f>
        <v>38698.422798410109</v>
      </c>
    </row>
    <row r="66" spans="1:3" ht="30" x14ac:dyDescent="0.2">
      <c r="A66" s="59" t="s">
        <v>89</v>
      </c>
      <c r="B66" s="60" t="s">
        <v>90</v>
      </c>
      <c r="C66" s="34">
        <f>[3]С2!F23</f>
        <v>1990</v>
      </c>
    </row>
    <row r="67" spans="1:3" ht="30" x14ac:dyDescent="0.2">
      <c r="A67" s="59" t="s">
        <v>91</v>
      </c>
      <c r="B67" s="53" t="s">
        <v>92</v>
      </c>
      <c r="C67" s="34">
        <f>[3]С2.1!E27</f>
        <v>14307.876789999998</v>
      </c>
    </row>
    <row r="68" spans="1:3" ht="38.25" x14ac:dyDescent="0.2">
      <c r="A68" s="59" t="s">
        <v>93</v>
      </c>
      <c r="B68" s="65" t="s">
        <v>94</v>
      </c>
      <c r="C68" s="52">
        <f>[3]С2.3!E21</f>
        <v>0</v>
      </c>
    </row>
    <row r="69" spans="1:3" ht="25.5" x14ac:dyDescent="0.2">
      <c r="A69" s="59" t="s">
        <v>95</v>
      </c>
      <c r="B69" s="66" t="s">
        <v>96</v>
      </c>
      <c r="C69" s="67">
        <f>[3]С2.3!E11</f>
        <v>9.89</v>
      </c>
    </row>
    <row r="70" spans="1:3" ht="25.5" x14ac:dyDescent="0.2">
      <c r="A70" s="59" t="s">
        <v>97</v>
      </c>
      <c r="B70" s="66" t="s">
        <v>98</v>
      </c>
      <c r="C70" s="62">
        <f>[3]С2.3!E13</f>
        <v>300</v>
      </c>
    </row>
    <row r="71" spans="1:3" ht="25.5" x14ac:dyDescent="0.2">
      <c r="A71" s="59" t="s">
        <v>99</v>
      </c>
      <c r="B71" s="65" t="s">
        <v>100</v>
      </c>
      <c r="C71" s="68">
        <f>IF([3]С2.3!E22&gt;0,[3]С2.3!E22,[3]С2.3!E14)</f>
        <v>61211</v>
      </c>
    </row>
    <row r="72" spans="1:3" ht="38.25" x14ac:dyDescent="0.2">
      <c r="A72" s="59" t="s">
        <v>101</v>
      </c>
      <c r="B72" s="65" t="s">
        <v>102</v>
      </c>
      <c r="C72" s="68">
        <f>IF([3]С2.3!E23&gt;0,[3]С2.3!E23,[3]С2.3!E15)</f>
        <v>45675</v>
      </c>
    </row>
    <row r="73" spans="1:3" ht="30" x14ac:dyDescent="0.2">
      <c r="A73" s="59" t="s">
        <v>103</v>
      </c>
      <c r="B73" s="53" t="s">
        <v>104</v>
      </c>
      <c r="C73" s="34">
        <f>[3]С2.1!E28</f>
        <v>9541.9567200000001</v>
      </c>
    </row>
    <row r="74" spans="1:3" ht="38.25" x14ac:dyDescent="0.2">
      <c r="A74" s="59" t="s">
        <v>105</v>
      </c>
      <c r="B74" s="65" t="s">
        <v>106</v>
      </c>
      <c r="C74" s="52">
        <f>[3]С2.3!E25</f>
        <v>0</v>
      </c>
    </row>
    <row r="75" spans="1:3" ht="25.5" x14ac:dyDescent="0.2">
      <c r="A75" s="59" t="s">
        <v>107</v>
      </c>
      <c r="B75" s="66" t="s">
        <v>108</v>
      </c>
      <c r="C75" s="67">
        <f>[3]С2.3!E12</f>
        <v>0.56000000000000005</v>
      </c>
    </row>
    <row r="76" spans="1:3" ht="25.5" x14ac:dyDescent="0.2">
      <c r="A76" s="59" t="s">
        <v>109</v>
      </c>
      <c r="B76" s="66" t="s">
        <v>98</v>
      </c>
      <c r="C76" s="62">
        <f>[3]С2.3!E13</f>
        <v>300</v>
      </c>
    </row>
    <row r="77" spans="1:3" ht="25.5" x14ac:dyDescent="0.2">
      <c r="A77" s="59" t="s">
        <v>110</v>
      </c>
      <c r="B77" s="69" t="s">
        <v>111</v>
      </c>
      <c r="C77" s="68">
        <f>IF([3]С2.3!E26&gt;0,[3]С2.3!E26,[3]С2.3!E16)</f>
        <v>65637</v>
      </c>
    </row>
    <row r="78" spans="1:3" ht="38.25" x14ac:dyDescent="0.2">
      <c r="A78" s="59" t="s">
        <v>112</v>
      </c>
      <c r="B78" s="69" t="s">
        <v>113</v>
      </c>
      <c r="C78" s="68">
        <f>IF([3]С2.3!E27&gt;0,[3]С2.3!E27,[3]С2.3!E17)</f>
        <v>31684</v>
      </c>
    </row>
    <row r="79" spans="1:3" ht="17.25" x14ac:dyDescent="0.2">
      <c r="A79" s="59" t="s">
        <v>114</v>
      </c>
      <c r="B79" s="33" t="s">
        <v>115</v>
      </c>
      <c r="C79" s="35">
        <f>[3]С2!F29</f>
        <v>9.5962865259740182E-2</v>
      </c>
    </row>
    <row r="80" spans="1:3" ht="30" x14ac:dyDescent="0.2">
      <c r="A80" s="59" t="s">
        <v>116</v>
      </c>
      <c r="B80" s="53" t="s">
        <v>117</v>
      </c>
      <c r="C80" s="70">
        <f>[3]С2!F30</f>
        <v>8.4029304029304031E-2</v>
      </c>
    </row>
    <row r="81" spans="1:3" ht="17.25" x14ac:dyDescent="0.2">
      <c r="A81" s="59" t="s">
        <v>118</v>
      </c>
      <c r="B81" s="71" t="s">
        <v>119</v>
      </c>
      <c r="C81" s="35">
        <f>[3]С2!F31</f>
        <v>0.13880000000000001</v>
      </c>
    </row>
    <row r="82" spans="1:3" s="63" customFormat="1" ht="18" thickBot="1" x14ac:dyDescent="0.25">
      <c r="A82" s="72" t="s">
        <v>120</v>
      </c>
      <c r="B82" s="73" t="s">
        <v>121</v>
      </c>
      <c r="C82" s="74">
        <f>[3]С2!F32</f>
        <v>0.12640000000000001</v>
      </c>
    </row>
    <row r="83" spans="1:3" ht="13.5" thickBot="1" x14ac:dyDescent="0.25">
      <c r="A83" s="47"/>
      <c r="B83" s="75"/>
      <c r="C83" s="15"/>
    </row>
    <row r="84" spans="1:3" s="63" customFormat="1" ht="30" customHeight="1" x14ac:dyDescent="0.2">
      <c r="A84" s="76" t="s">
        <v>122</v>
      </c>
      <c r="B84" s="165" t="s">
        <v>123</v>
      </c>
      <c r="C84" s="165"/>
    </row>
    <row r="85" spans="1:3" s="63" customFormat="1" ht="30" x14ac:dyDescent="0.2">
      <c r="A85" s="77" t="s">
        <v>124</v>
      </c>
      <c r="B85" s="33" t="s">
        <v>125</v>
      </c>
      <c r="C85" s="34">
        <f>[3]С3!F14</f>
        <v>6117.6201782637581</v>
      </c>
    </row>
    <row r="86" spans="1:3" s="63" customFormat="1" ht="42.75" x14ac:dyDescent="0.2">
      <c r="A86" s="77" t="s">
        <v>126</v>
      </c>
      <c r="B86" s="53" t="s">
        <v>127</v>
      </c>
      <c r="C86" s="78">
        <f>[3]С3!F15</f>
        <v>0.2</v>
      </c>
    </row>
    <row r="87" spans="1:3" s="63" customFormat="1" ht="14.25" x14ac:dyDescent="0.2">
      <c r="A87" s="77" t="s">
        <v>128</v>
      </c>
      <c r="B87" s="79" t="s">
        <v>129</v>
      </c>
      <c r="C87" s="62">
        <f>[3]С3!F18</f>
        <v>15</v>
      </c>
    </row>
    <row r="88" spans="1:3" s="63" customFormat="1" ht="17.25" x14ac:dyDescent="0.2">
      <c r="A88" s="77" t="s">
        <v>130</v>
      </c>
      <c r="B88" s="33" t="s">
        <v>131</v>
      </c>
      <c r="C88" s="34">
        <f>[3]С3!F19</f>
        <v>3778.1614077800232</v>
      </c>
    </row>
    <row r="89" spans="1:3" s="63" customFormat="1" ht="55.5" x14ac:dyDescent="0.2">
      <c r="A89" s="77" t="s">
        <v>132</v>
      </c>
      <c r="B89" s="53" t="s">
        <v>133</v>
      </c>
      <c r="C89" s="80">
        <f>[3]С3!F20</f>
        <v>2.1999999999999999E-2</v>
      </c>
    </row>
    <row r="90" spans="1:3" s="63" customFormat="1" ht="14.25" x14ac:dyDescent="0.2">
      <c r="A90" s="77" t="s">
        <v>134</v>
      </c>
      <c r="B90" s="58" t="s">
        <v>80</v>
      </c>
      <c r="C90" s="62">
        <f>[3]С3!F21</f>
        <v>10</v>
      </c>
    </row>
    <row r="91" spans="1:3" s="63" customFormat="1" ht="17.25" x14ac:dyDescent="0.2">
      <c r="A91" s="77" t="s">
        <v>135</v>
      </c>
      <c r="B91" s="33" t="s">
        <v>136</v>
      </c>
      <c r="C91" s="34">
        <f>[3]С3!F22</f>
        <v>8.3423602855286667</v>
      </c>
    </row>
    <row r="92" spans="1:3" s="63" customFormat="1" ht="55.5" x14ac:dyDescent="0.2">
      <c r="A92" s="77" t="s">
        <v>137</v>
      </c>
      <c r="B92" s="53" t="s">
        <v>138</v>
      </c>
      <c r="C92" s="80">
        <f>[3]С3!F23</f>
        <v>3.0000000000000001E-3</v>
      </c>
    </row>
    <row r="93" spans="1:3" s="63" customFormat="1" ht="27.75" thickBot="1" x14ac:dyDescent="0.25">
      <c r="A93" s="81" t="s">
        <v>139</v>
      </c>
      <c r="B93" s="82" t="s">
        <v>140</v>
      </c>
      <c r="C93" s="83">
        <f>[3]С3!F24</f>
        <v>2780.7867618428891</v>
      </c>
    </row>
    <row r="94" spans="1:3" ht="13.5" thickBot="1" x14ac:dyDescent="0.25">
      <c r="A94" s="47"/>
      <c r="B94" s="75"/>
      <c r="C94" s="15"/>
    </row>
    <row r="95" spans="1:3" ht="30" customHeight="1" x14ac:dyDescent="0.2">
      <c r="A95" s="84" t="s">
        <v>141</v>
      </c>
      <c r="B95" s="165" t="s">
        <v>142</v>
      </c>
      <c r="C95" s="165"/>
    </row>
    <row r="96" spans="1:3" ht="30" x14ac:dyDescent="0.2">
      <c r="A96" s="59" t="s">
        <v>143</v>
      </c>
      <c r="B96" s="33" t="s">
        <v>144</v>
      </c>
      <c r="C96" s="34">
        <f>[3]С4!F16</f>
        <v>1652.5</v>
      </c>
    </row>
    <row r="97" spans="1:3" ht="30" x14ac:dyDescent="0.2">
      <c r="A97" s="59" t="s">
        <v>145</v>
      </c>
      <c r="B97" s="58" t="s">
        <v>146</v>
      </c>
      <c r="C97" s="34">
        <f>[3]С4!F17</f>
        <v>73547</v>
      </c>
    </row>
    <row r="98" spans="1:3" ht="17.25" x14ac:dyDescent="0.2">
      <c r="A98" s="59" t="s">
        <v>147</v>
      </c>
      <c r="B98" s="58" t="s">
        <v>148</v>
      </c>
      <c r="C98" s="40">
        <f>[3]С4!F18</f>
        <v>0.02</v>
      </c>
    </row>
    <row r="99" spans="1:3" ht="30" x14ac:dyDescent="0.2">
      <c r="A99" s="59" t="s">
        <v>149</v>
      </c>
      <c r="B99" s="58" t="s">
        <v>150</v>
      </c>
      <c r="C99" s="34">
        <f>[3]С4!F19</f>
        <v>12104</v>
      </c>
    </row>
    <row r="100" spans="1:3" ht="31.5" x14ac:dyDescent="0.2">
      <c r="A100" s="59" t="s">
        <v>151</v>
      </c>
      <c r="B100" s="58" t="s">
        <v>152</v>
      </c>
      <c r="C100" s="40">
        <f>[3]С4!F20</f>
        <v>1.4999999999999999E-2</v>
      </c>
    </row>
    <row r="101" spans="1:3" ht="30" x14ac:dyDescent="0.2">
      <c r="A101" s="59" t="s">
        <v>153</v>
      </c>
      <c r="B101" s="33" t="s">
        <v>154</v>
      </c>
      <c r="C101" s="34">
        <f>[3]С4!F21</f>
        <v>1933.1949342509995</v>
      </c>
    </row>
    <row r="102" spans="1:3" ht="24" customHeight="1" x14ac:dyDescent="0.2">
      <c r="A102" s="59" t="s">
        <v>155</v>
      </c>
      <c r="B102" s="53" t="s">
        <v>156</v>
      </c>
      <c r="C102" s="85">
        <f>IF([3]С4.2!F8="да",[3]С4.2!D21,[3]С4.2!D15)</f>
        <v>0</v>
      </c>
    </row>
    <row r="103" spans="1:3" ht="68.25" x14ac:dyDescent="0.2">
      <c r="A103" s="59" t="s">
        <v>157</v>
      </c>
      <c r="B103" s="53" t="s">
        <v>158</v>
      </c>
      <c r="C103" s="34">
        <f>[3]С4!F22</f>
        <v>3.6112641666666665</v>
      </c>
    </row>
    <row r="104" spans="1:3" ht="30" x14ac:dyDescent="0.2">
      <c r="A104" s="59" t="s">
        <v>159</v>
      </c>
      <c r="B104" s="58" t="s">
        <v>160</v>
      </c>
      <c r="C104" s="34">
        <f>[3]С4!F23</f>
        <v>180</v>
      </c>
    </row>
    <row r="105" spans="1:3" ht="14.25" x14ac:dyDescent="0.2">
      <c r="A105" s="59" t="s">
        <v>161</v>
      </c>
      <c r="B105" s="53" t="s">
        <v>162</v>
      </c>
      <c r="C105" s="34">
        <f>[3]С4!F24</f>
        <v>8497.1999999999989</v>
      </c>
    </row>
    <row r="106" spans="1:3" ht="14.25" x14ac:dyDescent="0.2">
      <c r="A106" s="59" t="s">
        <v>163</v>
      </c>
      <c r="B106" s="58" t="s">
        <v>164</v>
      </c>
      <c r="C106" s="40">
        <f>[3]С4!F25</f>
        <v>0.35</v>
      </c>
    </row>
    <row r="107" spans="1:3" ht="17.25" x14ac:dyDescent="0.2">
      <c r="A107" s="59" t="s">
        <v>165</v>
      </c>
      <c r="B107" s="33" t="s">
        <v>166</v>
      </c>
      <c r="C107" s="34">
        <f>[3]С4!F26</f>
        <v>85.988129999999998</v>
      </c>
    </row>
    <row r="108" spans="1:3" ht="25.5" x14ac:dyDescent="0.2">
      <c r="A108" s="59" t="s">
        <v>167</v>
      </c>
      <c r="B108" s="53" t="s">
        <v>94</v>
      </c>
      <c r="C108" s="85">
        <f>[3]С4.3!E16</f>
        <v>0</v>
      </c>
    </row>
    <row r="109" spans="1:3" ht="25.5" x14ac:dyDescent="0.2">
      <c r="A109" s="59" t="s">
        <v>168</v>
      </c>
      <c r="B109" s="53" t="s">
        <v>169</v>
      </c>
      <c r="C109" s="34">
        <f>[3]С4.3!E17</f>
        <v>20.350000000000001</v>
      </c>
    </row>
    <row r="110" spans="1:3" ht="38.25" x14ac:dyDescent="0.2">
      <c r="A110" s="59" t="s">
        <v>170</v>
      </c>
      <c r="B110" s="53" t="s">
        <v>106</v>
      </c>
      <c r="C110" s="85">
        <f>[3]С4.3!E18</f>
        <v>0</v>
      </c>
    </row>
    <row r="111" spans="1:3" x14ac:dyDescent="0.2">
      <c r="A111" s="59" t="s">
        <v>171</v>
      </c>
      <c r="B111" s="53" t="s">
        <v>172</v>
      </c>
      <c r="C111" s="34">
        <f>[3]С4.3!E19</f>
        <v>71.67</v>
      </c>
    </row>
    <row r="112" spans="1:3" x14ac:dyDescent="0.2">
      <c r="A112" s="59" t="s">
        <v>173</v>
      </c>
      <c r="B112" s="58" t="s">
        <v>174</v>
      </c>
      <c r="C112" s="34">
        <f>[3]С4.3!E11</f>
        <v>1871</v>
      </c>
    </row>
    <row r="113" spans="1:3" x14ac:dyDescent="0.2">
      <c r="A113" s="59" t="s">
        <v>175</v>
      </c>
      <c r="B113" s="58" t="s">
        <v>176</v>
      </c>
      <c r="C113" s="52">
        <f>[3]С4.3!E12</f>
        <v>1636</v>
      </c>
    </row>
    <row r="114" spans="1:3" x14ac:dyDescent="0.2">
      <c r="A114" s="59" t="s">
        <v>177</v>
      </c>
      <c r="B114" s="58" t="s">
        <v>178</v>
      </c>
      <c r="C114" s="52">
        <f>[3]С4.3!E13</f>
        <v>204</v>
      </c>
    </row>
    <row r="115" spans="1:3" ht="30" x14ac:dyDescent="0.2">
      <c r="A115" s="59" t="s">
        <v>179</v>
      </c>
      <c r="B115" s="33" t="s">
        <v>180</v>
      </c>
      <c r="C115" s="34">
        <f>[3]С4!F27</f>
        <v>1291.2863994686898</v>
      </c>
    </row>
    <row r="116" spans="1:3" ht="25.5" x14ac:dyDescent="0.2">
      <c r="A116" s="59" t="s">
        <v>181</v>
      </c>
      <c r="B116" s="53" t="s">
        <v>182</v>
      </c>
      <c r="C116" s="34">
        <f>[3]С4!F28</f>
        <v>991.77142816335618</v>
      </c>
    </row>
    <row r="117" spans="1:3" ht="42.75" x14ac:dyDescent="0.2">
      <c r="A117" s="59" t="s">
        <v>183</v>
      </c>
      <c r="B117" s="53" t="s">
        <v>184</v>
      </c>
      <c r="C117" s="34">
        <f>[3]С4!F29</f>
        <v>299.51497130533357</v>
      </c>
    </row>
    <row r="118" spans="1:3" ht="30" x14ac:dyDescent="0.2">
      <c r="A118" s="59" t="s">
        <v>185</v>
      </c>
      <c r="B118" s="39" t="s">
        <v>186</v>
      </c>
      <c r="C118" s="34">
        <f>[3]С4!F30</f>
        <v>1846.1709738656207</v>
      </c>
    </row>
    <row r="119" spans="1:3" ht="42.75" x14ac:dyDescent="0.2">
      <c r="A119" s="59" t="s">
        <v>187</v>
      </c>
      <c r="B119" s="86" t="s">
        <v>188</v>
      </c>
      <c r="C119" s="34">
        <f>[3]С4!F33</f>
        <v>1124.091225525967</v>
      </c>
    </row>
    <row r="120" spans="1:3" ht="30" x14ac:dyDescent="0.2">
      <c r="A120" s="59" t="s">
        <v>189</v>
      </c>
      <c r="B120" s="87" t="s">
        <v>190</v>
      </c>
      <c r="C120" s="34">
        <f>[3]С4!F35</f>
        <v>17.040680999999999</v>
      </c>
    </row>
    <row r="121" spans="1:3" ht="14.25" x14ac:dyDescent="0.2">
      <c r="A121" s="59" t="s">
        <v>191</v>
      </c>
      <c r="B121" s="56" t="s">
        <v>192</v>
      </c>
      <c r="C121" s="34">
        <f>[3]С4!F36</f>
        <v>14319.9</v>
      </c>
    </row>
    <row r="122" spans="1:3" ht="28.5" thickBot="1" x14ac:dyDescent="0.25">
      <c r="A122" s="72" t="s">
        <v>193</v>
      </c>
      <c r="B122" s="88" t="s">
        <v>194</v>
      </c>
      <c r="C122" s="83">
        <f>[3]С4!F37</f>
        <v>1.19</v>
      </c>
    </row>
    <row r="123" spans="1:3" s="89" customFormat="1" ht="13.5" thickBot="1" x14ac:dyDescent="0.25">
      <c r="A123" s="47"/>
      <c r="B123" s="75"/>
      <c r="C123" s="15"/>
    </row>
    <row r="124" spans="1:3" s="63" customFormat="1" ht="30" customHeight="1" x14ac:dyDescent="0.2">
      <c r="A124" s="76" t="s">
        <v>195</v>
      </c>
      <c r="B124" s="165" t="s">
        <v>196</v>
      </c>
      <c r="C124" s="165"/>
    </row>
    <row r="125" spans="1:3" ht="16.5" thickBot="1" x14ac:dyDescent="0.25">
      <c r="A125" s="27" t="s">
        <v>197</v>
      </c>
      <c r="B125" s="90" t="s">
        <v>198</v>
      </c>
      <c r="C125" s="83">
        <f>[3]С5!F17</f>
        <v>0.02</v>
      </c>
    </row>
    <row r="126" spans="1:3" s="89" customFormat="1" ht="13.5" thickBot="1" x14ac:dyDescent="0.25">
      <c r="A126" s="47"/>
      <c r="B126" s="75"/>
      <c r="C126" s="15"/>
    </row>
    <row r="127" spans="1:3" ht="42.75" customHeight="1" x14ac:dyDescent="0.2">
      <c r="A127" s="84" t="s">
        <v>199</v>
      </c>
      <c r="B127" s="166" t="s">
        <v>200</v>
      </c>
      <c r="C127" s="166"/>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[3]С2!F37</f>
        <v>20.818139999999996</v>
      </c>
    </row>
    <row r="136" spans="1:4" ht="14.25" x14ac:dyDescent="0.2">
      <c r="A136" s="59" t="s">
        <v>216</v>
      </c>
      <c r="B136" s="101" t="s">
        <v>217</v>
      </c>
      <c r="C136" s="34">
        <f>[3]С2!F38</f>
        <v>7</v>
      </c>
    </row>
    <row r="137" spans="1:4" ht="17.25" x14ac:dyDescent="0.2">
      <c r="A137" s="59" t="s">
        <v>218</v>
      </c>
      <c r="B137" s="101" t="s">
        <v>219</v>
      </c>
      <c r="C137" s="34">
        <f>[3]С2!F40</f>
        <v>0.97</v>
      </c>
    </row>
    <row r="138" spans="1:4" ht="15" thickBot="1" x14ac:dyDescent="0.25">
      <c r="A138" s="72" t="s">
        <v>220</v>
      </c>
      <c r="B138" s="102" t="s">
        <v>221</v>
      </c>
      <c r="C138" s="46">
        <f>[3]С2!F42</f>
        <v>0.35</v>
      </c>
    </row>
    <row r="139" spans="1:4" s="89" customFormat="1" ht="13.5" thickBot="1" x14ac:dyDescent="0.25">
      <c r="A139" s="47"/>
      <c r="B139" s="75"/>
      <c r="C139" s="15"/>
    </row>
    <row r="140" spans="1:4" ht="30" x14ac:dyDescent="0.2">
      <c r="A140" s="84" t="s">
        <v>222</v>
      </c>
      <c r="B140" s="103" t="s">
        <v>223</v>
      </c>
      <c r="C140" s="104">
        <f>[3]С2!F35</f>
        <v>1.4976266307379205</v>
      </c>
      <c r="D140" s="89"/>
    </row>
    <row r="141" spans="1:4" ht="22.7" customHeight="1" thickBot="1" x14ac:dyDescent="0.25">
      <c r="A141" s="72" t="s">
        <v>224</v>
      </c>
      <c r="B141" s="161" t="s">
        <v>225</v>
      </c>
      <c r="C141" s="161"/>
      <c r="D141" s="89"/>
    </row>
    <row r="142" spans="1:4" ht="13.5" thickBot="1" x14ac:dyDescent="0.25">
      <c r="A142" s="105"/>
      <c r="B142" s="106" t="s">
        <v>226</v>
      </c>
      <c r="C142" s="107"/>
      <c r="D142" s="89"/>
    </row>
    <row r="143" spans="1:4" x14ac:dyDescent="0.2">
      <c r="A143" s="105"/>
      <c r="B143" s="108">
        <v>2020</v>
      </c>
      <c r="C143" s="109">
        <f>[3]С2.5!$E$11</f>
        <v>-2.9000000000000026E-2</v>
      </c>
      <c r="D143" s="89"/>
    </row>
    <row r="144" spans="1:4" x14ac:dyDescent="0.2">
      <c r="A144" s="105"/>
      <c r="B144" s="110">
        <f>B143+1</f>
        <v>2021</v>
      </c>
      <c r="C144" s="111">
        <f>[3]С2.5!$F$11</f>
        <v>0.245</v>
      </c>
      <c r="D144" s="89"/>
    </row>
    <row r="145" spans="1:4" x14ac:dyDescent="0.2">
      <c r="A145" s="105"/>
      <c r="B145" s="110">
        <f t="shared" ref="B145:B208" si="0">B144+1</f>
        <v>2022</v>
      </c>
      <c r="C145" s="111">
        <f>[3]С2.5!$G$11</f>
        <v>0.114</v>
      </c>
      <c r="D145" s="89"/>
    </row>
    <row r="146" spans="1:4" ht="13.5" thickBot="1" x14ac:dyDescent="0.25">
      <c r="A146" s="105"/>
      <c r="B146" s="112">
        <f t="shared" si="0"/>
        <v>2023</v>
      </c>
      <c r="C146" s="113">
        <f>[3]С2.5!$H$11</f>
        <v>2.4E-2</v>
      </c>
      <c r="D146" s="89"/>
    </row>
    <row r="147" spans="1:4" x14ac:dyDescent="0.2">
      <c r="A147" s="105"/>
      <c r="B147" s="114">
        <f t="shared" si="0"/>
        <v>2024</v>
      </c>
      <c r="C147" s="115">
        <f>[3]С2.5!$I$11</f>
        <v>8.5999999999999993E-2</v>
      </c>
      <c r="D147" s="89"/>
    </row>
    <row r="148" spans="1:4" hidden="1" x14ac:dyDescent="0.2">
      <c r="A148" s="105"/>
      <c r="B148" s="110">
        <f t="shared" si="0"/>
        <v>2025</v>
      </c>
      <c r="C148" s="111">
        <f>[3]С2.5!$J$11</f>
        <v>0.21215960863291</v>
      </c>
      <c r="D148" s="89"/>
    </row>
    <row r="149" spans="1:4" hidden="1" x14ac:dyDescent="0.2">
      <c r="A149" s="105"/>
      <c r="B149" s="110">
        <f t="shared" si="0"/>
        <v>2026</v>
      </c>
      <c r="C149" s="111">
        <f>[3]С2.5!$K$11</f>
        <v>3.5813361771260002E-2</v>
      </c>
      <c r="D149" s="89"/>
    </row>
    <row r="150" spans="1:4" hidden="1" x14ac:dyDescent="0.2">
      <c r="A150" s="105"/>
      <c r="B150" s="110">
        <f t="shared" si="0"/>
        <v>2027</v>
      </c>
      <c r="C150" s="111">
        <f>[3]С2.5!$L$11</f>
        <v>3.2682303599220003E-2</v>
      </c>
      <c r="D150" s="89"/>
    </row>
    <row r="151" spans="1:4" hidden="1" x14ac:dyDescent="0.2">
      <c r="A151" s="105"/>
      <c r="B151" s="110">
        <f t="shared" si="0"/>
        <v>2028</v>
      </c>
      <c r="C151" s="111">
        <f>[3]С2.5!$M$11</f>
        <v>0</v>
      </c>
      <c r="D151" s="89"/>
    </row>
    <row r="152" spans="1:4" hidden="1" x14ac:dyDescent="0.2">
      <c r="A152" s="105"/>
      <c r="B152" s="110">
        <f t="shared" si="0"/>
        <v>2029</v>
      </c>
      <c r="C152" s="111">
        <f>[3]С2.5!$N$11</f>
        <v>0</v>
      </c>
      <c r="D152" s="89"/>
    </row>
    <row r="153" spans="1:4" hidden="1" x14ac:dyDescent="0.2">
      <c r="A153" s="105"/>
      <c r="B153" s="110">
        <f t="shared" si="0"/>
        <v>2030</v>
      </c>
      <c r="C153" s="111">
        <f>[3]С2.5!$O$11</f>
        <v>0</v>
      </c>
      <c r="D153" s="89"/>
    </row>
    <row r="154" spans="1:4" hidden="1" x14ac:dyDescent="0.2">
      <c r="A154" s="105"/>
      <c r="B154" s="110">
        <f t="shared" si="0"/>
        <v>2031</v>
      </c>
      <c r="C154" s="111">
        <f>[3]С2.5!$P$11</f>
        <v>0</v>
      </c>
      <c r="D154" s="89"/>
    </row>
    <row r="155" spans="1:4" hidden="1" x14ac:dyDescent="0.2">
      <c r="A155" s="89"/>
      <c r="B155" s="110">
        <f t="shared" si="0"/>
        <v>2032</v>
      </c>
      <c r="C155" s="111">
        <f>[3]С2.5!$Q$11</f>
        <v>0</v>
      </c>
      <c r="D155" s="89"/>
    </row>
    <row r="156" spans="1:4" hidden="1" x14ac:dyDescent="0.2">
      <c r="A156" s="89"/>
      <c r="B156" s="110">
        <f t="shared" si="0"/>
        <v>2033</v>
      </c>
      <c r="C156" s="111">
        <f>[3]С2.5!$R$11</f>
        <v>0</v>
      </c>
      <c r="D156" s="89"/>
    </row>
    <row r="157" spans="1:4" hidden="1" x14ac:dyDescent="0.2">
      <c r="B157" s="110">
        <f t="shared" si="0"/>
        <v>2034</v>
      </c>
      <c r="C157" s="111">
        <f>[3]С2.5!$S$11</f>
        <v>0</v>
      </c>
    </row>
    <row r="158" spans="1:4" hidden="1" x14ac:dyDescent="0.2">
      <c r="B158" s="110">
        <f t="shared" si="0"/>
        <v>2035</v>
      </c>
      <c r="C158" s="111">
        <f>[3]С2.5!$T$11</f>
        <v>0</v>
      </c>
    </row>
    <row r="159" spans="1:4" hidden="1" x14ac:dyDescent="0.2">
      <c r="B159" s="110">
        <f t="shared" si="0"/>
        <v>2036</v>
      </c>
      <c r="C159" s="111">
        <f>[3]С2.5!$U$11</f>
        <v>0</v>
      </c>
    </row>
    <row r="160" spans="1:4" hidden="1" x14ac:dyDescent="0.2">
      <c r="B160" s="110">
        <f t="shared" si="0"/>
        <v>2037</v>
      </c>
      <c r="C160" s="111">
        <f>[3]С2.5!$V$11</f>
        <v>0</v>
      </c>
    </row>
    <row r="161" spans="2:3" hidden="1" x14ac:dyDescent="0.2">
      <c r="B161" s="110">
        <f t="shared" si="0"/>
        <v>2038</v>
      </c>
      <c r="C161" s="111">
        <f>[3]С2.5!$W$11</f>
        <v>0</v>
      </c>
    </row>
    <row r="162" spans="2:3" hidden="1" x14ac:dyDescent="0.2">
      <c r="B162" s="110">
        <f t="shared" si="0"/>
        <v>2039</v>
      </c>
      <c r="C162" s="111">
        <f>[3]С2.5!$X$11</f>
        <v>0</v>
      </c>
    </row>
    <row r="163" spans="2:3" hidden="1" x14ac:dyDescent="0.2">
      <c r="B163" s="110">
        <f t="shared" si="0"/>
        <v>2040</v>
      </c>
      <c r="C163" s="111">
        <f>[3]С2.5!$Y$11</f>
        <v>0</v>
      </c>
    </row>
    <row r="164" spans="2:3" hidden="1" x14ac:dyDescent="0.2">
      <c r="B164" s="110">
        <f t="shared" si="0"/>
        <v>2041</v>
      </c>
      <c r="C164" s="111">
        <f>[3]С2.5!$Z$11</f>
        <v>0</v>
      </c>
    </row>
    <row r="165" spans="2:3" hidden="1" x14ac:dyDescent="0.2">
      <c r="B165" s="110">
        <f t="shared" si="0"/>
        <v>2042</v>
      </c>
      <c r="C165" s="111">
        <f>[3]С2.5!$AA$11</f>
        <v>0</v>
      </c>
    </row>
    <row r="166" spans="2:3" hidden="1" x14ac:dyDescent="0.2">
      <c r="B166" s="110">
        <f t="shared" si="0"/>
        <v>2043</v>
      </c>
      <c r="C166" s="111">
        <f>[3]С2.5!$AB$11</f>
        <v>0</v>
      </c>
    </row>
    <row r="167" spans="2:3" hidden="1" x14ac:dyDescent="0.2">
      <c r="B167" s="110">
        <f t="shared" si="0"/>
        <v>2044</v>
      </c>
      <c r="C167" s="111">
        <f>[3]С2.5!$AC$11</f>
        <v>0</v>
      </c>
    </row>
    <row r="168" spans="2:3" hidden="1" x14ac:dyDescent="0.2">
      <c r="B168" s="110">
        <f t="shared" si="0"/>
        <v>2045</v>
      </c>
      <c r="C168" s="111">
        <f>[3]С2.5!$AD$11</f>
        <v>0</v>
      </c>
    </row>
    <row r="169" spans="2:3" hidden="1" x14ac:dyDescent="0.2">
      <c r="B169" s="110">
        <f t="shared" si="0"/>
        <v>2046</v>
      </c>
      <c r="C169" s="111">
        <f>[3]С2.5!$AE$11</f>
        <v>0</v>
      </c>
    </row>
    <row r="170" spans="2:3" hidden="1" x14ac:dyDescent="0.2">
      <c r="B170" s="110">
        <f t="shared" si="0"/>
        <v>2047</v>
      </c>
      <c r="C170" s="111">
        <f>[3]С2.5!$AF$11</f>
        <v>0</v>
      </c>
    </row>
    <row r="171" spans="2:3" hidden="1" x14ac:dyDescent="0.2">
      <c r="B171" s="110">
        <f t="shared" si="0"/>
        <v>2048</v>
      </c>
      <c r="C171" s="111">
        <f>[3]С2.5!$AG$11</f>
        <v>0</v>
      </c>
    </row>
    <row r="172" spans="2:3" hidden="1" x14ac:dyDescent="0.2">
      <c r="B172" s="110">
        <f t="shared" si="0"/>
        <v>2049</v>
      </c>
      <c r="C172" s="111">
        <f>[3]С2.5!$AH$11</f>
        <v>0</v>
      </c>
    </row>
    <row r="173" spans="2:3" hidden="1" x14ac:dyDescent="0.2">
      <c r="B173" s="110">
        <f t="shared" si="0"/>
        <v>2050</v>
      </c>
      <c r="C173" s="111">
        <f>[3]С2.5!$AI$11</f>
        <v>0</v>
      </c>
    </row>
    <row r="174" spans="2:3" hidden="1" x14ac:dyDescent="0.2">
      <c r="B174" s="110">
        <f t="shared" si="0"/>
        <v>2051</v>
      </c>
      <c r="C174" s="111">
        <f>[3]С2.5!$AJ$11</f>
        <v>0</v>
      </c>
    </row>
    <row r="175" spans="2:3" hidden="1" x14ac:dyDescent="0.2">
      <c r="B175" s="110">
        <f t="shared" si="0"/>
        <v>2052</v>
      </c>
      <c r="C175" s="111">
        <f>[3]С2.5!$AK$11</f>
        <v>0</v>
      </c>
    </row>
    <row r="176" spans="2:3" hidden="1" x14ac:dyDescent="0.2">
      <c r="B176" s="110">
        <f t="shared" si="0"/>
        <v>2053</v>
      </c>
      <c r="C176" s="111">
        <f>[3]С2.5!$AL$11</f>
        <v>0</v>
      </c>
    </row>
    <row r="177" spans="2:3" hidden="1" x14ac:dyDescent="0.2">
      <c r="B177" s="110">
        <f t="shared" si="0"/>
        <v>2054</v>
      </c>
      <c r="C177" s="111">
        <f>[3]С2.5!$AM$11</f>
        <v>0</v>
      </c>
    </row>
    <row r="178" spans="2:3" hidden="1" x14ac:dyDescent="0.2">
      <c r="B178" s="110">
        <f t="shared" si="0"/>
        <v>2055</v>
      </c>
      <c r="C178" s="111">
        <f>[3]С2.5!$AN$11</f>
        <v>0</v>
      </c>
    </row>
    <row r="179" spans="2:3" hidden="1" x14ac:dyDescent="0.2">
      <c r="B179" s="110">
        <f t="shared" si="0"/>
        <v>2056</v>
      </c>
      <c r="C179" s="111">
        <f>[3]С2.5!$AO$11</f>
        <v>0</v>
      </c>
    </row>
    <row r="180" spans="2:3" hidden="1" x14ac:dyDescent="0.2">
      <c r="B180" s="110">
        <f t="shared" si="0"/>
        <v>2057</v>
      </c>
      <c r="C180" s="111">
        <f>[3]С2.5!$AP$11</f>
        <v>0</v>
      </c>
    </row>
    <row r="181" spans="2:3" hidden="1" x14ac:dyDescent="0.2">
      <c r="B181" s="110">
        <f t="shared" si="0"/>
        <v>2058</v>
      </c>
      <c r="C181" s="111">
        <f>[3]С2.5!$AQ$11</f>
        <v>0</v>
      </c>
    </row>
    <row r="182" spans="2:3" hidden="1" x14ac:dyDescent="0.2">
      <c r="B182" s="110">
        <f t="shared" si="0"/>
        <v>2059</v>
      </c>
      <c r="C182" s="111">
        <f>[3]С2.5!$AR$11</f>
        <v>0</v>
      </c>
    </row>
    <row r="183" spans="2:3" hidden="1" x14ac:dyDescent="0.2">
      <c r="B183" s="110">
        <f t="shared" si="0"/>
        <v>2060</v>
      </c>
      <c r="C183" s="111">
        <f>[3]С2.5!$AS$11</f>
        <v>0</v>
      </c>
    </row>
    <row r="184" spans="2:3" hidden="1" x14ac:dyDescent="0.2">
      <c r="B184" s="110">
        <f t="shared" si="0"/>
        <v>2061</v>
      </c>
      <c r="C184" s="111">
        <f>[3]С2.5!$AT$11</f>
        <v>0</v>
      </c>
    </row>
    <row r="185" spans="2:3" hidden="1" x14ac:dyDescent="0.2">
      <c r="B185" s="110">
        <f t="shared" si="0"/>
        <v>2062</v>
      </c>
      <c r="C185" s="111">
        <f>[3]С2.5!$AU$11</f>
        <v>0</v>
      </c>
    </row>
    <row r="186" spans="2:3" hidden="1" x14ac:dyDescent="0.2">
      <c r="B186" s="110">
        <f t="shared" si="0"/>
        <v>2063</v>
      </c>
      <c r="C186" s="111">
        <f>[3]С2.5!$AV$11</f>
        <v>0</v>
      </c>
    </row>
    <row r="187" spans="2:3" hidden="1" x14ac:dyDescent="0.2">
      <c r="B187" s="110">
        <f t="shared" si="0"/>
        <v>2064</v>
      </c>
      <c r="C187" s="111">
        <f>[3]С2.5!$AW$11</f>
        <v>0</v>
      </c>
    </row>
    <row r="188" spans="2:3" hidden="1" x14ac:dyDescent="0.2">
      <c r="B188" s="110">
        <f t="shared" si="0"/>
        <v>2065</v>
      </c>
      <c r="C188" s="111">
        <f>[3]С2.5!$AX$11</f>
        <v>0</v>
      </c>
    </row>
    <row r="189" spans="2:3" hidden="1" x14ac:dyDescent="0.2">
      <c r="B189" s="110">
        <f t="shared" si="0"/>
        <v>2066</v>
      </c>
      <c r="C189" s="111">
        <f>[3]С2.5!$AY$11</f>
        <v>0</v>
      </c>
    </row>
    <row r="190" spans="2:3" hidden="1" x14ac:dyDescent="0.2">
      <c r="B190" s="110">
        <f t="shared" si="0"/>
        <v>2067</v>
      </c>
      <c r="C190" s="111">
        <f>[3]С2.5!$AZ$11</f>
        <v>0</v>
      </c>
    </row>
    <row r="191" spans="2:3" hidden="1" x14ac:dyDescent="0.2">
      <c r="B191" s="110">
        <f t="shared" si="0"/>
        <v>2068</v>
      </c>
      <c r="C191" s="111">
        <f>[3]С2.5!$BA$11</f>
        <v>0</v>
      </c>
    </row>
    <row r="192" spans="2:3" hidden="1" x14ac:dyDescent="0.2">
      <c r="B192" s="110">
        <f t="shared" si="0"/>
        <v>2069</v>
      </c>
      <c r="C192" s="111">
        <f>[3]С2.5!$BB$11</f>
        <v>0</v>
      </c>
    </row>
    <row r="193" spans="2:3" hidden="1" x14ac:dyDescent="0.2">
      <c r="B193" s="110">
        <f t="shared" si="0"/>
        <v>2070</v>
      </c>
      <c r="C193" s="111">
        <f>[3]С2.5!$BC$11</f>
        <v>0</v>
      </c>
    </row>
    <row r="194" spans="2:3" hidden="1" x14ac:dyDescent="0.2">
      <c r="B194" s="110">
        <f t="shared" si="0"/>
        <v>2071</v>
      </c>
      <c r="C194" s="111">
        <f>[3]С2.5!$BD$11</f>
        <v>0</v>
      </c>
    </row>
    <row r="195" spans="2:3" hidden="1" x14ac:dyDescent="0.2">
      <c r="B195" s="110">
        <f t="shared" si="0"/>
        <v>2072</v>
      </c>
      <c r="C195" s="111">
        <f>[3]С2.5!$BE$11</f>
        <v>0</v>
      </c>
    </row>
    <row r="196" spans="2:3" hidden="1" x14ac:dyDescent="0.2">
      <c r="B196" s="110">
        <f t="shared" si="0"/>
        <v>2073</v>
      </c>
      <c r="C196" s="111">
        <f>[3]С2.5!$BF$11</f>
        <v>0</v>
      </c>
    </row>
    <row r="197" spans="2:3" hidden="1" x14ac:dyDescent="0.2">
      <c r="B197" s="110">
        <f t="shared" si="0"/>
        <v>2074</v>
      </c>
      <c r="C197" s="111">
        <f>[3]С2.5!$BG$11</f>
        <v>0</v>
      </c>
    </row>
    <row r="198" spans="2:3" hidden="1" x14ac:dyDescent="0.2">
      <c r="B198" s="110">
        <f t="shared" si="0"/>
        <v>2075</v>
      </c>
      <c r="C198" s="111">
        <f>[3]С2.5!$BH$11</f>
        <v>0</v>
      </c>
    </row>
    <row r="199" spans="2:3" hidden="1" x14ac:dyDescent="0.2">
      <c r="B199" s="110">
        <f t="shared" si="0"/>
        <v>2076</v>
      </c>
      <c r="C199" s="111">
        <f>[3]С2.5!$BI$11</f>
        <v>0</v>
      </c>
    </row>
    <row r="200" spans="2:3" hidden="1" x14ac:dyDescent="0.2">
      <c r="B200" s="110">
        <f t="shared" si="0"/>
        <v>2077</v>
      </c>
      <c r="C200" s="111">
        <f>[3]С2.5!$BJ$11</f>
        <v>0</v>
      </c>
    </row>
    <row r="201" spans="2:3" hidden="1" x14ac:dyDescent="0.2">
      <c r="B201" s="110">
        <f t="shared" si="0"/>
        <v>2078</v>
      </c>
      <c r="C201" s="111">
        <f>[3]С2.5!$BK$11</f>
        <v>0</v>
      </c>
    </row>
    <row r="202" spans="2:3" hidden="1" x14ac:dyDescent="0.2">
      <c r="B202" s="110">
        <f t="shared" si="0"/>
        <v>2079</v>
      </c>
      <c r="C202" s="111">
        <f>[3]С2.5!$BL$11</f>
        <v>0</v>
      </c>
    </row>
    <row r="203" spans="2:3" hidden="1" x14ac:dyDescent="0.2">
      <c r="B203" s="110">
        <f t="shared" si="0"/>
        <v>2080</v>
      </c>
      <c r="C203" s="111">
        <f>[3]С2.5!$BM$11</f>
        <v>0</v>
      </c>
    </row>
    <row r="204" spans="2:3" hidden="1" x14ac:dyDescent="0.2">
      <c r="B204" s="110">
        <f t="shared" si="0"/>
        <v>2081</v>
      </c>
      <c r="C204" s="111">
        <f>[3]С2.5!$BN$11</f>
        <v>0</v>
      </c>
    </row>
    <row r="205" spans="2:3" hidden="1" x14ac:dyDescent="0.2">
      <c r="B205" s="110">
        <f t="shared" si="0"/>
        <v>2082</v>
      </c>
      <c r="C205" s="111">
        <f>[3]С2.5!$BO$11</f>
        <v>0</v>
      </c>
    </row>
    <row r="206" spans="2:3" hidden="1" x14ac:dyDescent="0.2">
      <c r="B206" s="110">
        <f t="shared" si="0"/>
        <v>2083</v>
      </c>
      <c r="C206" s="111">
        <f>[3]С2.5!$BP$11</f>
        <v>0</v>
      </c>
    </row>
    <row r="207" spans="2:3" hidden="1" x14ac:dyDescent="0.2">
      <c r="B207" s="110">
        <f t="shared" si="0"/>
        <v>2084</v>
      </c>
      <c r="C207" s="111">
        <f>[3]С2.5!$BQ$11</f>
        <v>0</v>
      </c>
    </row>
    <row r="208" spans="2:3" hidden="1" x14ac:dyDescent="0.2">
      <c r="B208" s="110">
        <f t="shared" si="0"/>
        <v>2085</v>
      </c>
      <c r="C208" s="111">
        <f>[3]С2.5!$BR$11</f>
        <v>0</v>
      </c>
    </row>
    <row r="209" spans="2:3" hidden="1" x14ac:dyDescent="0.2">
      <c r="B209" s="110">
        <f t="shared" ref="B209:B223" si="1">B208+1</f>
        <v>2086</v>
      </c>
      <c r="C209" s="111">
        <f>[3]С2.5!$BS$11</f>
        <v>0</v>
      </c>
    </row>
    <row r="210" spans="2:3" hidden="1" x14ac:dyDescent="0.2">
      <c r="B210" s="110">
        <f t="shared" si="1"/>
        <v>2087</v>
      </c>
      <c r="C210" s="111">
        <f>[3]С2.5!$BT$11</f>
        <v>0</v>
      </c>
    </row>
    <row r="211" spans="2:3" hidden="1" x14ac:dyDescent="0.2">
      <c r="B211" s="110">
        <f t="shared" si="1"/>
        <v>2088</v>
      </c>
      <c r="C211" s="111">
        <f>[3]С2.5!$BU$11</f>
        <v>0</v>
      </c>
    </row>
    <row r="212" spans="2:3" hidden="1" x14ac:dyDescent="0.2">
      <c r="B212" s="110">
        <f t="shared" si="1"/>
        <v>2089</v>
      </c>
      <c r="C212" s="111">
        <f>[3]С2.5!$BV$11</f>
        <v>0</v>
      </c>
    </row>
    <row r="213" spans="2:3" hidden="1" x14ac:dyDescent="0.2">
      <c r="B213" s="110">
        <f t="shared" si="1"/>
        <v>2090</v>
      </c>
      <c r="C213" s="111">
        <f>[3]С2.5!$BW$11</f>
        <v>0</v>
      </c>
    </row>
    <row r="214" spans="2:3" hidden="1" x14ac:dyDescent="0.2">
      <c r="B214" s="110">
        <f t="shared" si="1"/>
        <v>2091</v>
      </c>
      <c r="C214" s="111">
        <f>[3]С2.5!$BX$11</f>
        <v>0</v>
      </c>
    </row>
    <row r="215" spans="2:3" hidden="1" x14ac:dyDescent="0.2">
      <c r="B215" s="110">
        <f t="shared" si="1"/>
        <v>2092</v>
      </c>
      <c r="C215" s="111">
        <f>[3]С2.5!$BY$11</f>
        <v>0</v>
      </c>
    </row>
    <row r="216" spans="2:3" hidden="1" x14ac:dyDescent="0.2">
      <c r="B216" s="110">
        <f t="shared" si="1"/>
        <v>2093</v>
      </c>
      <c r="C216" s="111">
        <f>[3]С2.5!$BZ$11</f>
        <v>0</v>
      </c>
    </row>
    <row r="217" spans="2:3" hidden="1" x14ac:dyDescent="0.2">
      <c r="B217" s="110">
        <f t="shared" si="1"/>
        <v>2094</v>
      </c>
      <c r="C217" s="111">
        <f>[3]С2.5!$CA$11</f>
        <v>0</v>
      </c>
    </row>
    <row r="218" spans="2:3" hidden="1" x14ac:dyDescent="0.2">
      <c r="B218" s="110">
        <f t="shared" si="1"/>
        <v>2095</v>
      </c>
      <c r="C218" s="111">
        <f>[3]С2.5!$CB$11</f>
        <v>0</v>
      </c>
    </row>
    <row r="219" spans="2:3" hidden="1" x14ac:dyDescent="0.2">
      <c r="B219" s="110">
        <f t="shared" si="1"/>
        <v>2096</v>
      </c>
      <c r="C219" s="111">
        <f>[3]С2.5!$CC$11</f>
        <v>0</v>
      </c>
    </row>
    <row r="220" spans="2:3" hidden="1" x14ac:dyDescent="0.2">
      <c r="B220" s="110">
        <f t="shared" si="1"/>
        <v>2097</v>
      </c>
      <c r="C220" s="111">
        <f>[3]С2.5!$CD$11</f>
        <v>0</v>
      </c>
    </row>
    <row r="221" spans="2:3" hidden="1" x14ac:dyDescent="0.2">
      <c r="B221" s="110">
        <f t="shared" si="1"/>
        <v>2098</v>
      </c>
      <c r="C221" s="111">
        <f>[3]С2.5!$CE$11</f>
        <v>0</v>
      </c>
    </row>
    <row r="222" spans="2:3" hidden="1" x14ac:dyDescent="0.2">
      <c r="B222" s="110">
        <f t="shared" si="1"/>
        <v>2099</v>
      </c>
      <c r="C222" s="111">
        <f>[3]С2.5!$CF$11</f>
        <v>0</v>
      </c>
    </row>
    <row r="223" spans="2:3" ht="13.5" hidden="1" thickBot="1" x14ac:dyDescent="0.25">
      <c r="B223" s="112">
        <f t="shared" si="1"/>
        <v>2100</v>
      </c>
      <c r="C223" s="113">
        <f>[3]С2.5!$CG$11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Button 1">
              <controlPr defaultSize="0" print="0" autoFill="0" autoPict="0" macro="[4]!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2050" r:id="rId4" name="Button 2">
              <controlPr defaultSize="0" print="0" autoFill="0" autoPict="0" macro="[3]!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7.28515625" style="2" customWidth="1"/>
    <col min="2" max="2" width="100.7109375" style="2" customWidth="1"/>
    <col min="3" max="3" width="20.85546875" style="139" customWidth="1"/>
    <col min="4" max="4" width="5.140625" style="2" customWidth="1"/>
    <col min="5" max="5" width="17.5703125" style="2" customWidth="1"/>
    <col min="6" max="158" width="9.140625" style="2"/>
    <col min="159" max="240" width="0" style="2" hidden="1" customWidth="1"/>
    <col min="241" max="249" width="9.140625" style="2"/>
    <col min="250" max="250" width="3.710937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710937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710937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710937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710937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710937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710937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710937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710937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710937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710937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710937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710937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710937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710937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710937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710937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710937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710937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710937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710937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710937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710937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710937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710937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710937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710937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710937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710937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710937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710937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710937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710937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710937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710937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710937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710937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710937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710937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710937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710937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710937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710937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710937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710937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710937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710937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710937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710937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710937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710937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710937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710937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710937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710937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710937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710937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710937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710937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710937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710937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710937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710937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3"/>
      <c r="B1" s="163" t="s">
        <v>227</v>
      </c>
      <c r="C1" s="163"/>
    </row>
    <row r="2" spans="1:3" x14ac:dyDescent="0.2">
      <c r="A2" s="3"/>
      <c r="B2" s="4" t="s">
        <v>1</v>
      </c>
      <c r="C2" s="5">
        <v>45317</v>
      </c>
    </row>
    <row r="3" spans="1:3" x14ac:dyDescent="0.2">
      <c r="A3" s="3"/>
      <c r="B3" s="117" t="s">
        <v>2</v>
      </c>
      <c r="C3" s="7"/>
    </row>
    <row r="4" spans="1:3" ht="25.5" x14ac:dyDescent="0.2">
      <c r="A4" s="8"/>
      <c r="B4" s="9" t="str">
        <f>[5]И1!D13</f>
        <v>Субъект Российской Федерации</v>
      </c>
      <c r="C4" s="10" t="str">
        <f>[5]И1!E13</f>
        <v>Новосибирская область</v>
      </c>
    </row>
    <row r="5" spans="1:3" ht="48.6" customHeight="1" x14ac:dyDescent="0.2">
      <c r="A5" s="8"/>
      <c r="B5" s="9" t="str">
        <f>[5]И1!D14</f>
        <v>Тип муниципального образования (выберите из списка)</v>
      </c>
      <c r="C5" s="10" t="str">
        <f>[5]И1!E14</f>
        <v xml:space="preserve">село Верх-Коен, Искитимский муниципальный район </v>
      </c>
    </row>
    <row r="6" spans="1:3" x14ac:dyDescent="0.2">
      <c r="A6" s="8"/>
      <c r="B6" s="9" t="str">
        <f>IF([5]И1!E15="","",[5]И1!D15)</f>
        <v/>
      </c>
      <c r="C6" s="7" t="str">
        <f>IF([5]И1!E15="","",[5]И1!E15)</f>
        <v/>
      </c>
    </row>
    <row r="7" spans="1:3" x14ac:dyDescent="0.2">
      <c r="A7" s="8"/>
      <c r="B7" s="9" t="str">
        <f>[5]И1!D16</f>
        <v>Код ОКТМО</v>
      </c>
      <c r="C7" s="11" t="str">
        <f>[5]И1!E16</f>
        <v>(50615404101)</v>
      </c>
    </row>
    <row r="8" spans="1:3" x14ac:dyDescent="0.2">
      <c r="A8" s="8"/>
      <c r="B8" s="12" t="str">
        <f>[5]И1!D17</f>
        <v>Система теплоснабжения</v>
      </c>
      <c r="C8" s="13">
        <f>[5]И1!E17</f>
        <v>0</v>
      </c>
    </row>
    <row r="9" spans="1:3" x14ac:dyDescent="0.2">
      <c r="A9" s="8"/>
      <c r="B9" s="9" t="str">
        <f>[5]И1!D8</f>
        <v>Период регулирования (i)-й</v>
      </c>
      <c r="C9" s="14">
        <f>[5]И1!E8</f>
        <v>2024</v>
      </c>
    </row>
    <row r="10" spans="1:3" x14ac:dyDescent="0.2">
      <c r="A10" s="8"/>
      <c r="B10" s="9" t="str">
        <f>[5]И1!D9</f>
        <v>Период регулирования (i-1)-й</v>
      </c>
      <c r="C10" s="14">
        <f>[5]И1!E9</f>
        <v>2023</v>
      </c>
    </row>
    <row r="11" spans="1:3" x14ac:dyDescent="0.2">
      <c r="A11" s="8"/>
      <c r="B11" s="9" t="str">
        <f>[5]И1!D10</f>
        <v>Период регулирования (i-2)-й</v>
      </c>
      <c r="C11" s="14">
        <f>[5]И1!E10</f>
        <v>2022</v>
      </c>
    </row>
    <row r="12" spans="1:3" x14ac:dyDescent="0.2">
      <c r="A12" s="8"/>
      <c r="B12" s="9" t="str">
        <f>[5]И1!D11</f>
        <v>Базовый год (б)</v>
      </c>
      <c r="C12" s="14">
        <f>[5]И1!E11</f>
        <v>2019</v>
      </c>
    </row>
    <row r="13" spans="1:3" x14ac:dyDescent="0.2">
      <c r="A13" s="8"/>
      <c r="B13" s="9" t="str">
        <f>[5]И1!D18</f>
        <v>Вид топлива, использование которого преобладает в системе теплоснабжения</v>
      </c>
      <c r="C13" s="15" t="str">
        <f>[5]И1!E18</f>
        <v>Газ</v>
      </c>
    </row>
    <row r="14" spans="1:3" ht="26.25" customHeight="1" thickBot="1" x14ac:dyDescent="0.25">
      <c r="A14" s="167" t="s">
        <v>3</v>
      </c>
      <c r="B14" s="167"/>
      <c r="C14" s="167"/>
    </row>
    <row r="15" spans="1:3" x14ac:dyDescent="0.2">
      <c r="A15" s="16" t="s">
        <v>4</v>
      </c>
      <c r="B15" s="30" t="s">
        <v>5</v>
      </c>
      <c r="C15" s="118" t="s">
        <v>6</v>
      </c>
    </row>
    <row r="16" spans="1:3" x14ac:dyDescent="0.2">
      <c r="A16" s="19">
        <v>1</v>
      </c>
      <c r="B16" s="119">
        <v>2</v>
      </c>
      <c r="C16" s="120">
        <v>3</v>
      </c>
    </row>
    <row r="17" spans="1:3" x14ac:dyDescent="0.2">
      <c r="A17" s="22">
        <v>1</v>
      </c>
      <c r="B17" s="23" t="s">
        <v>7</v>
      </c>
      <c r="C17" s="24">
        <f>SUM(C18:C23)</f>
        <v>2939.204068798766</v>
      </c>
    </row>
    <row r="18" spans="1:3" ht="42.75" x14ac:dyDescent="0.2">
      <c r="A18" s="22" t="s">
        <v>8</v>
      </c>
      <c r="B18" s="25" t="s">
        <v>9</v>
      </c>
      <c r="C18" s="26">
        <f>[5]С1!F12</f>
        <v>994.35037159416254</v>
      </c>
    </row>
    <row r="19" spans="1:3" ht="42.75" x14ac:dyDescent="0.2">
      <c r="A19" s="22" t="s">
        <v>10</v>
      </c>
      <c r="B19" s="25" t="s">
        <v>11</v>
      </c>
      <c r="C19" s="26">
        <f>[5]С2!F12</f>
        <v>1338.5714783459885</v>
      </c>
    </row>
    <row r="20" spans="1:3" ht="30" x14ac:dyDescent="0.2">
      <c r="A20" s="22" t="s">
        <v>12</v>
      </c>
      <c r="B20" s="25" t="s">
        <v>13</v>
      </c>
      <c r="C20" s="26">
        <f>[5]С3!F12</f>
        <v>317.98065232680995</v>
      </c>
    </row>
    <row r="21" spans="1:3" ht="42.75" x14ac:dyDescent="0.2">
      <c r="A21" s="22" t="s">
        <v>14</v>
      </c>
      <c r="B21" s="25" t="s">
        <v>228</v>
      </c>
      <c r="C21" s="26">
        <f>[5]С4!F12</f>
        <v>230.67011420241766</v>
      </c>
    </row>
    <row r="22" spans="1:3" ht="33" customHeight="1" x14ac:dyDescent="0.2">
      <c r="A22" s="22" t="s">
        <v>16</v>
      </c>
      <c r="B22" s="25" t="s">
        <v>229</v>
      </c>
      <c r="C22" s="26">
        <f>[5]С5!F12</f>
        <v>57.631452329387571</v>
      </c>
    </row>
    <row r="23" spans="1:3" ht="45.75" customHeight="1" thickBot="1" x14ac:dyDescent="0.25">
      <c r="A23" s="27" t="s">
        <v>18</v>
      </c>
      <c r="B23" s="140" t="s">
        <v>230</v>
      </c>
      <c r="C23" s="28">
        <f>[5]С6!F12</f>
        <v>0</v>
      </c>
    </row>
    <row r="24" spans="1:3" ht="13.5" thickBot="1" x14ac:dyDescent="0.25">
      <c r="A24" s="3"/>
      <c r="C24" s="7"/>
    </row>
    <row r="25" spans="1:3" x14ac:dyDescent="0.2">
      <c r="A25" s="16" t="s">
        <v>4</v>
      </c>
      <c r="B25" s="29" t="s">
        <v>5</v>
      </c>
      <c r="C25" s="30" t="s">
        <v>6</v>
      </c>
    </row>
    <row r="26" spans="1:3" x14ac:dyDescent="0.2">
      <c r="A26" s="19">
        <v>1</v>
      </c>
      <c r="B26" s="31">
        <v>2</v>
      </c>
      <c r="C26" s="32">
        <v>3</v>
      </c>
    </row>
    <row r="27" spans="1:3" ht="30" customHeight="1" x14ac:dyDescent="0.2">
      <c r="A27" s="22">
        <v>1</v>
      </c>
      <c r="B27" s="164" t="s">
        <v>20</v>
      </c>
      <c r="C27" s="164"/>
    </row>
    <row r="28" spans="1:3" x14ac:dyDescent="0.2">
      <c r="A28" s="22" t="s">
        <v>8</v>
      </c>
      <c r="B28" s="33" t="s">
        <v>231</v>
      </c>
      <c r="C28" s="34">
        <f>[5]С1.1!E16</f>
        <v>7900</v>
      </c>
    </row>
    <row r="29" spans="1:3" ht="42.75" x14ac:dyDescent="0.2">
      <c r="A29" s="22" t="s">
        <v>10</v>
      </c>
      <c r="B29" s="33" t="s">
        <v>232</v>
      </c>
      <c r="C29" s="34">
        <f>[5]С1.1!E32</f>
        <v>5751.37</v>
      </c>
    </row>
    <row r="30" spans="1:3" ht="38.25" x14ac:dyDescent="0.2">
      <c r="A30" s="22" t="s">
        <v>233</v>
      </c>
      <c r="B30" s="33" t="s">
        <v>234</v>
      </c>
      <c r="C30" s="85" t="str">
        <f>[5]С1.1!E25</f>
        <v>ООО "Газпром газораспределение Томск"</v>
      </c>
    </row>
    <row r="31" spans="1:3" ht="38.25" x14ac:dyDescent="0.2">
      <c r="A31" s="22" t="s">
        <v>235</v>
      </c>
      <c r="B31" s="33" t="str">
        <f>[5]С1.1!D26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4">
        <f>[5]С1.1!E26</f>
        <v>4699.5</v>
      </c>
    </row>
    <row r="32" spans="1:3" ht="25.5" x14ac:dyDescent="0.2">
      <c r="A32" s="22" t="s">
        <v>236</v>
      </c>
      <c r="B32" s="33" t="str">
        <f>[5]С1.1!D27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4">
        <f>[5]С1.1!E27</f>
        <v>795.43</v>
      </c>
    </row>
    <row r="33" spans="1:3" ht="25.5" x14ac:dyDescent="0.2">
      <c r="A33" s="22" t="s">
        <v>237</v>
      </c>
      <c r="B33" s="33" t="str">
        <f>[5]С1.1!D28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4">
        <f>[5]С1.1!E28</f>
        <v>136.54</v>
      </c>
    </row>
    <row r="34" spans="1:3" ht="38.25" x14ac:dyDescent="0.2">
      <c r="A34" s="22" t="s">
        <v>238</v>
      </c>
      <c r="B34" s="33" t="str">
        <f>[5]С1.1!D29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4">
        <f>[5]С1.1!E29</f>
        <v>119.9</v>
      </c>
    </row>
    <row r="35" spans="1:3" ht="17.25" x14ac:dyDescent="0.2">
      <c r="A35" s="22" t="s">
        <v>12</v>
      </c>
      <c r="B35" s="33" t="s">
        <v>23</v>
      </c>
      <c r="C35" s="35">
        <f>[5]С1.1!E20</f>
        <v>8.5000000000000006E-2</v>
      </c>
    </row>
    <row r="36" spans="1:3" ht="17.25" x14ac:dyDescent="0.2">
      <c r="A36" s="22" t="s">
        <v>14</v>
      </c>
      <c r="B36" s="33" t="s">
        <v>24</v>
      </c>
      <c r="C36" s="35">
        <f>[5]С1.1!E21</f>
        <v>0.112</v>
      </c>
    </row>
    <row r="37" spans="1:3" ht="30" x14ac:dyDescent="0.2">
      <c r="A37" s="22" t="s">
        <v>16</v>
      </c>
      <c r="B37" s="36" t="s">
        <v>239</v>
      </c>
      <c r="C37" s="121">
        <f>[5]С1!F13</f>
        <v>156.1</v>
      </c>
    </row>
    <row r="38" spans="1:3" x14ac:dyDescent="0.2">
      <c r="A38" s="22" t="s">
        <v>18</v>
      </c>
      <c r="B38" s="36" t="s">
        <v>26</v>
      </c>
      <c r="C38" s="38">
        <f>[5]С1!F16</f>
        <v>7000</v>
      </c>
    </row>
    <row r="39" spans="1:3" ht="14.25" x14ac:dyDescent="0.2">
      <c r="A39" s="122" t="s">
        <v>27</v>
      </c>
      <c r="B39" s="39" t="s">
        <v>240</v>
      </c>
      <c r="C39" s="40">
        <f>[5]С1!F17</f>
        <v>1.1285714285714286</v>
      </c>
    </row>
    <row r="40" spans="1:3" ht="15.75" x14ac:dyDescent="0.2">
      <c r="A40" s="123" t="s">
        <v>29</v>
      </c>
      <c r="B40" s="42" t="s">
        <v>30</v>
      </c>
      <c r="C40" s="40">
        <f>[5]С1!F20</f>
        <v>22.307053372799995</v>
      </c>
    </row>
    <row r="41" spans="1:3" ht="15.75" x14ac:dyDescent="0.2">
      <c r="A41" s="123" t="s">
        <v>31</v>
      </c>
      <c r="B41" s="43" t="s">
        <v>32</v>
      </c>
      <c r="C41" s="40">
        <f>[5]С1!F21</f>
        <v>21.531904799999996</v>
      </c>
    </row>
    <row r="42" spans="1:3" ht="14.25" x14ac:dyDescent="0.2">
      <c r="A42" s="123" t="s">
        <v>33</v>
      </c>
      <c r="B42" s="44" t="s">
        <v>34</v>
      </c>
      <c r="C42" s="40">
        <f>[5]С1!F22</f>
        <v>1.036</v>
      </c>
    </row>
    <row r="43" spans="1:3" ht="53.25" thickBot="1" x14ac:dyDescent="0.25">
      <c r="A43" s="27" t="s">
        <v>35</v>
      </c>
      <c r="B43" s="45" t="s">
        <v>36</v>
      </c>
      <c r="C43" s="46" t="str">
        <f>[5]С1!F23</f>
        <v>-</v>
      </c>
    </row>
    <row r="44" spans="1:3" ht="13.5" thickBot="1" x14ac:dyDescent="0.25">
      <c r="A44" s="47"/>
      <c r="B44" s="75"/>
      <c r="C44" s="15"/>
    </row>
    <row r="45" spans="1:3" ht="30" customHeight="1" x14ac:dyDescent="0.2">
      <c r="A45" s="50" t="s">
        <v>37</v>
      </c>
      <c r="B45" s="165" t="s">
        <v>38</v>
      </c>
      <c r="C45" s="165"/>
    </row>
    <row r="46" spans="1:3" ht="25.5" x14ac:dyDescent="0.2">
      <c r="A46" s="22" t="s">
        <v>39</v>
      </c>
      <c r="B46" s="36" t="s">
        <v>40</v>
      </c>
      <c r="C46" s="51" t="str">
        <f>[5]С2.1!E12</f>
        <v>V</v>
      </c>
    </row>
    <row r="47" spans="1:3" ht="25.5" x14ac:dyDescent="0.2">
      <c r="A47" s="22" t="s">
        <v>41</v>
      </c>
      <c r="B47" s="33" t="s">
        <v>42</v>
      </c>
      <c r="C47" s="51" t="str">
        <f>[5]С2.1!E13</f>
        <v>6 и менее баллов</v>
      </c>
    </row>
    <row r="48" spans="1:3" ht="25.5" x14ac:dyDescent="0.2">
      <c r="A48" s="22" t="s">
        <v>43</v>
      </c>
      <c r="B48" s="33" t="s">
        <v>241</v>
      </c>
      <c r="C48" s="51" t="str">
        <f>[5]С2.1!E14</f>
        <v>от 200 до 500</v>
      </c>
    </row>
    <row r="49" spans="1:3" ht="25.5" x14ac:dyDescent="0.2">
      <c r="A49" s="22" t="s">
        <v>45</v>
      </c>
      <c r="B49" s="33" t="s">
        <v>242</v>
      </c>
      <c r="C49" s="52" t="str">
        <f>[5]С2.1!E15</f>
        <v>нет</v>
      </c>
    </row>
    <row r="50" spans="1:3" ht="30" x14ac:dyDescent="0.2">
      <c r="A50" s="22" t="s">
        <v>47</v>
      </c>
      <c r="B50" s="33" t="s">
        <v>48</v>
      </c>
      <c r="C50" s="34">
        <f>[5]С2!F18</f>
        <v>35106.652004551666</v>
      </c>
    </row>
    <row r="51" spans="1:3" ht="30" x14ac:dyDescent="0.2">
      <c r="A51" s="22" t="s">
        <v>49</v>
      </c>
      <c r="B51" s="53" t="s">
        <v>50</v>
      </c>
      <c r="C51" s="34">
        <f>IF([5]С2!F19&gt;0,[5]С2!F19,[5]С2!F20)</f>
        <v>23441.524932855718</v>
      </c>
    </row>
    <row r="52" spans="1:3" ht="25.5" x14ac:dyDescent="0.2">
      <c r="A52" s="22" t="s">
        <v>51</v>
      </c>
      <c r="B52" s="54" t="s">
        <v>52</v>
      </c>
      <c r="C52" s="34">
        <f>[5]С2.1!E20</f>
        <v>-38</v>
      </c>
    </row>
    <row r="53" spans="1:3" ht="25.5" x14ac:dyDescent="0.2">
      <c r="A53" s="22" t="s">
        <v>53</v>
      </c>
      <c r="B53" s="54" t="s">
        <v>54</v>
      </c>
      <c r="C53" s="34" t="str">
        <f>[5]С2.1!E23</f>
        <v>нет</v>
      </c>
    </row>
    <row r="54" spans="1:3" ht="38.25" x14ac:dyDescent="0.2">
      <c r="A54" s="22" t="s">
        <v>55</v>
      </c>
      <c r="B54" s="55" t="s">
        <v>56</v>
      </c>
      <c r="C54" s="34">
        <f>[5]С2.2!E10</f>
        <v>1287</v>
      </c>
    </row>
    <row r="55" spans="1:3" ht="25.5" x14ac:dyDescent="0.2">
      <c r="A55" s="22" t="s">
        <v>57</v>
      </c>
      <c r="B55" s="56" t="s">
        <v>58</v>
      </c>
      <c r="C55" s="34">
        <f>[5]С2.2!E12</f>
        <v>5.97</v>
      </c>
    </row>
    <row r="56" spans="1:3" ht="52.5" x14ac:dyDescent="0.2">
      <c r="A56" s="22" t="s">
        <v>59</v>
      </c>
      <c r="B56" s="57" t="s">
        <v>60</v>
      </c>
      <c r="C56" s="34">
        <f>[5]С2.2!E13</f>
        <v>1</v>
      </c>
    </row>
    <row r="57" spans="1:3" ht="27.75" x14ac:dyDescent="0.2">
      <c r="A57" s="22" t="s">
        <v>61</v>
      </c>
      <c r="B57" s="56" t="s">
        <v>62</v>
      </c>
      <c r="C57" s="34">
        <f>[5]С2.2!E14</f>
        <v>12104</v>
      </c>
    </row>
    <row r="58" spans="1:3" ht="25.5" x14ac:dyDescent="0.2">
      <c r="A58" s="22" t="s">
        <v>63</v>
      </c>
      <c r="B58" s="57" t="s">
        <v>64</v>
      </c>
      <c r="C58" s="35">
        <f>[5]С2.2!E15</f>
        <v>4.8000000000000001E-2</v>
      </c>
    </row>
    <row r="59" spans="1:3" x14ac:dyDescent="0.2">
      <c r="A59" s="22" t="s">
        <v>65</v>
      </c>
      <c r="B59" s="57" t="s">
        <v>66</v>
      </c>
      <c r="C59" s="124">
        <f>[5]С2.2!E16</f>
        <v>1</v>
      </c>
    </row>
    <row r="60" spans="1:3" ht="15.75" x14ac:dyDescent="0.2">
      <c r="A60" s="22" t="s">
        <v>67</v>
      </c>
      <c r="B60" s="58" t="s">
        <v>68</v>
      </c>
      <c r="C60" s="34">
        <f>[5]С2!F21</f>
        <v>1</v>
      </c>
    </row>
    <row r="61" spans="1:3" ht="30" x14ac:dyDescent="0.2">
      <c r="A61" s="59" t="s">
        <v>69</v>
      </c>
      <c r="B61" s="33" t="s">
        <v>243</v>
      </c>
      <c r="C61" s="34">
        <f>[5]С2!F13</f>
        <v>105136.23090983224</v>
      </c>
    </row>
    <row r="62" spans="1:3" ht="30" x14ac:dyDescent="0.2">
      <c r="A62" s="59" t="s">
        <v>71</v>
      </c>
      <c r="B62" s="60" t="s">
        <v>244</v>
      </c>
      <c r="C62" s="34">
        <f>[5]С2!F14</f>
        <v>64899</v>
      </c>
    </row>
    <row r="63" spans="1:3" ht="15.75" x14ac:dyDescent="0.2">
      <c r="A63" s="59" t="s">
        <v>73</v>
      </c>
      <c r="B63" s="60" t="s">
        <v>74</v>
      </c>
      <c r="C63" s="40">
        <f>[5]С2!F15</f>
        <v>1.071</v>
      </c>
    </row>
    <row r="64" spans="1:3" ht="15.75" x14ac:dyDescent="0.2">
      <c r="A64" s="59" t="s">
        <v>75</v>
      </c>
      <c r="B64" s="60" t="s">
        <v>76</v>
      </c>
      <c r="C64" s="125">
        <f>[5]С2!F16</f>
        <v>1</v>
      </c>
    </row>
    <row r="65" spans="1:3" ht="17.25" x14ac:dyDescent="0.2">
      <c r="A65" s="59" t="s">
        <v>77</v>
      </c>
      <c r="B65" s="60" t="s">
        <v>78</v>
      </c>
      <c r="C65" s="126">
        <f>[5]С2!F17</f>
        <v>1.01</v>
      </c>
    </row>
    <row r="66" spans="1:3" s="63" customFormat="1" ht="14.25" x14ac:dyDescent="0.2">
      <c r="A66" s="59" t="s">
        <v>79</v>
      </c>
      <c r="B66" s="61" t="s">
        <v>80</v>
      </c>
      <c r="C66" s="62">
        <f>[5]С2!F35</f>
        <v>10</v>
      </c>
    </row>
    <row r="67" spans="1:3" ht="30" x14ac:dyDescent="0.2">
      <c r="A67" s="59" t="s">
        <v>81</v>
      </c>
      <c r="B67" s="64" t="s">
        <v>82</v>
      </c>
      <c r="C67" s="34">
        <f>[5]С2!F28</f>
        <v>331.04604307653443</v>
      </c>
    </row>
    <row r="68" spans="1:3" ht="17.25" x14ac:dyDescent="0.2">
      <c r="A68" s="59" t="s">
        <v>83</v>
      </c>
      <c r="B68" s="53" t="s">
        <v>245</v>
      </c>
      <c r="C68" s="40">
        <f>[5]С2!F29</f>
        <v>0.44209422600000003</v>
      </c>
    </row>
    <row r="69" spans="1:3" ht="17.25" x14ac:dyDescent="0.2">
      <c r="A69" s="59" t="s">
        <v>85</v>
      </c>
      <c r="B69" s="58" t="s">
        <v>246</v>
      </c>
      <c r="C69" s="62">
        <f>[5]С2!F30</f>
        <v>500</v>
      </c>
    </row>
    <row r="70" spans="1:3" ht="42.75" x14ac:dyDescent="0.2">
      <c r="A70" s="59" t="s">
        <v>87</v>
      </c>
      <c r="B70" s="33" t="s">
        <v>247</v>
      </c>
      <c r="C70" s="34">
        <f>[5]С2!F22</f>
        <v>39638.324046481182</v>
      </c>
    </row>
    <row r="71" spans="1:3" ht="30" x14ac:dyDescent="0.2">
      <c r="A71" s="59" t="s">
        <v>89</v>
      </c>
      <c r="B71" s="60" t="s">
        <v>248</v>
      </c>
      <c r="C71" s="34">
        <f>[5]С2!F23</f>
        <v>21</v>
      </c>
    </row>
    <row r="72" spans="1:3" ht="30" x14ac:dyDescent="0.2">
      <c r="A72" s="59" t="s">
        <v>91</v>
      </c>
      <c r="B72" s="53" t="s">
        <v>92</v>
      </c>
      <c r="C72" s="34">
        <f>[5]С2.1!E28</f>
        <v>14036.09995</v>
      </c>
    </row>
    <row r="73" spans="1:3" ht="38.25" x14ac:dyDescent="0.2">
      <c r="A73" s="59" t="s">
        <v>93</v>
      </c>
      <c r="B73" s="65" t="s">
        <v>94</v>
      </c>
      <c r="C73" s="52">
        <f>[5]С2.3!E21</f>
        <v>0</v>
      </c>
    </row>
    <row r="74" spans="1:3" ht="25.5" x14ac:dyDescent="0.2">
      <c r="A74" s="59" t="s">
        <v>95</v>
      </c>
      <c r="B74" s="66" t="s">
        <v>96</v>
      </c>
      <c r="C74" s="67">
        <f>[5]С2.3!E11</f>
        <v>5.45</v>
      </c>
    </row>
    <row r="75" spans="1:3" ht="25.5" x14ac:dyDescent="0.2">
      <c r="A75" s="59" t="s">
        <v>97</v>
      </c>
      <c r="B75" s="66" t="s">
        <v>98</v>
      </c>
      <c r="C75" s="62">
        <f>[5]С2.3!E13</f>
        <v>300</v>
      </c>
    </row>
    <row r="76" spans="1:3" ht="25.5" x14ac:dyDescent="0.2">
      <c r="A76" s="59" t="s">
        <v>99</v>
      </c>
      <c r="B76" s="65" t="s">
        <v>100</v>
      </c>
      <c r="C76" s="68">
        <f>IF([5]С2.3!E22&gt;0,[5]С2.3!E22,[5]С2.3!E14)</f>
        <v>61211</v>
      </c>
    </row>
    <row r="77" spans="1:3" ht="38.25" x14ac:dyDescent="0.2">
      <c r="A77" s="59" t="s">
        <v>101</v>
      </c>
      <c r="B77" s="65" t="s">
        <v>102</v>
      </c>
      <c r="C77" s="68">
        <f>IF([5]С2.3!E23&gt;0,[5]С2.3!E23,[5]С2.3!E15)</f>
        <v>45675</v>
      </c>
    </row>
    <row r="78" spans="1:3" ht="30" x14ac:dyDescent="0.2">
      <c r="A78" s="59" t="s">
        <v>103</v>
      </c>
      <c r="B78" s="53" t="s">
        <v>104</v>
      </c>
      <c r="C78" s="34">
        <f>[5]С2.1!E29</f>
        <v>9518.3274000000001</v>
      </c>
    </row>
    <row r="79" spans="1:3" ht="38.25" x14ac:dyDescent="0.2">
      <c r="A79" s="59" t="s">
        <v>105</v>
      </c>
      <c r="B79" s="65" t="s">
        <v>106</v>
      </c>
      <c r="C79" s="52">
        <f>[5]С2.3!E25</f>
        <v>0</v>
      </c>
    </row>
    <row r="80" spans="1:3" ht="25.5" x14ac:dyDescent="0.2">
      <c r="A80" s="59" t="s">
        <v>107</v>
      </c>
      <c r="B80" s="66" t="s">
        <v>108</v>
      </c>
      <c r="C80" s="67">
        <f>[5]С2.3!E12</f>
        <v>0.2</v>
      </c>
    </row>
    <row r="81" spans="1:3" ht="25.5" x14ac:dyDescent="0.2">
      <c r="A81" s="59" t="s">
        <v>109</v>
      </c>
      <c r="B81" s="66" t="s">
        <v>98</v>
      </c>
      <c r="C81" s="62">
        <f>[5]С2.3!E13</f>
        <v>300</v>
      </c>
    </row>
    <row r="82" spans="1:3" ht="25.5" x14ac:dyDescent="0.2">
      <c r="A82" s="59" t="s">
        <v>110</v>
      </c>
      <c r="B82" s="69" t="s">
        <v>111</v>
      </c>
      <c r="C82" s="68">
        <f>IF([5]С2.3!E26&gt;0,[5]С2.3!E26,[5]С2.3!E16)</f>
        <v>65637</v>
      </c>
    </row>
    <row r="83" spans="1:3" ht="38.25" x14ac:dyDescent="0.2">
      <c r="A83" s="59" t="s">
        <v>112</v>
      </c>
      <c r="B83" s="69" t="s">
        <v>113</v>
      </c>
      <c r="C83" s="68">
        <f>IF([5]С2.3!E27&gt;0,[5]С2.3!E27,[5]С2.3!E17)</f>
        <v>31684</v>
      </c>
    </row>
    <row r="84" spans="1:3" ht="30" x14ac:dyDescent="0.2">
      <c r="A84" s="59" t="s">
        <v>249</v>
      </c>
      <c r="B84" s="60" t="s">
        <v>250</v>
      </c>
      <c r="C84" s="68">
        <f>IF([5]С2.1!E19&gt;0,[5]С2.1!E19,[5]С2!F26)</f>
        <v>2892</v>
      </c>
    </row>
    <row r="85" spans="1:3" ht="17.25" x14ac:dyDescent="0.2">
      <c r="A85" s="59" t="s">
        <v>114</v>
      </c>
      <c r="B85" s="33" t="s">
        <v>115</v>
      </c>
      <c r="C85" s="35">
        <f>[5]С2!F31</f>
        <v>9.5962865259740182E-2</v>
      </c>
    </row>
    <row r="86" spans="1:3" ht="30" x14ac:dyDescent="0.2">
      <c r="A86" s="59" t="s">
        <v>116</v>
      </c>
      <c r="B86" s="53" t="s">
        <v>117</v>
      </c>
      <c r="C86" s="70">
        <f>[5]С2!F32</f>
        <v>8.4029304029304031E-2</v>
      </c>
    </row>
    <row r="87" spans="1:3" ht="17.25" x14ac:dyDescent="0.2">
      <c r="A87" s="59" t="s">
        <v>118</v>
      </c>
      <c r="B87" s="71" t="s">
        <v>119</v>
      </c>
      <c r="C87" s="35">
        <f>[5]С2!F33</f>
        <v>0.13880000000000001</v>
      </c>
    </row>
    <row r="88" spans="1:3" s="63" customFormat="1" ht="18" thickBot="1" x14ac:dyDescent="0.25">
      <c r="A88" s="72" t="s">
        <v>120</v>
      </c>
      <c r="B88" s="73" t="s">
        <v>121</v>
      </c>
      <c r="C88" s="74">
        <f>[5]С2!F34</f>
        <v>0.12640000000000001</v>
      </c>
    </row>
    <row r="89" spans="1:3" ht="13.5" thickBot="1" x14ac:dyDescent="0.25">
      <c r="A89" s="47"/>
      <c r="B89" s="75"/>
      <c r="C89" s="15"/>
    </row>
    <row r="90" spans="1:3" s="63" customFormat="1" ht="30" customHeight="1" x14ac:dyDescent="0.2">
      <c r="A90" s="76" t="s">
        <v>122</v>
      </c>
      <c r="B90" s="165" t="s">
        <v>123</v>
      </c>
      <c r="C90" s="165"/>
    </row>
    <row r="91" spans="1:3" s="63" customFormat="1" ht="30" x14ac:dyDescent="0.2">
      <c r="A91" s="77" t="s">
        <v>124</v>
      </c>
      <c r="B91" s="33" t="s">
        <v>125</v>
      </c>
      <c r="C91" s="34">
        <f>[5]С3!F14</f>
        <v>4207.4782939208517</v>
      </c>
    </row>
    <row r="92" spans="1:3" s="63" customFormat="1" ht="42.75" x14ac:dyDescent="0.2">
      <c r="A92" s="77" t="s">
        <v>126</v>
      </c>
      <c r="B92" s="53" t="s">
        <v>127</v>
      </c>
      <c r="C92" s="78">
        <f>[5]С3!F15</f>
        <v>0.2</v>
      </c>
    </row>
    <row r="93" spans="1:3" s="63" customFormat="1" ht="14.25" x14ac:dyDescent="0.2">
      <c r="A93" s="77" t="s">
        <v>128</v>
      </c>
      <c r="B93" s="79" t="s">
        <v>129</v>
      </c>
      <c r="C93" s="62">
        <f>[5]С3!F18</f>
        <v>15</v>
      </c>
    </row>
    <row r="94" spans="1:3" s="63" customFormat="1" ht="17.25" x14ac:dyDescent="0.2">
      <c r="A94" s="77" t="s">
        <v>130</v>
      </c>
      <c r="B94" s="33" t="s">
        <v>131</v>
      </c>
      <c r="C94" s="34">
        <f>[5]С3!F19</f>
        <v>2638.2577020926874</v>
      </c>
    </row>
    <row r="95" spans="1:3" s="63" customFormat="1" ht="55.5" x14ac:dyDescent="0.2">
      <c r="A95" s="77" t="s">
        <v>132</v>
      </c>
      <c r="B95" s="53" t="s">
        <v>133</v>
      </c>
      <c r="C95" s="80">
        <f>[5]С3!F20</f>
        <v>2.1999999999999999E-2</v>
      </c>
    </row>
    <row r="96" spans="1:3" s="63" customFormat="1" ht="14.25" x14ac:dyDescent="0.2">
      <c r="A96" s="77" t="s">
        <v>134</v>
      </c>
      <c r="B96" s="58" t="s">
        <v>80</v>
      </c>
      <c r="C96" s="62">
        <f>[5]С3!F21</f>
        <v>10</v>
      </c>
    </row>
    <row r="97" spans="1:3" s="63" customFormat="1" ht="17.25" x14ac:dyDescent="0.2">
      <c r="A97" s="77" t="s">
        <v>135</v>
      </c>
      <c r="B97" s="33" t="s">
        <v>136</v>
      </c>
      <c r="C97" s="34">
        <f>[5]С3!F22</f>
        <v>0.99313812922960332</v>
      </c>
    </row>
    <row r="98" spans="1:3" s="63" customFormat="1" ht="55.5" x14ac:dyDescent="0.2">
      <c r="A98" s="77" t="s">
        <v>137</v>
      </c>
      <c r="B98" s="53" t="s">
        <v>138</v>
      </c>
      <c r="C98" s="80">
        <f>[5]С3!F23</f>
        <v>3.0000000000000001E-3</v>
      </c>
    </row>
    <row r="99" spans="1:3" s="63" customFormat="1" ht="30.75" thickBot="1" x14ac:dyDescent="0.25">
      <c r="A99" s="81" t="s">
        <v>139</v>
      </c>
      <c r="B99" s="82" t="s">
        <v>82</v>
      </c>
      <c r="C99" s="83">
        <f>[5]С3!F24</f>
        <v>331.04604307653443</v>
      </c>
    </row>
    <row r="100" spans="1:3" ht="13.5" thickBot="1" x14ac:dyDescent="0.25">
      <c r="A100" s="47"/>
      <c r="B100" s="75"/>
      <c r="C100" s="15"/>
    </row>
    <row r="101" spans="1:3" ht="30" customHeight="1" x14ac:dyDescent="0.2">
      <c r="A101" s="84" t="s">
        <v>141</v>
      </c>
      <c r="B101" s="165" t="s">
        <v>142</v>
      </c>
      <c r="C101" s="165"/>
    </row>
    <row r="102" spans="1:3" ht="30" x14ac:dyDescent="0.2">
      <c r="A102" s="59" t="s">
        <v>143</v>
      </c>
      <c r="B102" s="33" t="s">
        <v>251</v>
      </c>
      <c r="C102" s="34">
        <f>[5]С4!F16</f>
        <v>832.33500000000004</v>
      </c>
    </row>
    <row r="103" spans="1:3" ht="30" x14ac:dyDescent="0.2">
      <c r="A103" s="59" t="s">
        <v>145</v>
      </c>
      <c r="B103" s="58" t="s">
        <v>252</v>
      </c>
      <c r="C103" s="34">
        <f>[5]С4!F17</f>
        <v>43385</v>
      </c>
    </row>
    <row r="104" spans="1:3" ht="17.25" x14ac:dyDescent="0.2">
      <c r="A104" s="59" t="s">
        <v>147</v>
      </c>
      <c r="B104" s="58" t="s">
        <v>148</v>
      </c>
      <c r="C104" s="40">
        <f>[5]С4!F18</f>
        <v>1.4999999999999999E-2</v>
      </c>
    </row>
    <row r="105" spans="1:3" ht="30" x14ac:dyDescent="0.2">
      <c r="A105" s="59" t="s">
        <v>149</v>
      </c>
      <c r="B105" s="58" t="s">
        <v>150</v>
      </c>
      <c r="C105" s="34">
        <f>[5]С4!F19</f>
        <v>12104</v>
      </c>
    </row>
    <row r="106" spans="1:3" ht="31.5" x14ac:dyDescent="0.2">
      <c r="A106" s="59" t="s">
        <v>151</v>
      </c>
      <c r="B106" s="58" t="s">
        <v>152</v>
      </c>
      <c r="C106" s="40">
        <f>[5]С4!F20</f>
        <v>1.4999999999999999E-2</v>
      </c>
    </row>
    <row r="107" spans="1:3" ht="30" x14ac:dyDescent="0.2">
      <c r="A107" s="59" t="s">
        <v>153</v>
      </c>
      <c r="B107" s="33" t="s">
        <v>253</v>
      </c>
      <c r="C107" s="34">
        <f>[5]С4!F21</f>
        <v>1221.9019409821399</v>
      </c>
    </row>
    <row r="108" spans="1:3" ht="45.6" customHeight="1" x14ac:dyDescent="0.2">
      <c r="A108" s="59" t="s">
        <v>155</v>
      </c>
      <c r="B108" s="53" t="s">
        <v>156</v>
      </c>
      <c r="C108" s="85" t="str">
        <f>IF([5]С4.2!F8="да",[5]С4.2!D21,[5]С4.2!D15)</f>
        <v>АО "Новосибирскэнергосбыт"</v>
      </c>
    </row>
    <row r="109" spans="1:3" ht="68.25" customHeight="1" x14ac:dyDescent="0.2">
      <c r="A109" s="59" t="s">
        <v>157</v>
      </c>
      <c r="B109" s="53" t="s">
        <v>158</v>
      </c>
      <c r="C109" s="34">
        <f>[5]С4!F22</f>
        <v>3.6112641666666665</v>
      </c>
    </row>
    <row r="110" spans="1:3" ht="30" x14ac:dyDescent="0.2">
      <c r="A110" s="59" t="s">
        <v>159</v>
      </c>
      <c r="B110" s="58" t="s">
        <v>254</v>
      </c>
      <c r="C110" s="62">
        <f>[5]С4!F23</f>
        <v>110</v>
      </c>
    </row>
    <row r="111" spans="1:3" ht="14.25" x14ac:dyDescent="0.2">
      <c r="A111" s="59" t="s">
        <v>161</v>
      </c>
      <c r="B111" s="53" t="s">
        <v>162</v>
      </c>
      <c r="C111" s="34">
        <f>[5]С4!F24</f>
        <v>8497.1999999999989</v>
      </c>
    </row>
    <row r="112" spans="1:3" ht="14.25" x14ac:dyDescent="0.2">
      <c r="A112" s="59" t="s">
        <v>163</v>
      </c>
      <c r="B112" s="58" t="s">
        <v>164</v>
      </c>
      <c r="C112" s="40">
        <f>[5]С4!F25</f>
        <v>0.36199999999999999</v>
      </c>
    </row>
    <row r="113" spans="1:3" ht="17.25" x14ac:dyDescent="0.2">
      <c r="A113" s="59" t="s">
        <v>165</v>
      </c>
      <c r="B113" s="33" t="s">
        <v>166</v>
      </c>
      <c r="C113" s="34">
        <f>[5]С4!F26</f>
        <v>40.123830000000005</v>
      </c>
    </row>
    <row r="114" spans="1:3" ht="25.5" x14ac:dyDescent="0.2">
      <c r="A114" s="59" t="s">
        <v>167</v>
      </c>
      <c r="B114" s="53" t="s">
        <v>94</v>
      </c>
      <c r="C114" s="85">
        <f>[5]С4.3!E16</f>
        <v>0</v>
      </c>
    </row>
    <row r="115" spans="1:3" ht="25.5" x14ac:dyDescent="0.2">
      <c r="A115" s="59" t="s">
        <v>168</v>
      </c>
      <c r="B115" s="53" t="s">
        <v>169</v>
      </c>
      <c r="C115" s="34">
        <f>[5]С4.3!E17</f>
        <v>18.059999999999999</v>
      </c>
    </row>
    <row r="116" spans="1:3" ht="38.25" x14ac:dyDescent="0.2">
      <c r="A116" s="59" t="s">
        <v>170</v>
      </c>
      <c r="B116" s="53" t="s">
        <v>106</v>
      </c>
      <c r="C116" s="85">
        <f>[5]С4.3!E18</f>
        <v>0</v>
      </c>
    </row>
    <row r="117" spans="1:3" x14ac:dyDescent="0.2">
      <c r="A117" s="59" t="s">
        <v>171</v>
      </c>
      <c r="B117" s="53" t="s">
        <v>172</v>
      </c>
      <c r="C117" s="34">
        <f>[5]С4.3!E19</f>
        <v>71.67</v>
      </c>
    </row>
    <row r="118" spans="1:3" x14ac:dyDescent="0.2">
      <c r="A118" s="59" t="s">
        <v>173</v>
      </c>
      <c r="B118" s="58" t="s">
        <v>174</v>
      </c>
      <c r="C118" s="62">
        <f>[5]С4.3!E11</f>
        <v>1871</v>
      </c>
    </row>
    <row r="119" spans="1:3" x14ac:dyDescent="0.2">
      <c r="A119" s="59" t="s">
        <v>175</v>
      </c>
      <c r="B119" s="58" t="s">
        <v>176</v>
      </c>
      <c r="C119" s="52">
        <f>[5]С4.3!E12</f>
        <v>61</v>
      </c>
    </row>
    <row r="120" spans="1:3" x14ac:dyDescent="0.2">
      <c r="A120" s="59" t="s">
        <v>177</v>
      </c>
      <c r="B120" s="58" t="s">
        <v>178</v>
      </c>
      <c r="C120" s="52">
        <f>[5]С4.3!E13</f>
        <v>73</v>
      </c>
    </row>
    <row r="121" spans="1:3" ht="30" x14ac:dyDescent="0.2">
      <c r="A121" s="59" t="s">
        <v>179</v>
      </c>
      <c r="B121" s="33" t="s">
        <v>255</v>
      </c>
      <c r="C121" s="34">
        <f>[5]С4!F27</f>
        <v>904.62444244124072</v>
      </c>
    </row>
    <row r="122" spans="1:3" ht="25.5" x14ac:dyDescent="0.2">
      <c r="A122" s="59" t="s">
        <v>181</v>
      </c>
      <c r="B122" s="53" t="s">
        <v>256</v>
      </c>
      <c r="C122" s="34">
        <f>[5]С4!F28</f>
        <v>694.79603874135228</v>
      </c>
    </row>
    <row r="123" spans="1:3" ht="42.75" x14ac:dyDescent="0.2">
      <c r="A123" s="59" t="s">
        <v>183</v>
      </c>
      <c r="B123" s="53" t="s">
        <v>184</v>
      </c>
      <c r="C123" s="34">
        <f>[5]С4!F29</f>
        <v>209.82840369988838</v>
      </c>
    </row>
    <row r="124" spans="1:3" ht="30.75" thickBot="1" x14ac:dyDescent="0.25">
      <c r="A124" s="72" t="s">
        <v>185</v>
      </c>
      <c r="B124" s="90" t="s">
        <v>186</v>
      </c>
      <c r="C124" s="83">
        <f>[5]С4!F30</f>
        <v>475.40681839948314</v>
      </c>
    </row>
    <row r="125" spans="1:3" s="89" customFormat="1" ht="13.5" thickBot="1" x14ac:dyDescent="0.25">
      <c r="A125" s="47"/>
      <c r="B125" s="75"/>
      <c r="C125" s="15"/>
    </row>
    <row r="126" spans="1:3" s="63" customFormat="1" ht="30" customHeight="1" x14ac:dyDescent="0.2">
      <c r="A126" s="76" t="s">
        <v>195</v>
      </c>
      <c r="B126" s="165" t="s">
        <v>196</v>
      </c>
      <c r="C126" s="165"/>
    </row>
    <row r="127" spans="1:3" ht="30.6" customHeight="1" thickBot="1" x14ac:dyDescent="0.25">
      <c r="A127" s="27" t="s">
        <v>197</v>
      </c>
      <c r="B127" s="90" t="s">
        <v>198</v>
      </c>
      <c r="C127" s="83">
        <f>[5]С5!F17</f>
        <v>0.02</v>
      </c>
    </row>
    <row r="128" spans="1:3" s="89" customFormat="1" ht="13.5" thickBot="1" x14ac:dyDescent="0.25">
      <c r="A128" s="47"/>
      <c r="B128" s="75"/>
      <c r="C128" s="15"/>
    </row>
    <row r="129" spans="1:4" ht="42.75" customHeight="1" x14ac:dyDescent="0.2">
      <c r="A129" s="84" t="s">
        <v>199</v>
      </c>
      <c r="B129" s="165" t="s">
        <v>200</v>
      </c>
      <c r="C129" s="165"/>
    </row>
    <row r="130" spans="1:4" ht="68.25" x14ac:dyDescent="0.2">
      <c r="A130" s="59" t="s">
        <v>201</v>
      </c>
      <c r="B130" s="91" t="s">
        <v>202</v>
      </c>
      <c r="C130" s="34" t="str">
        <f>IF([5]С6.1!E11="нет",[5]С6!F13,"")</f>
        <v/>
      </c>
    </row>
    <row r="131" spans="1:4" ht="42.75" x14ac:dyDescent="0.2">
      <c r="A131" s="59" t="s">
        <v>204</v>
      </c>
      <c r="B131" s="86" t="s">
        <v>205</v>
      </c>
      <c r="C131" s="92" t="str">
        <f>IF([5]С6.1!E12="нет",[5]С6.1!E17,"")</f>
        <v/>
      </c>
    </row>
    <row r="132" spans="1:4" ht="68.25" x14ac:dyDescent="0.2">
      <c r="A132" s="59" t="s">
        <v>206</v>
      </c>
      <c r="B132" s="91" t="s">
        <v>207</v>
      </c>
      <c r="C132" s="127" t="str">
        <f>IF([5]С6.1!E18="нет",[5]С6!F19,"")</f>
        <v/>
      </c>
    </row>
    <row r="133" spans="1:4" ht="55.5" x14ac:dyDescent="0.2">
      <c r="A133" s="59" t="s">
        <v>208</v>
      </c>
      <c r="B133" s="86" t="s">
        <v>209</v>
      </c>
      <c r="C133" s="35" t="str">
        <f>IF([5]С6.1!E18="нет",[5]С6.1!E19,"")</f>
        <v/>
      </c>
    </row>
    <row r="134" spans="1:4" ht="61.5" customHeight="1" x14ac:dyDescent="0.2">
      <c r="A134" s="59" t="s">
        <v>210</v>
      </c>
      <c r="B134" s="86" t="s">
        <v>257</v>
      </c>
      <c r="C134" s="35" t="str">
        <f>IF([5]С6.1!E18="нет",[5]С6.1!E22,"")</f>
        <v/>
      </c>
    </row>
    <row r="135" spans="1:4" ht="69" thickBot="1" x14ac:dyDescent="0.25">
      <c r="A135" s="72" t="s">
        <v>212</v>
      </c>
      <c r="B135" s="98" t="s">
        <v>213</v>
      </c>
      <c r="C135" s="74" t="str">
        <f>IF([5]С6.1!E18="нет",[5]С6.1!E23,"")</f>
        <v/>
      </c>
    </row>
    <row r="136" spans="1:4" s="89" customFormat="1" ht="13.5" thickBot="1" x14ac:dyDescent="0.25">
      <c r="A136" s="47"/>
      <c r="B136" s="75"/>
      <c r="C136" s="15"/>
    </row>
    <row r="137" spans="1:4" ht="15.75" x14ac:dyDescent="0.2">
      <c r="A137" s="84" t="s">
        <v>214</v>
      </c>
      <c r="B137" s="99" t="s">
        <v>215</v>
      </c>
      <c r="C137" s="100">
        <f>[5]С2!F39</f>
        <v>21.531904799999996</v>
      </c>
    </row>
    <row r="138" spans="1:4" ht="14.25" x14ac:dyDescent="0.2">
      <c r="A138" s="59" t="s">
        <v>216</v>
      </c>
      <c r="B138" s="58" t="s">
        <v>217</v>
      </c>
      <c r="C138" s="34">
        <f>[5]С2!F40</f>
        <v>7</v>
      </c>
    </row>
    <row r="139" spans="1:4" ht="17.25" x14ac:dyDescent="0.2">
      <c r="A139" s="59" t="s">
        <v>218</v>
      </c>
      <c r="B139" s="58" t="s">
        <v>219</v>
      </c>
      <c r="C139" s="34">
        <f>[5]С2!F42</f>
        <v>0.97</v>
      </c>
    </row>
    <row r="140" spans="1:4" ht="15" thickBot="1" x14ac:dyDescent="0.25">
      <c r="A140" s="72" t="s">
        <v>220</v>
      </c>
      <c r="B140" s="73" t="s">
        <v>221</v>
      </c>
      <c r="C140" s="46">
        <f>[5]С2!F44</f>
        <v>0.36199999999999999</v>
      </c>
    </row>
    <row r="141" spans="1:4" s="89" customFormat="1" ht="13.5" thickBot="1" x14ac:dyDescent="0.25">
      <c r="A141" s="47"/>
      <c r="B141" s="75"/>
      <c r="C141" s="15"/>
    </row>
    <row r="142" spans="1:4" ht="17.25" x14ac:dyDescent="0.2">
      <c r="A142" s="84" t="s">
        <v>222</v>
      </c>
      <c r="B142" s="103" t="s">
        <v>258</v>
      </c>
      <c r="C142" s="128">
        <f>[5]С2!F37</f>
        <v>1.4976266307379205</v>
      </c>
      <c r="D142" s="89"/>
    </row>
    <row r="143" spans="1:4" ht="17.25" customHeight="1" thickBot="1" x14ac:dyDescent="0.25">
      <c r="A143" s="72" t="s">
        <v>224</v>
      </c>
      <c r="B143" s="161" t="s">
        <v>225</v>
      </c>
      <c r="C143" s="161"/>
      <c r="D143" s="89"/>
    </row>
    <row r="144" spans="1:4" x14ac:dyDescent="0.2">
      <c r="A144" s="105"/>
      <c r="B144" s="129" t="s">
        <v>226</v>
      </c>
      <c r="C144" s="130"/>
    </row>
    <row r="145" spans="1:3" x14ac:dyDescent="0.2">
      <c r="A145" s="105"/>
      <c r="B145" s="131">
        <v>2020</v>
      </c>
      <c r="C145" s="132">
        <f>[5]С2.5!$E$11</f>
        <v>-2.9000000000000026E-2</v>
      </c>
    </row>
    <row r="146" spans="1:3" x14ac:dyDescent="0.2">
      <c r="B146" s="131">
        <f>B145+1</f>
        <v>2021</v>
      </c>
      <c r="C146" s="133">
        <f>[5]С2.5!$F$11</f>
        <v>0.245</v>
      </c>
    </row>
    <row r="147" spans="1:3" x14ac:dyDescent="0.2">
      <c r="B147" s="131">
        <f t="shared" ref="B147:B210" si="0">B146+1</f>
        <v>2022</v>
      </c>
      <c r="C147" s="134">
        <f>[5]С2.5!$G$11</f>
        <v>0.114</v>
      </c>
    </row>
    <row r="148" spans="1:3" x14ac:dyDescent="0.2">
      <c r="B148" s="110">
        <f t="shared" si="0"/>
        <v>2023</v>
      </c>
      <c r="C148" s="135">
        <f>[5]С2.5!$H$11</f>
        <v>2.4E-2</v>
      </c>
    </row>
    <row r="149" spans="1:3" ht="13.5" thickBot="1" x14ac:dyDescent="0.25">
      <c r="B149" s="110">
        <f t="shared" si="0"/>
        <v>2024</v>
      </c>
      <c r="C149" s="135">
        <f>[5]С2.5!$I$11</f>
        <v>8.5999999999999993E-2</v>
      </c>
    </row>
    <row r="150" spans="1:3" ht="13.5" hidden="1" thickBot="1" x14ac:dyDescent="0.25">
      <c r="B150" s="110">
        <f t="shared" si="0"/>
        <v>2025</v>
      </c>
      <c r="C150" s="135">
        <f>[5]С2.5!$J$11</f>
        <v>0</v>
      </c>
    </row>
    <row r="151" spans="1:3" ht="13.5" hidden="1" thickBot="1" x14ac:dyDescent="0.25">
      <c r="B151" s="110">
        <f t="shared" si="0"/>
        <v>2026</v>
      </c>
      <c r="C151" s="135">
        <f>[5]С2.5!$K$11</f>
        <v>0</v>
      </c>
    </row>
    <row r="152" spans="1:3" ht="13.5" hidden="1" thickBot="1" x14ac:dyDescent="0.25">
      <c r="B152" s="110">
        <f t="shared" si="0"/>
        <v>2027</v>
      </c>
      <c r="C152" s="135">
        <f>[5]С2.5!$L$11</f>
        <v>0</v>
      </c>
    </row>
    <row r="153" spans="1:3" ht="13.5" hidden="1" thickBot="1" x14ac:dyDescent="0.25">
      <c r="B153" s="110">
        <f t="shared" si="0"/>
        <v>2028</v>
      </c>
      <c r="C153" s="135">
        <f>[5]С2.5!$M$11</f>
        <v>0</v>
      </c>
    </row>
    <row r="154" spans="1:3" ht="13.5" hidden="1" thickBot="1" x14ac:dyDescent="0.25">
      <c r="B154" s="110">
        <f t="shared" si="0"/>
        <v>2029</v>
      </c>
      <c r="C154" s="135">
        <f>[5]С2.5!$N$11</f>
        <v>0</v>
      </c>
    </row>
    <row r="155" spans="1:3" ht="13.5" hidden="1" thickBot="1" x14ac:dyDescent="0.25">
      <c r="B155" s="110">
        <f t="shared" si="0"/>
        <v>2030</v>
      </c>
      <c r="C155" s="135">
        <f>[5]С2.5!$O$11</f>
        <v>0</v>
      </c>
    </row>
    <row r="156" spans="1:3" ht="13.5" hidden="1" thickBot="1" x14ac:dyDescent="0.25">
      <c r="B156" s="110">
        <f t="shared" si="0"/>
        <v>2031</v>
      </c>
      <c r="C156" s="135">
        <f>[5]С2.5!$P$11</f>
        <v>0</v>
      </c>
    </row>
    <row r="157" spans="1:3" ht="13.5" hidden="1" thickBot="1" x14ac:dyDescent="0.25">
      <c r="B157" s="110">
        <f t="shared" si="0"/>
        <v>2032</v>
      </c>
      <c r="C157" s="135">
        <f>[5]С2.5!$Q$11</f>
        <v>0</v>
      </c>
    </row>
    <row r="158" spans="1:3" ht="13.5" hidden="1" thickBot="1" x14ac:dyDescent="0.25">
      <c r="B158" s="110">
        <f t="shared" si="0"/>
        <v>2033</v>
      </c>
      <c r="C158" s="135">
        <f>[5]С2.5!$R$11</f>
        <v>0</v>
      </c>
    </row>
    <row r="159" spans="1:3" ht="13.5" hidden="1" thickBot="1" x14ac:dyDescent="0.25">
      <c r="B159" s="110">
        <f t="shared" si="0"/>
        <v>2034</v>
      </c>
      <c r="C159" s="135">
        <f>[5]С2.5!$S$11</f>
        <v>0</v>
      </c>
    </row>
    <row r="160" spans="1:3" ht="13.5" hidden="1" thickBot="1" x14ac:dyDescent="0.25">
      <c r="B160" s="110">
        <f t="shared" si="0"/>
        <v>2035</v>
      </c>
      <c r="C160" s="135">
        <f>[5]С2.5!$T$11</f>
        <v>0</v>
      </c>
    </row>
    <row r="161" spans="2:3" ht="13.5" hidden="1" thickBot="1" x14ac:dyDescent="0.25">
      <c r="B161" s="110">
        <f t="shared" si="0"/>
        <v>2036</v>
      </c>
      <c r="C161" s="135">
        <f>[5]С2.5!$U$11</f>
        <v>0</v>
      </c>
    </row>
    <row r="162" spans="2:3" ht="13.5" hidden="1" thickBot="1" x14ac:dyDescent="0.25">
      <c r="B162" s="110">
        <f t="shared" si="0"/>
        <v>2037</v>
      </c>
      <c r="C162" s="135">
        <f>[5]С2.5!$V$11</f>
        <v>0</v>
      </c>
    </row>
    <row r="163" spans="2:3" ht="13.5" hidden="1" thickBot="1" x14ac:dyDescent="0.25">
      <c r="B163" s="110">
        <f t="shared" si="0"/>
        <v>2038</v>
      </c>
      <c r="C163" s="135">
        <f>[5]С2.5!$W$11</f>
        <v>0</v>
      </c>
    </row>
    <row r="164" spans="2:3" ht="13.5" hidden="1" thickBot="1" x14ac:dyDescent="0.25">
      <c r="B164" s="110">
        <f t="shared" si="0"/>
        <v>2039</v>
      </c>
      <c r="C164" s="135">
        <f>[5]С2.5!$X$11</f>
        <v>0</v>
      </c>
    </row>
    <row r="165" spans="2:3" ht="13.5" hidden="1" thickBot="1" x14ac:dyDescent="0.25">
      <c r="B165" s="110">
        <f t="shared" si="0"/>
        <v>2040</v>
      </c>
      <c r="C165" s="135">
        <f>[5]С2.5!$Y$11</f>
        <v>0</v>
      </c>
    </row>
    <row r="166" spans="2:3" ht="13.5" hidden="1" thickBot="1" x14ac:dyDescent="0.25">
      <c r="B166" s="110">
        <f t="shared" si="0"/>
        <v>2041</v>
      </c>
      <c r="C166" s="135">
        <f>[5]С2.5!$Z$11</f>
        <v>0</v>
      </c>
    </row>
    <row r="167" spans="2:3" ht="13.5" hidden="1" thickBot="1" x14ac:dyDescent="0.25">
      <c r="B167" s="110">
        <f t="shared" si="0"/>
        <v>2042</v>
      </c>
      <c r="C167" s="135">
        <f>[5]С2.5!$AA$11</f>
        <v>0</v>
      </c>
    </row>
    <row r="168" spans="2:3" ht="13.5" hidden="1" thickBot="1" x14ac:dyDescent="0.25">
      <c r="B168" s="110">
        <f t="shared" si="0"/>
        <v>2043</v>
      </c>
      <c r="C168" s="135">
        <f>[5]С2.5!$AB$11</f>
        <v>0</v>
      </c>
    </row>
    <row r="169" spans="2:3" ht="13.5" hidden="1" thickBot="1" x14ac:dyDescent="0.25">
      <c r="B169" s="110">
        <f t="shared" si="0"/>
        <v>2044</v>
      </c>
      <c r="C169" s="135">
        <f>[5]С2.5!$AC$11</f>
        <v>0</v>
      </c>
    </row>
    <row r="170" spans="2:3" ht="13.5" hidden="1" thickBot="1" x14ac:dyDescent="0.25">
      <c r="B170" s="110">
        <f t="shared" si="0"/>
        <v>2045</v>
      </c>
      <c r="C170" s="135">
        <f>[5]С2.5!$AD$11</f>
        <v>0</v>
      </c>
    </row>
    <row r="171" spans="2:3" ht="13.5" hidden="1" thickBot="1" x14ac:dyDescent="0.25">
      <c r="B171" s="110">
        <f t="shared" si="0"/>
        <v>2046</v>
      </c>
      <c r="C171" s="135">
        <f>[5]С2.5!$AE$11</f>
        <v>0</v>
      </c>
    </row>
    <row r="172" spans="2:3" ht="13.5" hidden="1" thickBot="1" x14ac:dyDescent="0.25">
      <c r="B172" s="110">
        <f t="shared" si="0"/>
        <v>2047</v>
      </c>
      <c r="C172" s="135">
        <f>[5]С2.5!$AF$11</f>
        <v>0</v>
      </c>
    </row>
    <row r="173" spans="2:3" ht="13.5" hidden="1" thickBot="1" x14ac:dyDescent="0.25">
      <c r="B173" s="110">
        <f t="shared" si="0"/>
        <v>2048</v>
      </c>
      <c r="C173" s="135">
        <f>[5]С2.5!$AG$11</f>
        <v>0</v>
      </c>
    </row>
    <row r="174" spans="2:3" ht="13.5" hidden="1" thickBot="1" x14ac:dyDescent="0.25">
      <c r="B174" s="110">
        <f t="shared" si="0"/>
        <v>2049</v>
      </c>
      <c r="C174" s="135">
        <f>[5]С2.5!$AH$11</f>
        <v>0</v>
      </c>
    </row>
    <row r="175" spans="2:3" ht="13.5" hidden="1" thickBot="1" x14ac:dyDescent="0.25">
      <c r="B175" s="110">
        <f t="shared" si="0"/>
        <v>2050</v>
      </c>
      <c r="C175" s="135">
        <f>[5]С2.5!$AI$11</f>
        <v>0</v>
      </c>
    </row>
    <row r="176" spans="2:3" ht="13.5" hidden="1" thickBot="1" x14ac:dyDescent="0.25">
      <c r="B176" s="110">
        <f t="shared" si="0"/>
        <v>2051</v>
      </c>
      <c r="C176" s="135">
        <f>[5]С2.5!$AJ$11</f>
        <v>0</v>
      </c>
    </row>
    <row r="177" spans="2:3" ht="13.5" hidden="1" thickBot="1" x14ac:dyDescent="0.25">
      <c r="B177" s="110">
        <f t="shared" si="0"/>
        <v>2052</v>
      </c>
      <c r="C177" s="135">
        <f>[5]С2.5!$AK$11</f>
        <v>0</v>
      </c>
    </row>
    <row r="178" spans="2:3" ht="13.5" hidden="1" thickBot="1" x14ac:dyDescent="0.25">
      <c r="B178" s="110">
        <f t="shared" si="0"/>
        <v>2053</v>
      </c>
      <c r="C178" s="135">
        <f>[5]С2.5!$AL$11</f>
        <v>0</v>
      </c>
    </row>
    <row r="179" spans="2:3" ht="13.5" hidden="1" thickBot="1" x14ac:dyDescent="0.25">
      <c r="B179" s="110">
        <f t="shared" si="0"/>
        <v>2054</v>
      </c>
      <c r="C179" s="135">
        <f>[5]С2.5!$AM$11</f>
        <v>0</v>
      </c>
    </row>
    <row r="180" spans="2:3" ht="13.5" hidden="1" thickBot="1" x14ac:dyDescent="0.25">
      <c r="B180" s="110">
        <f t="shared" si="0"/>
        <v>2055</v>
      </c>
      <c r="C180" s="135">
        <f>[5]С2.5!$AN$11</f>
        <v>0</v>
      </c>
    </row>
    <row r="181" spans="2:3" ht="13.5" hidden="1" thickBot="1" x14ac:dyDescent="0.25">
      <c r="B181" s="110">
        <f t="shared" si="0"/>
        <v>2056</v>
      </c>
      <c r="C181" s="135">
        <f>[5]С2.5!$AO$11</f>
        <v>0</v>
      </c>
    </row>
    <row r="182" spans="2:3" ht="13.5" hidden="1" thickBot="1" x14ac:dyDescent="0.25">
      <c r="B182" s="110">
        <f t="shared" si="0"/>
        <v>2057</v>
      </c>
      <c r="C182" s="135">
        <f>[5]С2.5!$AP$11</f>
        <v>0</v>
      </c>
    </row>
    <row r="183" spans="2:3" ht="13.5" hidden="1" thickBot="1" x14ac:dyDescent="0.25">
      <c r="B183" s="110">
        <f t="shared" si="0"/>
        <v>2058</v>
      </c>
      <c r="C183" s="135">
        <f>[5]С2.5!$AQ$11</f>
        <v>0</v>
      </c>
    </row>
    <row r="184" spans="2:3" ht="13.5" hidden="1" thickBot="1" x14ac:dyDescent="0.25">
      <c r="B184" s="110">
        <f t="shared" si="0"/>
        <v>2059</v>
      </c>
      <c r="C184" s="135">
        <f>[5]С2.5!$AR$11</f>
        <v>0</v>
      </c>
    </row>
    <row r="185" spans="2:3" ht="13.5" hidden="1" thickBot="1" x14ac:dyDescent="0.25">
      <c r="B185" s="110">
        <f t="shared" si="0"/>
        <v>2060</v>
      </c>
      <c r="C185" s="135">
        <f>[5]С2.5!$AS$11</f>
        <v>0</v>
      </c>
    </row>
    <row r="186" spans="2:3" ht="13.5" hidden="1" thickBot="1" x14ac:dyDescent="0.25">
      <c r="B186" s="110">
        <f t="shared" si="0"/>
        <v>2061</v>
      </c>
      <c r="C186" s="135">
        <f>[5]С2.5!$AT$11</f>
        <v>0</v>
      </c>
    </row>
    <row r="187" spans="2:3" ht="13.5" hidden="1" thickBot="1" x14ac:dyDescent="0.25">
      <c r="B187" s="110">
        <f t="shared" si="0"/>
        <v>2062</v>
      </c>
      <c r="C187" s="135">
        <f>[5]С2.5!$AU$11</f>
        <v>0</v>
      </c>
    </row>
    <row r="188" spans="2:3" ht="13.5" hidden="1" thickBot="1" x14ac:dyDescent="0.25">
      <c r="B188" s="110">
        <f t="shared" si="0"/>
        <v>2063</v>
      </c>
      <c r="C188" s="135">
        <f>[5]С2.5!$AV$11</f>
        <v>0</v>
      </c>
    </row>
    <row r="189" spans="2:3" ht="13.5" hidden="1" thickBot="1" x14ac:dyDescent="0.25">
      <c r="B189" s="110">
        <f t="shared" si="0"/>
        <v>2064</v>
      </c>
      <c r="C189" s="135">
        <f>[5]С2.5!$AW$11</f>
        <v>0</v>
      </c>
    </row>
    <row r="190" spans="2:3" ht="13.5" hidden="1" thickBot="1" x14ac:dyDescent="0.25">
      <c r="B190" s="110">
        <f t="shared" si="0"/>
        <v>2065</v>
      </c>
      <c r="C190" s="135">
        <f>[5]С2.5!$AX$11</f>
        <v>0</v>
      </c>
    </row>
    <row r="191" spans="2:3" ht="13.5" hidden="1" thickBot="1" x14ac:dyDescent="0.25">
      <c r="B191" s="110">
        <f t="shared" si="0"/>
        <v>2066</v>
      </c>
      <c r="C191" s="135">
        <f>[5]С2.5!$AY$11</f>
        <v>0</v>
      </c>
    </row>
    <row r="192" spans="2:3" ht="13.5" hidden="1" thickBot="1" x14ac:dyDescent="0.25">
      <c r="B192" s="110">
        <f t="shared" si="0"/>
        <v>2067</v>
      </c>
      <c r="C192" s="135">
        <f>[5]С2.5!$AZ$11</f>
        <v>0</v>
      </c>
    </row>
    <row r="193" spans="2:3" ht="13.5" hidden="1" thickBot="1" x14ac:dyDescent="0.25">
      <c r="B193" s="110">
        <f t="shared" si="0"/>
        <v>2068</v>
      </c>
      <c r="C193" s="135">
        <f>[5]С2.5!$BA$11</f>
        <v>0</v>
      </c>
    </row>
    <row r="194" spans="2:3" ht="13.5" hidden="1" thickBot="1" x14ac:dyDescent="0.25">
      <c r="B194" s="110">
        <f t="shared" si="0"/>
        <v>2069</v>
      </c>
      <c r="C194" s="135">
        <f>[5]С2.5!$BB$11</f>
        <v>0</v>
      </c>
    </row>
    <row r="195" spans="2:3" ht="13.5" hidden="1" thickBot="1" x14ac:dyDescent="0.25">
      <c r="B195" s="110">
        <f t="shared" si="0"/>
        <v>2070</v>
      </c>
      <c r="C195" s="135">
        <f>[5]С2.5!$BC$11</f>
        <v>0</v>
      </c>
    </row>
    <row r="196" spans="2:3" ht="13.5" hidden="1" thickBot="1" x14ac:dyDescent="0.25">
      <c r="B196" s="110">
        <f t="shared" si="0"/>
        <v>2071</v>
      </c>
      <c r="C196" s="135">
        <f>[5]С2.5!$BD$11</f>
        <v>0</v>
      </c>
    </row>
    <row r="197" spans="2:3" ht="13.5" hidden="1" thickBot="1" x14ac:dyDescent="0.25">
      <c r="B197" s="110">
        <f t="shared" si="0"/>
        <v>2072</v>
      </c>
      <c r="C197" s="135">
        <f>[5]С2.5!$BE$11</f>
        <v>0</v>
      </c>
    </row>
    <row r="198" spans="2:3" ht="13.5" hidden="1" thickBot="1" x14ac:dyDescent="0.25">
      <c r="B198" s="110">
        <f t="shared" si="0"/>
        <v>2073</v>
      </c>
      <c r="C198" s="135">
        <f>[5]С2.5!$BF$11</f>
        <v>0</v>
      </c>
    </row>
    <row r="199" spans="2:3" ht="13.5" hidden="1" thickBot="1" x14ac:dyDescent="0.25">
      <c r="B199" s="110">
        <f t="shared" si="0"/>
        <v>2074</v>
      </c>
      <c r="C199" s="135">
        <f>[5]С2.5!$BG$11</f>
        <v>0</v>
      </c>
    </row>
    <row r="200" spans="2:3" ht="13.5" hidden="1" thickBot="1" x14ac:dyDescent="0.25">
      <c r="B200" s="110">
        <f t="shared" si="0"/>
        <v>2075</v>
      </c>
      <c r="C200" s="135">
        <f>[5]С2.5!$BH$11</f>
        <v>0</v>
      </c>
    </row>
    <row r="201" spans="2:3" ht="13.5" hidden="1" thickBot="1" x14ac:dyDescent="0.25">
      <c r="B201" s="110">
        <f t="shared" si="0"/>
        <v>2076</v>
      </c>
      <c r="C201" s="135">
        <f>[5]С2.5!$BI$11</f>
        <v>0</v>
      </c>
    </row>
    <row r="202" spans="2:3" ht="13.5" hidden="1" thickBot="1" x14ac:dyDescent="0.25">
      <c r="B202" s="110">
        <f t="shared" si="0"/>
        <v>2077</v>
      </c>
      <c r="C202" s="135">
        <f>[5]С2.5!$BJ$11</f>
        <v>0</v>
      </c>
    </row>
    <row r="203" spans="2:3" ht="13.5" hidden="1" thickBot="1" x14ac:dyDescent="0.25">
      <c r="B203" s="110">
        <f t="shared" si="0"/>
        <v>2078</v>
      </c>
      <c r="C203" s="135">
        <f>[5]С2.5!$BK$11</f>
        <v>0</v>
      </c>
    </row>
    <row r="204" spans="2:3" ht="13.5" hidden="1" thickBot="1" x14ac:dyDescent="0.25">
      <c r="B204" s="110">
        <f t="shared" si="0"/>
        <v>2079</v>
      </c>
      <c r="C204" s="135">
        <f>[5]С2.5!$BL$11</f>
        <v>0</v>
      </c>
    </row>
    <row r="205" spans="2:3" ht="13.5" hidden="1" thickBot="1" x14ac:dyDescent="0.25">
      <c r="B205" s="110">
        <f t="shared" si="0"/>
        <v>2080</v>
      </c>
      <c r="C205" s="135">
        <f>[5]С2.5!$BM$11</f>
        <v>0</v>
      </c>
    </row>
    <row r="206" spans="2:3" ht="13.5" hidden="1" thickBot="1" x14ac:dyDescent="0.25">
      <c r="B206" s="110">
        <f t="shared" si="0"/>
        <v>2081</v>
      </c>
      <c r="C206" s="135">
        <f>[5]С2.5!$BN$11</f>
        <v>0</v>
      </c>
    </row>
    <row r="207" spans="2:3" ht="13.5" hidden="1" thickBot="1" x14ac:dyDescent="0.25">
      <c r="B207" s="110">
        <f t="shared" si="0"/>
        <v>2082</v>
      </c>
      <c r="C207" s="135">
        <f>[5]С2.5!$BO$11</f>
        <v>0</v>
      </c>
    </row>
    <row r="208" spans="2:3" ht="13.5" hidden="1" thickBot="1" x14ac:dyDescent="0.25">
      <c r="B208" s="110">
        <f t="shared" si="0"/>
        <v>2083</v>
      </c>
      <c r="C208" s="135">
        <f>[5]С2.5!$BP$11</f>
        <v>0</v>
      </c>
    </row>
    <row r="209" spans="2:3" ht="13.5" hidden="1" thickBot="1" x14ac:dyDescent="0.25">
      <c r="B209" s="110">
        <f t="shared" si="0"/>
        <v>2084</v>
      </c>
      <c r="C209" s="135">
        <f>[5]С2.5!$BQ$11</f>
        <v>0</v>
      </c>
    </row>
    <row r="210" spans="2:3" ht="13.5" hidden="1" thickBot="1" x14ac:dyDescent="0.25">
      <c r="B210" s="110">
        <f t="shared" si="0"/>
        <v>2085</v>
      </c>
      <c r="C210" s="135">
        <f>[5]С2.5!$BR$11</f>
        <v>0</v>
      </c>
    </row>
    <row r="211" spans="2:3" ht="13.5" hidden="1" thickBot="1" x14ac:dyDescent="0.25">
      <c r="B211" s="110">
        <f t="shared" ref="B211:B224" si="1">B210+1</f>
        <v>2086</v>
      </c>
      <c r="C211" s="135">
        <f>[5]С2.5!$BS$11</f>
        <v>0</v>
      </c>
    </row>
    <row r="212" spans="2:3" ht="13.5" hidden="1" thickBot="1" x14ac:dyDescent="0.25">
      <c r="B212" s="110">
        <f t="shared" si="1"/>
        <v>2087</v>
      </c>
      <c r="C212" s="135">
        <f>[5]С2.5!$BT$11</f>
        <v>0</v>
      </c>
    </row>
    <row r="213" spans="2:3" ht="13.5" hidden="1" thickBot="1" x14ac:dyDescent="0.25">
      <c r="B213" s="110">
        <f t="shared" si="1"/>
        <v>2088</v>
      </c>
      <c r="C213" s="135">
        <f>[5]С2.5!$BU$11</f>
        <v>0</v>
      </c>
    </row>
    <row r="214" spans="2:3" ht="13.5" hidden="1" thickBot="1" x14ac:dyDescent="0.25">
      <c r="B214" s="110">
        <f t="shared" si="1"/>
        <v>2089</v>
      </c>
      <c r="C214" s="135">
        <f>[5]С2.5!$BV$11</f>
        <v>0</v>
      </c>
    </row>
    <row r="215" spans="2:3" ht="13.5" hidden="1" thickBot="1" x14ac:dyDescent="0.25">
      <c r="B215" s="110">
        <f t="shared" si="1"/>
        <v>2090</v>
      </c>
      <c r="C215" s="135">
        <f>[5]С2.5!$BW$11</f>
        <v>0</v>
      </c>
    </row>
    <row r="216" spans="2:3" ht="13.5" hidden="1" thickBot="1" x14ac:dyDescent="0.25">
      <c r="B216" s="110">
        <f t="shared" si="1"/>
        <v>2091</v>
      </c>
      <c r="C216" s="135">
        <f>[5]С2.5!$BX$11</f>
        <v>0</v>
      </c>
    </row>
    <row r="217" spans="2:3" ht="13.5" hidden="1" thickBot="1" x14ac:dyDescent="0.25">
      <c r="B217" s="110">
        <f t="shared" si="1"/>
        <v>2092</v>
      </c>
      <c r="C217" s="135">
        <f>[5]С2.5!$BY$11</f>
        <v>0</v>
      </c>
    </row>
    <row r="218" spans="2:3" ht="13.5" hidden="1" thickBot="1" x14ac:dyDescent="0.25">
      <c r="B218" s="110">
        <f t="shared" si="1"/>
        <v>2093</v>
      </c>
      <c r="C218" s="135">
        <f>[5]С2.5!$BZ$11</f>
        <v>0</v>
      </c>
    </row>
    <row r="219" spans="2:3" ht="13.5" hidden="1" thickBot="1" x14ac:dyDescent="0.25">
      <c r="B219" s="110">
        <f t="shared" si="1"/>
        <v>2094</v>
      </c>
      <c r="C219" s="135">
        <f>[5]С2.5!$CA$11</f>
        <v>0</v>
      </c>
    </row>
    <row r="220" spans="2:3" ht="13.5" hidden="1" thickBot="1" x14ac:dyDescent="0.25">
      <c r="B220" s="110">
        <f t="shared" si="1"/>
        <v>2095</v>
      </c>
      <c r="C220" s="135">
        <f>[5]С2.5!$CB$11</f>
        <v>0</v>
      </c>
    </row>
    <row r="221" spans="2:3" ht="13.5" hidden="1" thickBot="1" x14ac:dyDescent="0.25">
      <c r="B221" s="110">
        <f t="shared" si="1"/>
        <v>2096</v>
      </c>
      <c r="C221" s="135">
        <f>[5]С2.5!$CC$11</f>
        <v>0</v>
      </c>
    </row>
    <row r="222" spans="2:3" ht="13.5" hidden="1" thickBot="1" x14ac:dyDescent="0.25">
      <c r="B222" s="110">
        <f t="shared" si="1"/>
        <v>2097</v>
      </c>
      <c r="C222" s="135">
        <f>[5]С2.5!$CD$11</f>
        <v>0</v>
      </c>
    </row>
    <row r="223" spans="2:3" ht="13.5" hidden="1" thickBot="1" x14ac:dyDescent="0.25">
      <c r="B223" s="110">
        <f t="shared" si="1"/>
        <v>2098</v>
      </c>
      <c r="C223" s="135">
        <f>[5]С2.5!$CE$11</f>
        <v>0</v>
      </c>
    </row>
    <row r="224" spans="2:3" ht="13.5" hidden="1" thickBot="1" x14ac:dyDescent="0.25">
      <c r="B224" s="110">
        <f t="shared" si="1"/>
        <v>2099</v>
      </c>
      <c r="C224" s="135">
        <f>[5]С2.5!$CF$11</f>
        <v>0</v>
      </c>
    </row>
    <row r="225" spans="2:3" ht="13.5" hidden="1" thickBot="1" x14ac:dyDescent="0.25">
      <c r="B225" s="112">
        <f>B162+1</f>
        <v>2038</v>
      </c>
      <c r="C225" s="136" t="e">
        <f>[5]С2.5!#REF!</f>
        <v>#REF!</v>
      </c>
    </row>
    <row r="226" spans="2:3" x14ac:dyDescent="0.2">
      <c r="B226" s="137"/>
      <c r="C226" s="138"/>
    </row>
  </sheetData>
  <mergeCells count="9">
    <mergeCell ref="B143:C143"/>
    <mergeCell ref="A14:C14"/>
    <mergeCell ref="B1:C1"/>
    <mergeCell ref="B27:C27"/>
    <mergeCell ref="B45:C45"/>
    <mergeCell ref="B90:C90"/>
    <mergeCell ref="B101:C101"/>
    <mergeCell ref="B126:C126"/>
    <mergeCell ref="B129:C129"/>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Button 1">
              <controlPr defaultSize="0" print="0" autoFill="0" autoPict="0" macro="[6]!Лист29.PrintBlock">
                <anchor moveWithCells="1" sizeWithCells="1">
                  <from>
                    <xdr:col>3</xdr:col>
                    <xdr:colOff>0</xdr:colOff>
                    <xdr:row>0</xdr:row>
                    <xdr:rowOff>104775</xdr:rowOff>
                  </from>
                  <to>
                    <xdr:col>4</xdr:col>
                    <xdr:colOff>0</xdr:colOff>
                    <xdr:row>0</xdr:row>
                    <xdr:rowOff>352425</xdr:rowOff>
                  </to>
                </anchor>
              </controlPr>
            </control>
          </mc:Choice>
        </mc:AlternateContent>
        <mc:AlternateContent xmlns:mc="http://schemas.openxmlformats.org/markup-compatibility/2006">
          <mc:Choice Requires="x14">
            <control shapeId="3074" r:id="rId4" name="Button 2">
              <controlPr defaultSize="0" print="0" autoFill="0" autoPict="0" macro="[5]!Лист29.PrintBlock">
                <anchor moveWithCells="1" sizeWithCells="1">
                  <from>
                    <xdr:col>3</xdr:col>
                    <xdr:colOff>47625</xdr:colOff>
                    <xdr:row>0</xdr:row>
                    <xdr:rowOff>104775</xdr:rowOff>
                  </from>
                  <to>
                    <xdr:col>4</xdr:col>
                    <xdr:colOff>1095375</xdr:colOff>
                    <xdr:row>0</xdr:row>
                    <xdr:rowOff>352425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63" t="s">
        <v>0</v>
      </c>
      <c r="C1" s="163"/>
    </row>
    <row r="2" spans="1:3" x14ac:dyDescent="0.2">
      <c r="A2" s="3"/>
      <c r="B2" s="4" t="s">
        <v>1</v>
      </c>
      <c r="C2" s="5">
        <v>45317</v>
      </c>
    </row>
    <row r="3" spans="1:3" x14ac:dyDescent="0.2">
      <c r="A3" s="3"/>
      <c r="B3" s="6" t="s">
        <v>2</v>
      </c>
    </row>
    <row r="4" spans="1:3" ht="25.5" x14ac:dyDescent="0.2">
      <c r="A4" s="8"/>
      <c r="B4" s="9" t="str">
        <f>[7]И1!D13</f>
        <v>Субъект Российской Федерации</v>
      </c>
      <c r="C4" s="10" t="str">
        <f>[7]И1!E13</f>
        <v>Новосибирская область</v>
      </c>
    </row>
    <row r="5" spans="1:3" ht="46.9" customHeight="1" x14ac:dyDescent="0.2">
      <c r="A5" s="8"/>
      <c r="B5" s="9" t="str">
        <f>[7]И1!D14</f>
        <v>Тип муниципального образования (выберите из списка)</v>
      </c>
      <c r="C5" s="10" t="str">
        <f>[7]И1!E14</f>
        <v>деревня Гилево, Искитимский муниципальный район</v>
      </c>
    </row>
    <row r="6" spans="1:3" ht="38.25" x14ac:dyDescent="0.2">
      <c r="A6" s="8"/>
      <c r="B6" s="9" t="str">
        <f>IF([7]И1!E15="","",[7]И1!D15)</f>
        <v/>
      </c>
      <c r="C6" s="10" t="str">
        <f>IF([7]И1!E15="","",[7]И1!E15)</f>
        <v>деревня Гилево, Искитимский муниципальный район</v>
      </c>
    </row>
    <row r="7" spans="1:3" x14ac:dyDescent="0.2">
      <c r="A7" s="8"/>
      <c r="B7" s="9" t="str">
        <f>[7]И1!D16</f>
        <v>Код ОКТМО</v>
      </c>
      <c r="C7" s="11" t="str">
        <f>[7]И1!E16</f>
        <v xml:space="preserve"> (50615407106)</v>
      </c>
    </row>
    <row r="8" spans="1:3" x14ac:dyDescent="0.2">
      <c r="A8" s="8"/>
      <c r="B8" s="12" t="str">
        <f>[7]И1!D17</f>
        <v>Система теплоснабжения</v>
      </c>
      <c r="C8" s="13">
        <f>[7]И1!E17</f>
        <v>0</v>
      </c>
    </row>
    <row r="9" spans="1:3" x14ac:dyDescent="0.2">
      <c r="A9" s="8"/>
      <c r="B9" s="9" t="str">
        <f>[7]И1!D8</f>
        <v>Период регулирования (i)-й</v>
      </c>
      <c r="C9" s="14">
        <f>[7]И1!E8</f>
        <v>2024</v>
      </c>
    </row>
    <row r="10" spans="1:3" x14ac:dyDescent="0.2">
      <c r="A10" s="8"/>
      <c r="B10" s="9" t="str">
        <f>[7]И1!D9</f>
        <v>Период регулирования (i-1)-й</v>
      </c>
      <c r="C10" s="14">
        <f>[7]И1!E9</f>
        <v>2023</v>
      </c>
    </row>
    <row r="11" spans="1:3" x14ac:dyDescent="0.2">
      <c r="A11" s="8"/>
      <c r="B11" s="9" t="str">
        <f>[7]И1!D10</f>
        <v>Период регулирования (i-2)-й</v>
      </c>
      <c r="C11" s="14">
        <f>[7]И1!E10</f>
        <v>2022</v>
      </c>
    </row>
    <row r="12" spans="1:3" x14ac:dyDescent="0.2">
      <c r="A12" s="8"/>
      <c r="B12" s="9" t="str">
        <f>[7]И1!D11</f>
        <v>Базовый год (б)</v>
      </c>
      <c r="C12" s="14">
        <f>[7]И1!E11</f>
        <v>2019</v>
      </c>
    </row>
    <row r="13" spans="1:3" ht="38.25" x14ac:dyDescent="0.2">
      <c r="A13" s="8"/>
      <c r="B13" s="9" t="str">
        <f>[7]И1!D18</f>
        <v>Вид топлива, использование которого преобладает в системе теплоснабжения</v>
      </c>
      <c r="C13" s="15" t="str">
        <f>[7]С1.1!E13</f>
        <v>уголь (вид угля не указан в топливном балансе)</v>
      </c>
    </row>
    <row r="14" spans="1:3" ht="31.7" customHeight="1" thickBot="1" x14ac:dyDescent="0.25">
      <c r="A14" s="162" t="s">
        <v>3</v>
      </c>
      <c r="B14" s="162"/>
      <c r="C14" s="16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3755.1269222377105</v>
      </c>
    </row>
    <row r="18" spans="1:3" ht="42.75" x14ac:dyDescent="0.2">
      <c r="A18" s="22" t="s">
        <v>8</v>
      </c>
      <c r="B18" s="25" t="s">
        <v>9</v>
      </c>
      <c r="C18" s="26">
        <f>[7]С1!F12</f>
        <v>759.67438872744583</v>
      </c>
    </row>
    <row r="19" spans="1:3" ht="42.75" x14ac:dyDescent="0.2">
      <c r="A19" s="22" t="s">
        <v>10</v>
      </c>
      <c r="B19" s="25" t="s">
        <v>11</v>
      </c>
      <c r="C19" s="26">
        <f>[7]С2!F12</f>
        <v>2000.3680279558928</v>
      </c>
    </row>
    <row r="20" spans="1:3" ht="30" x14ac:dyDescent="0.2">
      <c r="A20" s="22" t="s">
        <v>12</v>
      </c>
      <c r="B20" s="25" t="s">
        <v>13</v>
      </c>
      <c r="C20" s="26">
        <f>[7]С3!F12</f>
        <v>475.74490066496389</v>
      </c>
    </row>
    <row r="21" spans="1:3" ht="42.75" x14ac:dyDescent="0.2">
      <c r="A21" s="22" t="s">
        <v>14</v>
      </c>
      <c r="B21" s="25" t="s">
        <v>15</v>
      </c>
      <c r="C21" s="26">
        <f>[7]С4!F12</f>
        <v>445.70966523768817</v>
      </c>
    </row>
    <row r="22" spans="1:3" ht="30" x14ac:dyDescent="0.2">
      <c r="A22" s="22" t="s">
        <v>16</v>
      </c>
      <c r="B22" s="25" t="s">
        <v>17</v>
      </c>
      <c r="C22" s="26">
        <f>[7]С5!F12</f>
        <v>73.629939651719823</v>
      </c>
    </row>
    <row r="23" spans="1:3" ht="43.5" thickBot="1" x14ac:dyDescent="0.25">
      <c r="A23" s="27" t="s">
        <v>18</v>
      </c>
      <c r="B23" s="140" t="s">
        <v>19</v>
      </c>
      <c r="C23" s="28" t="str">
        <f>[7]С6!F12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64" t="s">
        <v>20</v>
      </c>
      <c r="C27" s="164"/>
    </row>
    <row r="28" spans="1:3" x14ac:dyDescent="0.2">
      <c r="A28" s="22" t="s">
        <v>8</v>
      </c>
      <c r="B28" s="33" t="s">
        <v>21</v>
      </c>
      <c r="C28" s="34">
        <f>[7]С1.1!E16</f>
        <v>5100</v>
      </c>
    </row>
    <row r="29" spans="1:3" ht="42.75" x14ac:dyDescent="0.2">
      <c r="A29" s="22" t="s">
        <v>10</v>
      </c>
      <c r="B29" s="33" t="s">
        <v>22</v>
      </c>
      <c r="C29" s="34">
        <f>[7]С1.1!E27</f>
        <v>3413.25</v>
      </c>
    </row>
    <row r="30" spans="1:3" ht="17.25" x14ac:dyDescent="0.2">
      <c r="A30" s="22" t="s">
        <v>12</v>
      </c>
      <c r="B30" s="33" t="s">
        <v>23</v>
      </c>
      <c r="C30" s="35">
        <f>[7]С1.1!E19</f>
        <v>-0.19900000000000001</v>
      </c>
    </row>
    <row r="31" spans="1:3" ht="17.25" x14ac:dyDescent="0.2">
      <c r="A31" s="22" t="s">
        <v>14</v>
      </c>
      <c r="B31" s="33" t="s">
        <v>24</v>
      </c>
      <c r="C31" s="35">
        <f>[7]С1.1!E20</f>
        <v>5.7000000000000002E-2</v>
      </c>
    </row>
    <row r="32" spans="1:3" ht="30" x14ac:dyDescent="0.2">
      <c r="A32" s="22" t="s">
        <v>16</v>
      </c>
      <c r="B32" s="36" t="s">
        <v>25</v>
      </c>
      <c r="C32" s="37">
        <f>[7]С1!F13</f>
        <v>176.4</v>
      </c>
    </row>
    <row r="33" spans="1:3" x14ac:dyDescent="0.2">
      <c r="A33" s="22" t="s">
        <v>18</v>
      </c>
      <c r="B33" s="36" t="s">
        <v>26</v>
      </c>
      <c r="C33" s="38">
        <f>[7]С1!F16</f>
        <v>7000</v>
      </c>
    </row>
    <row r="34" spans="1:3" ht="14.25" x14ac:dyDescent="0.2">
      <c r="A34" s="22" t="s">
        <v>27</v>
      </c>
      <c r="B34" s="39" t="s">
        <v>28</v>
      </c>
      <c r="C34" s="40">
        <f>[7]С1!F17</f>
        <v>0.72857142857142854</v>
      </c>
    </row>
    <row r="35" spans="1:3" ht="15.75" x14ac:dyDescent="0.2">
      <c r="A35" s="41" t="s">
        <v>29</v>
      </c>
      <c r="B35" s="42" t="s">
        <v>30</v>
      </c>
      <c r="C35" s="40">
        <f>[7]С1!F20</f>
        <v>21.588411179999994</v>
      </c>
    </row>
    <row r="36" spans="1:3" ht="15.75" x14ac:dyDescent="0.2">
      <c r="A36" s="41" t="s">
        <v>31</v>
      </c>
      <c r="B36" s="43" t="s">
        <v>32</v>
      </c>
      <c r="C36" s="40">
        <f>[7]С1!F21</f>
        <v>20.818139999999996</v>
      </c>
    </row>
    <row r="37" spans="1:3" ht="14.25" x14ac:dyDescent="0.2">
      <c r="A37" s="41" t="s">
        <v>33</v>
      </c>
      <c r="B37" s="44" t="s">
        <v>34</v>
      </c>
      <c r="C37" s="40">
        <f>[7]С1!F22</f>
        <v>1.0369999999999999</v>
      </c>
    </row>
    <row r="38" spans="1:3" ht="53.25" thickBot="1" x14ac:dyDescent="0.25">
      <c r="A38" s="27" t="s">
        <v>35</v>
      </c>
      <c r="B38" s="45" t="s">
        <v>36</v>
      </c>
      <c r="C38" s="46">
        <f>[7]С1!F23</f>
        <v>1.0469999999999999</v>
      </c>
    </row>
    <row r="39" spans="1:3" ht="13.5" thickBot="1" x14ac:dyDescent="0.25">
      <c r="A39" s="47"/>
      <c r="B39" s="48"/>
      <c r="C39" s="49"/>
    </row>
    <row r="40" spans="1:3" ht="30" customHeight="1" x14ac:dyDescent="0.2">
      <c r="A40" s="50" t="s">
        <v>37</v>
      </c>
      <c r="B40" s="165" t="s">
        <v>38</v>
      </c>
      <c r="C40" s="165"/>
    </row>
    <row r="41" spans="1:3" ht="25.5" x14ac:dyDescent="0.2">
      <c r="A41" s="22" t="s">
        <v>39</v>
      </c>
      <c r="B41" s="36" t="s">
        <v>40</v>
      </c>
      <c r="C41" s="51" t="str">
        <f>[7]С2.1!E12</f>
        <v>V</v>
      </c>
    </row>
    <row r="42" spans="1:3" ht="25.5" x14ac:dyDescent="0.2">
      <c r="A42" s="22" t="s">
        <v>41</v>
      </c>
      <c r="B42" s="33" t="s">
        <v>42</v>
      </c>
      <c r="C42" s="51" t="str">
        <f>[7]С2.1!E13</f>
        <v>6 и менее баллов</v>
      </c>
    </row>
    <row r="43" spans="1:3" ht="25.5" x14ac:dyDescent="0.2">
      <c r="A43" s="22" t="s">
        <v>43</v>
      </c>
      <c r="B43" s="33" t="s">
        <v>44</v>
      </c>
      <c r="C43" s="51" t="str">
        <f>[7]С2.1!E14</f>
        <v>от 200 до 500</v>
      </c>
    </row>
    <row r="44" spans="1:3" ht="25.5" x14ac:dyDescent="0.2">
      <c r="A44" s="22" t="s">
        <v>45</v>
      </c>
      <c r="B44" s="33" t="s">
        <v>46</v>
      </c>
      <c r="C44" s="52" t="str">
        <f>[7]С2.1!E15</f>
        <v>нет</v>
      </c>
    </row>
    <row r="45" spans="1:3" ht="30" x14ac:dyDescent="0.2">
      <c r="A45" s="22" t="s">
        <v>47</v>
      </c>
      <c r="B45" s="33" t="s">
        <v>48</v>
      </c>
      <c r="C45" s="34">
        <f>[7]С2!F18</f>
        <v>35106.652004551666</v>
      </c>
    </row>
    <row r="46" spans="1:3" ht="30" x14ac:dyDescent="0.2">
      <c r="A46" s="22" t="s">
        <v>49</v>
      </c>
      <c r="B46" s="53" t="s">
        <v>50</v>
      </c>
      <c r="C46" s="34">
        <f>IF([7]С2!F19&gt;0,[7]С2!F19,[7]С2!F20)</f>
        <v>23441.524932855718</v>
      </c>
    </row>
    <row r="47" spans="1:3" ht="25.5" x14ac:dyDescent="0.2">
      <c r="A47" s="22" t="s">
        <v>51</v>
      </c>
      <c r="B47" s="54" t="s">
        <v>52</v>
      </c>
      <c r="C47" s="34">
        <f>[7]С2.1!E19</f>
        <v>-38</v>
      </c>
    </row>
    <row r="48" spans="1:3" ht="25.5" x14ac:dyDescent="0.2">
      <c r="A48" s="22" t="s">
        <v>53</v>
      </c>
      <c r="B48" s="54" t="s">
        <v>54</v>
      </c>
      <c r="C48" s="34" t="str">
        <f>[7]С2.1!E22</f>
        <v>нет</v>
      </c>
    </row>
    <row r="49" spans="1:3" ht="38.25" x14ac:dyDescent="0.2">
      <c r="A49" s="22" t="s">
        <v>55</v>
      </c>
      <c r="B49" s="55" t="s">
        <v>56</v>
      </c>
      <c r="C49" s="34">
        <f>[7]С2.2!E10</f>
        <v>1287</v>
      </c>
    </row>
    <row r="50" spans="1:3" ht="25.5" x14ac:dyDescent="0.2">
      <c r="A50" s="22" t="s">
        <v>57</v>
      </c>
      <c r="B50" s="56" t="s">
        <v>58</v>
      </c>
      <c r="C50" s="34">
        <f>[7]С2.2!E12</f>
        <v>5.97</v>
      </c>
    </row>
    <row r="51" spans="1:3" ht="52.5" x14ac:dyDescent="0.2">
      <c r="A51" s="22" t="s">
        <v>59</v>
      </c>
      <c r="B51" s="57" t="s">
        <v>60</v>
      </c>
      <c r="C51" s="34">
        <f>[7]С2.2!E13</f>
        <v>1</v>
      </c>
    </row>
    <row r="52" spans="1:3" ht="27.75" x14ac:dyDescent="0.2">
      <c r="A52" s="22" t="s">
        <v>61</v>
      </c>
      <c r="B52" s="56" t="s">
        <v>62</v>
      </c>
      <c r="C52" s="34">
        <f>[7]С2.2!E14</f>
        <v>12104</v>
      </c>
    </row>
    <row r="53" spans="1:3" ht="25.5" x14ac:dyDescent="0.2">
      <c r="A53" s="22" t="s">
        <v>63</v>
      </c>
      <c r="B53" s="57" t="s">
        <v>64</v>
      </c>
      <c r="C53" s="35">
        <f>[7]С2.2!E15</f>
        <v>4.8000000000000001E-2</v>
      </c>
    </row>
    <row r="54" spans="1:3" x14ac:dyDescent="0.2">
      <c r="A54" s="22" t="s">
        <v>65</v>
      </c>
      <c r="B54" s="57" t="s">
        <v>66</v>
      </c>
      <c r="C54" s="34">
        <f>[7]С2.2!E16</f>
        <v>1</v>
      </c>
    </row>
    <row r="55" spans="1:3" ht="15.75" x14ac:dyDescent="0.2">
      <c r="A55" s="22" t="s">
        <v>67</v>
      </c>
      <c r="B55" s="58" t="s">
        <v>68</v>
      </c>
      <c r="C55" s="34">
        <f>[7]С2!F21</f>
        <v>1</v>
      </c>
    </row>
    <row r="56" spans="1:3" ht="30" x14ac:dyDescent="0.2">
      <c r="A56" s="59" t="s">
        <v>69</v>
      </c>
      <c r="B56" s="33" t="s">
        <v>70</v>
      </c>
      <c r="C56" s="34">
        <f>[7]С2!F13</f>
        <v>183796.83936385796</v>
      </c>
    </row>
    <row r="57" spans="1:3" ht="30" x14ac:dyDescent="0.2">
      <c r="A57" s="59" t="s">
        <v>71</v>
      </c>
      <c r="B57" s="58" t="s">
        <v>72</v>
      </c>
      <c r="C57" s="34">
        <f>[7]С2!F14</f>
        <v>113455</v>
      </c>
    </row>
    <row r="58" spans="1:3" ht="15.75" x14ac:dyDescent="0.2">
      <c r="A58" s="59" t="s">
        <v>73</v>
      </c>
      <c r="B58" s="60" t="s">
        <v>74</v>
      </c>
      <c r="C58" s="40">
        <f>[7]С2!F15</f>
        <v>1.071</v>
      </c>
    </row>
    <row r="59" spans="1:3" ht="15.75" x14ac:dyDescent="0.2">
      <c r="A59" s="59" t="s">
        <v>75</v>
      </c>
      <c r="B59" s="60" t="s">
        <v>76</v>
      </c>
      <c r="C59" s="40">
        <f>[7]С2!F16</f>
        <v>1</v>
      </c>
    </row>
    <row r="60" spans="1:3" ht="17.25" x14ac:dyDescent="0.2">
      <c r="A60" s="59" t="s">
        <v>77</v>
      </c>
      <c r="B60" s="58" t="s">
        <v>78</v>
      </c>
      <c r="C60" s="34">
        <f>[7]С2!F17</f>
        <v>1.01</v>
      </c>
    </row>
    <row r="61" spans="1:3" s="63" customFormat="1" ht="14.25" x14ac:dyDescent="0.2">
      <c r="A61" s="59" t="s">
        <v>79</v>
      </c>
      <c r="B61" s="61" t="s">
        <v>80</v>
      </c>
      <c r="C61" s="62">
        <f>[7]С2!F33</f>
        <v>10</v>
      </c>
    </row>
    <row r="62" spans="1:3" ht="30" x14ac:dyDescent="0.2">
      <c r="A62" s="59" t="s">
        <v>81</v>
      </c>
      <c r="B62" s="64" t="s">
        <v>82</v>
      </c>
      <c r="C62" s="34">
        <f>[7]С2!F26</f>
        <v>2780.7867618428891</v>
      </c>
    </row>
    <row r="63" spans="1:3" ht="17.25" x14ac:dyDescent="0.2">
      <c r="A63" s="59" t="s">
        <v>83</v>
      </c>
      <c r="B63" s="53" t="s">
        <v>84</v>
      </c>
      <c r="C63" s="34">
        <f>[7]С2!F27</f>
        <v>0.44209422600000003</v>
      </c>
    </row>
    <row r="64" spans="1:3" ht="17.25" x14ac:dyDescent="0.2">
      <c r="A64" s="59" t="s">
        <v>85</v>
      </c>
      <c r="B64" s="58" t="s">
        <v>86</v>
      </c>
      <c r="C64" s="62">
        <f>[7]С2!F28</f>
        <v>4200</v>
      </c>
    </row>
    <row r="65" spans="1:3" ht="42.75" x14ac:dyDescent="0.2">
      <c r="A65" s="59" t="s">
        <v>87</v>
      </c>
      <c r="B65" s="33" t="s">
        <v>88</v>
      </c>
      <c r="C65" s="34">
        <f>[7]С2!F22</f>
        <v>38698.422798410109</v>
      </c>
    </row>
    <row r="66" spans="1:3" ht="30" x14ac:dyDescent="0.2">
      <c r="A66" s="59" t="s">
        <v>89</v>
      </c>
      <c r="B66" s="60" t="s">
        <v>90</v>
      </c>
      <c r="C66" s="34">
        <f>[7]С2!F23</f>
        <v>1990</v>
      </c>
    </row>
    <row r="67" spans="1:3" ht="30" x14ac:dyDescent="0.2">
      <c r="A67" s="59" t="s">
        <v>91</v>
      </c>
      <c r="B67" s="53" t="s">
        <v>92</v>
      </c>
      <c r="C67" s="34">
        <f>[7]С2.1!E27</f>
        <v>14307.876789999998</v>
      </c>
    </row>
    <row r="68" spans="1:3" ht="38.25" x14ac:dyDescent="0.2">
      <c r="A68" s="59" t="s">
        <v>93</v>
      </c>
      <c r="B68" s="65" t="s">
        <v>94</v>
      </c>
      <c r="C68" s="52">
        <f>[7]С2.3!E21</f>
        <v>0</v>
      </c>
    </row>
    <row r="69" spans="1:3" ht="25.5" x14ac:dyDescent="0.2">
      <c r="A69" s="59" t="s">
        <v>95</v>
      </c>
      <c r="B69" s="66" t="s">
        <v>96</v>
      </c>
      <c r="C69" s="67">
        <f>[7]С2.3!E11</f>
        <v>9.89</v>
      </c>
    </row>
    <row r="70" spans="1:3" ht="25.5" x14ac:dyDescent="0.2">
      <c r="A70" s="59" t="s">
        <v>97</v>
      </c>
      <c r="B70" s="66" t="s">
        <v>98</v>
      </c>
      <c r="C70" s="62">
        <f>[7]С2.3!E13</f>
        <v>300</v>
      </c>
    </row>
    <row r="71" spans="1:3" ht="25.5" x14ac:dyDescent="0.2">
      <c r="A71" s="59" t="s">
        <v>99</v>
      </c>
      <c r="B71" s="65" t="s">
        <v>100</v>
      </c>
      <c r="C71" s="68">
        <f>IF([7]С2.3!E22&gt;0,[7]С2.3!E22,[7]С2.3!E14)</f>
        <v>61211</v>
      </c>
    </row>
    <row r="72" spans="1:3" ht="38.25" x14ac:dyDescent="0.2">
      <c r="A72" s="59" t="s">
        <v>101</v>
      </c>
      <c r="B72" s="65" t="s">
        <v>102</v>
      </c>
      <c r="C72" s="68">
        <f>IF([7]С2.3!E23&gt;0,[7]С2.3!E23,[7]С2.3!E15)</f>
        <v>45675</v>
      </c>
    </row>
    <row r="73" spans="1:3" ht="30" x14ac:dyDescent="0.2">
      <c r="A73" s="59" t="s">
        <v>103</v>
      </c>
      <c r="B73" s="53" t="s">
        <v>104</v>
      </c>
      <c r="C73" s="34">
        <f>[7]С2.1!E28</f>
        <v>9541.9567200000001</v>
      </c>
    </row>
    <row r="74" spans="1:3" ht="38.25" x14ac:dyDescent="0.2">
      <c r="A74" s="59" t="s">
        <v>105</v>
      </c>
      <c r="B74" s="65" t="s">
        <v>106</v>
      </c>
      <c r="C74" s="52">
        <f>[7]С2.3!E25</f>
        <v>0</v>
      </c>
    </row>
    <row r="75" spans="1:3" ht="25.5" x14ac:dyDescent="0.2">
      <c r="A75" s="59" t="s">
        <v>107</v>
      </c>
      <c r="B75" s="66" t="s">
        <v>108</v>
      </c>
      <c r="C75" s="67">
        <f>[7]С2.3!E12</f>
        <v>0.56000000000000005</v>
      </c>
    </row>
    <row r="76" spans="1:3" ht="25.5" x14ac:dyDescent="0.2">
      <c r="A76" s="59" t="s">
        <v>109</v>
      </c>
      <c r="B76" s="66" t="s">
        <v>98</v>
      </c>
      <c r="C76" s="62">
        <f>[7]С2.3!E13</f>
        <v>300</v>
      </c>
    </row>
    <row r="77" spans="1:3" ht="25.5" x14ac:dyDescent="0.2">
      <c r="A77" s="59" t="s">
        <v>110</v>
      </c>
      <c r="B77" s="69" t="s">
        <v>111</v>
      </c>
      <c r="C77" s="68">
        <f>IF([7]С2.3!E26&gt;0,[7]С2.3!E26,[7]С2.3!E16)</f>
        <v>65637</v>
      </c>
    </row>
    <row r="78" spans="1:3" ht="38.25" x14ac:dyDescent="0.2">
      <c r="A78" s="59" t="s">
        <v>112</v>
      </c>
      <c r="B78" s="69" t="s">
        <v>113</v>
      </c>
      <c r="C78" s="68">
        <f>IF([7]С2.3!E27&gt;0,[7]С2.3!E27,[7]С2.3!E17)</f>
        <v>31684</v>
      </c>
    </row>
    <row r="79" spans="1:3" ht="17.25" x14ac:dyDescent="0.2">
      <c r="A79" s="59" t="s">
        <v>114</v>
      </c>
      <c r="B79" s="33" t="s">
        <v>115</v>
      </c>
      <c r="C79" s="35">
        <f>[7]С2!F29</f>
        <v>9.5962865259740182E-2</v>
      </c>
    </row>
    <row r="80" spans="1:3" ht="30" x14ac:dyDescent="0.2">
      <c r="A80" s="59" t="s">
        <v>116</v>
      </c>
      <c r="B80" s="53" t="s">
        <v>117</v>
      </c>
      <c r="C80" s="70">
        <f>[7]С2!F30</f>
        <v>8.4029304029304031E-2</v>
      </c>
    </row>
    <row r="81" spans="1:3" ht="17.25" x14ac:dyDescent="0.2">
      <c r="A81" s="59" t="s">
        <v>118</v>
      </c>
      <c r="B81" s="71" t="s">
        <v>119</v>
      </c>
      <c r="C81" s="35">
        <f>[7]С2!F31</f>
        <v>0.13880000000000001</v>
      </c>
    </row>
    <row r="82" spans="1:3" s="63" customFormat="1" ht="18" thickBot="1" x14ac:dyDescent="0.25">
      <c r="A82" s="72" t="s">
        <v>120</v>
      </c>
      <c r="B82" s="73" t="s">
        <v>121</v>
      </c>
      <c r="C82" s="74">
        <f>[7]С2!F32</f>
        <v>0.12640000000000001</v>
      </c>
    </row>
    <row r="83" spans="1:3" ht="13.5" thickBot="1" x14ac:dyDescent="0.25">
      <c r="A83" s="47"/>
      <c r="B83" s="75"/>
      <c r="C83" s="15"/>
    </row>
    <row r="84" spans="1:3" s="63" customFormat="1" ht="30" customHeight="1" x14ac:dyDescent="0.2">
      <c r="A84" s="76" t="s">
        <v>122</v>
      </c>
      <c r="B84" s="165" t="s">
        <v>123</v>
      </c>
      <c r="C84" s="165"/>
    </row>
    <row r="85" spans="1:3" s="63" customFormat="1" ht="30" x14ac:dyDescent="0.2">
      <c r="A85" s="77" t="s">
        <v>124</v>
      </c>
      <c r="B85" s="33" t="s">
        <v>125</v>
      </c>
      <c r="C85" s="34">
        <f>[7]С3!F14</f>
        <v>6117.6201782637581</v>
      </c>
    </row>
    <row r="86" spans="1:3" s="63" customFormat="1" ht="42.75" x14ac:dyDescent="0.2">
      <c r="A86" s="77" t="s">
        <v>126</v>
      </c>
      <c r="B86" s="53" t="s">
        <v>127</v>
      </c>
      <c r="C86" s="78">
        <f>[7]С3!F15</f>
        <v>0.2</v>
      </c>
    </row>
    <row r="87" spans="1:3" s="63" customFormat="1" ht="14.25" x14ac:dyDescent="0.2">
      <c r="A87" s="77" t="s">
        <v>128</v>
      </c>
      <c r="B87" s="79" t="s">
        <v>129</v>
      </c>
      <c r="C87" s="62">
        <f>[7]С3!F18</f>
        <v>15</v>
      </c>
    </row>
    <row r="88" spans="1:3" s="63" customFormat="1" ht="17.25" x14ac:dyDescent="0.2">
      <c r="A88" s="77" t="s">
        <v>130</v>
      </c>
      <c r="B88" s="33" t="s">
        <v>131</v>
      </c>
      <c r="C88" s="34">
        <f>[7]С3!F19</f>
        <v>3778.1614077800232</v>
      </c>
    </row>
    <row r="89" spans="1:3" s="63" customFormat="1" ht="55.5" x14ac:dyDescent="0.2">
      <c r="A89" s="77" t="s">
        <v>132</v>
      </c>
      <c r="B89" s="53" t="s">
        <v>133</v>
      </c>
      <c r="C89" s="80">
        <f>[7]С3!F20</f>
        <v>2.1999999999999999E-2</v>
      </c>
    </row>
    <row r="90" spans="1:3" s="63" customFormat="1" ht="14.25" x14ac:dyDescent="0.2">
      <c r="A90" s="77" t="s">
        <v>134</v>
      </c>
      <c r="B90" s="58" t="s">
        <v>80</v>
      </c>
      <c r="C90" s="62">
        <f>[7]С3!F21</f>
        <v>10</v>
      </c>
    </row>
    <row r="91" spans="1:3" s="63" customFormat="1" ht="17.25" x14ac:dyDescent="0.2">
      <c r="A91" s="77" t="s">
        <v>135</v>
      </c>
      <c r="B91" s="33" t="s">
        <v>136</v>
      </c>
      <c r="C91" s="34">
        <f>[7]С3!F22</f>
        <v>8.3423602855286667</v>
      </c>
    </row>
    <row r="92" spans="1:3" s="63" customFormat="1" ht="55.5" x14ac:dyDescent="0.2">
      <c r="A92" s="77" t="s">
        <v>137</v>
      </c>
      <c r="B92" s="53" t="s">
        <v>138</v>
      </c>
      <c r="C92" s="80">
        <f>[7]С3!F23</f>
        <v>3.0000000000000001E-3</v>
      </c>
    </row>
    <row r="93" spans="1:3" s="63" customFormat="1" ht="27.75" thickBot="1" x14ac:dyDescent="0.25">
      <c r="A93" s="81" t="s">
        <v>139</v>
      </c>
      <c r="B93" s="82" t="s">
        <v>140</v>
      </c>
      <c r="C93" s="83">
        <f>[7]С3!F24</f>
        <v>2780.7867618428891</v>
      </c>
    </row>
    <row r="94" spans="1:3" ht="13.5" thickBot="1" x14ac:dyDescent="0.25">
      <c r="A94" s="47"/>
      <c r="B94" s="75"/>
      <c r="C94" s="15"/>
    </row>
    <row r="95" spans="1:3" ht="30" customHeight="1" x14ac:dyDescent="0.2">
      <c r="A95" s="84" t="s">
        <v>141</v>
      </c>
      <c r="B95" s="165" t="s">
        <v>142</v>
      </c>
      <c r="C95" s="165"/>
    </row>
    <row r="96" spans="1:3" ht="30" x14ac:dyDescent="0.2">
      <c r="A96" s="59" t="s">
        <v>143</v>
      </c>
      <c r="B96" s="33" t="s">
        <v>144</v>
      </c>
      <c r="C96" s="34">
        <f>[7]С4!F16</f>
        <v>1652.5</v>
      </c>
    </row>
    <row r="97" spans="1:3" ht="30" x14ac:dyDescent="0.2">
      <c r="A97" s="59" t="s">
        <v>145</v>
      </c>
      <c r="B97" s="58" t="s">
        <v>146</v>
      </c>
      <c r="C97" s="34">
        <f>[7]С4!F17</f>
        <v>73547</v>
      </c>
    </row>
    <row r="98" spans="1:3" ht="17.25" x14ac:dyDescent="0.2">
      <c r="A98" s="59" t="s">
        <v>147</v>
      </c>
      <c r="B98" s="58" t="s">
        <v>148</v>
      </c>
      <c r="C98" s="40">
        <f>[7]С4!F18</f>
        <v>0.02</v>
      </c>
    </row>
    <row r="99" spans="1:3" ht="30" x14ac:dyDescent="0.2">
      <c r="A99" s="59" t="s">
        <v>149</v>
      </c>
      <c r="B99" s="58" t="s">
        <v>150</v>
      </c>
      <c r="C99" s="34">
        <f>[7]С4!F19</f>
        <v>12104</v>
      </c>
    </row>
    <row r="100" spans="1:3" ht="31.5" x14ac:dyDescent="0.2">
      <c r="A100" s="59" t="s">
        <v>151</v>
      </c>
      <c r="B100" s="58" t="s">
        <v>152</v>
      </c>
      <c r="C100" s="40">
        <f>[7]С4!F20</f>
        <v>1.4999999999999999E-2</v>
      </c>
    </row>
    <row r="101" spans="1:3" ht="30" x14ac:dyDescent="0.2">
      <c r="A101" s="59" t="s">
        <v>153</v>
      </c>
      <c r="B101" s="33" t="s">
        <v>154</v>
      </c>
      <c r="C101" s="34">
        <f>[7]С4!F21</f>
        <v>1933.1949342509995</v>
      </c>
    </row>
    <row r="102" spans="1:3" ht="24" customHeight="1" x14ac:dyDescent="0.2">
      <c r="A102" s="59" t="s">
        <v>155</v>
      </c>
      <c r="B102" s="53" t="s">
        <v>156</v>
      </c>
      <c r="C102" s="85">
        <f>IF([7]С4.2!F8="да",[7]С4.2!D21,[7]С4.2!D15)</f>
        <v>0</v>
      </c>
    </row>
    <row r="103" spans="1:3" ht="68.25" x14ac:dyDescent="0.2">
      <c r="A103" s="59" t="s">
        <v>157</v>
      </c>
      <c r="B103" s="53" t="s">
        <v>158</v>
      </c>
      <c r="C103" s="34">
        <f>[7]С4!F22</f>
        <v>3.6112641666666665</v>
      </c>
    </row>
    <row r="104" spans="1:3" ht="30" x14ac:dyDescent="0.2">
      <c r="A104" s="59" t="s">
        <v>159</v>
      </c>
      <c r="B104" s="58" t="s">
        <v>160</v>
      </c>
      <c r="C104" s="34">
        <f>[7]С4!F23</f>
        <v>180</v>
      </c>
    </row>
    <row r="105" spans="1:3" ht="14.25" x14ac:dyDescent="0.2">
      <c r="A105" s="59" t="s">
        <v>161</v>
      </c>
      <c r="B105" s="53" t="s">
        <v>162</v>
      </c>
      <c r="C105" s="34">
        <f>[7]С4!F24</f>
        <v>8497.1999999999989</v>
      </c>
    </row>
    <row r="106" spans="1:3" ht="14.25" x14ac:dyDescent="0.2">
      <c r="A106" s="59" t="s">
        <v>163</v>
      </c>
      <c r="B106" s="58" t="s">
        <v>164</v>
      </c>
      <c r="C106" s="40">
        <f>[7]С4!F25</f>
        <v>0.35</v>
      </c>
    </row>
    <row r="107" spans="1:3" ht="17.25" x14ac:dyDescent="0.2">
      <c r="A107" s="59" t="s">
        <v>165</v>
      </c>
      <c r="B107" s="33" t="s">
        <v>166</v>
      </c>
      <c r="C107" s="34">
        <f>[7]С4!F26</f>
        <v>85.988129999999998</v>
      </c>
    </row>
    <row r="108" spans="1:3" ht="25.5" x14ac:dyDescent="0.2">
      <c r="A108" s="59" t="s">
        <v>167</v>
      </c>
      <c r="B108" s="53" t="s">
        <v>94</v>
      </c>
      <c r="C108" s="85">
        <f>[7]С4.3!E16</f>
        <v>0</v>
      </c>
    </row>
    <row r="109" spans="1:3" ht="25.5" x14ac:dyDescent="0.2">
      <c r="A109" s="59" t="s">
        <v>168</v>
      </c>
      <c r="B109" s="53" t="s">
        <v>169</v>
      </c>
      <c r="C109" s="34">
        <f>[7]С4.3!E17</f>
        <v>20.350000000000001</v>
      </c>
    </row>
    <row r="110" spans="1:3" ht="38.25" x14ac:dyDescent="0.2">
      <c r="A110" s="59" t="s">
        <v>170</v>
      </c>
      <c r="B110" s="53" t="s">
        <v>106</v>
      </c>
      <c r="C110" s="85">
        <f>[7]С4.3!E18</f>
        <v>0</v>
      </c>
    </row>
    <row r="111" spans="1:3" x14ac:dyDescent="0.2">
      <c r="A111" s="59" t="s">
        <v>171</v>
      </c>
      <c r="B111" s="53" t="s">
        <v>172</v>
      </c>
      <c r="C111" s="34">
        <f>[7]С4.3!E19</f>
        <v>71.67</v>
      </c>
    </row>
    <row r="112" spans="1:3" x14ac:dyDescent="0.2">
      <c r="A112" s="59" t="s">
        <v>173</v>
      </c>
      <c r="B112" s="58" t="s">
        <v>174</v>
      </c>
      <c r="C112" s="34">
        <f>[7]С4.3!E11</f>
        <v>1871</v>
      </c>
    </row>
    <row r="113" spans="1:3" x14ac:dyDescent="0.2">
      <c r="A113" s="59" t="s">
        <v>175</v>
      </c>
      <c r="B113" s="58" t="s">
        <v>176</v>
      </c>
      <c r="C113" s="52">
        <f>[7]С4.3!E12</f>
        <v>1636</v>
      </c>
    </row>
    <row r="114" spans="1:3" x14ac:dyDescent="0.2">
      <c r="A114" s="59" t="s">
        <v>177</v>
      </c>
      <c r="B114" s="58" t="s">
        <v>178</v>
      </c>
      <c r="C114" s="52">
        <f>[7]С4.3!E13</f>
        <v>204</v>
      </c>
    </row>
    <row r="115" spans="1:3" ht="30" x14ac:dyDescent="0.2">
      <c r="A115" s="59" t="s">
        <v>179</v>
      </c>
      <c r="B115" s="33" t="s">
        <v>180</v>
      </c>
      <c r="C115" s="34">
        <f>[7]С4!F27</f>
        <v>1291.2863994686898</v>
      </c>
    </row>
    <row r="116" spans="1:3" ht="25.5" x14ac:dyDescent="0.2">
      <c r="A116" s="59" t="s">
        <v>181</v>
      </c>
      <c r="B116" s="53" t="s">
        <v>182</v>
      </c>
      <c r="C116" s="34">
        <f>[7]С4!F28</f>
        <v>991.77142816335618</v>
      </c>
    </row>
    <row r="117" spans="1:3" ht="42.75" x14ac:dyDescent="0.2">
      <c r="A117" s="59" t="s">
        <v>183</v>
      </c>
      <c r="B117" s="53" t="s">
        <v>184</v>
      </c>
      <c r="C117" s="34">
        <f>[7]С4!F29</f>
        <v>299.51497130533357</v>
      </c>
    </row>
    <row r="118" spans="1:3" ht="30" x14ac:dyDescent="0.2">
      <c r="A118" s="59" t="s">
        <v>185</v>
      </c>
      <c r="B118" s="39" t="s">
        <v>186</v>
      </c>
      <c r="C118" s="34">
        <f>[7]С4!F30</f>
        <v>1846.1709738656207</v>
      </c>
    </row>
    <row r="119" spans="1:3" ht="42.75" x14ac:dyDescent="0.2">
      <c r="A119" s="59" t="s">
        <v>187</v>
      </c>
      <c r="B119" s="86" t="s">
        <v>188</v>
      </c>
      <c r="C119" s="34">
        <f>[7]С4!F33</f>
        <v>1124.091225525967</v>
      </c>
    </row>
    <row r="120" spans="1:3" ht="30" x14ac:dyDescent="0.2">
      <c r="A120" s="59" t="s">
        <v>189</v>
      </c>
      <c r="B120" s="87" t="s">
        <v>190</v>
      </c>
      <c r="C120" s="34">
        <f>[7]С4!F35</f>
        <v>17.040680999999999</v>
      </c>
    </row>
    <row r="121" spans="1:3" ht="14.25" x14ac:dyDescent="0.2">
      <c r="A121" s="59" t="s">
        <v>191</v>
      </c>
      <c r="B121" s="56" t="s">
        <v>192</v>
      </c>
      <c r="C121" s="34">
        <f>[7]С4!F36</f>
        <v>14319.9</v>
      </c>
    </row>
    <row r="122" spans="1:3" ht="28.5" thickBot="1" x14ac:dyDescent="0.25">
      <c r="A122" s="72" t="s">
        <v>193</v>
      </c>
      <c r="B122" s="88" t="s">
        <v>194</v>
      </c>
      <c r="C122" s="83">
        <f>[7]С4!F37</f>
        <v>1.19</v>
      </c>
    </row>
    <row r="123" spans="1:3" s="89" customFormat="1" ht="13.5" thickBot="1" x14ac:dyDescent="0.25">
      <c r="A123" s="47"/>
      <c r="B123" s="75"/>
      <c r="C123" s="15"/>
    </row>
    <row r="124" spans="1:3" s="63" customFormat="1" ht="30" customHeight="1" x14ac:dyDescent="0.2">
      <c r="A124" s="76" t="s">
        <v>195</v>
      </c>
      <c r="B124" s="165" t="s">
        <v>196</v>
      </c>
      <c r="C124" s="165"/>
    </row>
    <row r="125" spans="1:3" ht="16.5" thickBot="1" x14ac:dyDescent="0.25">
      <c r="A125" s="27" t="s">
        <v>197</v>
      </c>
      <c r="B125" s="90" t="s">
        <v>198</v>
      </c>
      <c r="C125" s="83">
        <f>[7]С5!F17</f>
        <v>0.02</v>
      </c>
    </row>
    <row r="126" spans="1:3" s="89" customFormat="1" ht="13.5" thickBot="1" x14ac:dyDescent="0.25">
      <c r="A126" s="47"/>
      <c r="B126" s="75"/>
      <c r="C126" s="15"/>
    </row>
    <row r="127" spans="1:3" ht="42.75" customHeight="1" x14ac:dyDescent="0.2">
      <c r="A127" s="84" t="s">
        <v>199</v>
      </c>
      <c r="B127" s="166" t="s">
        <v>200</v>
      </c>
      <c r="C127" s="166"/>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[7]С2!F37</f>
        <v>20.818139999999996</v>
      </c>
    </row>
    <row r="136" spans="1:4" ht="14.25" x14ac:dyDescent="0.2">
      <c r="A136" s="59" t="s">
        <v>216</v>
      </c>
      <c r="B136" s="101" t="s">
        <v>217</v>
      </c>
      <c r="C136" s="34">
        <f>[7]С2!F38</f>
        <v>7</v>
      </c>
    </row>
    <row r="137" spans="1:4" ht="17.25" x14ac:dyDescent="0.2">
      <c r="A137" s="59" t="s">
        <v>218</v>
      </c>
      <c r="B137" s="101" t="s">
        <v>219</v>
      </c>
      <c r="C137" s="34">
        <f>[7]С2!F40</f>
        <v>0.97</v>
      </c>
    </row>
    <row r="138" spans="1:4" ht="15" thickBot="1" x14ac:dyDescent="0.25">
      <c r="A138" s="72" t="s">
        <v>220</v>
      </c>
      <c r="B138" s="102" t="s">
        <v>221</v>
      </c>
      <c r="C138" s="46">
        <f>[7]С2!F42</f>
        <v>0.35</v>
      </c>
    </row>
    <row r="139" spans="1:4" s="89" customFormat="1" ht="13.5" thickBot="1" x14ac:dyDescent="0.25">
      <c r="A139" s="47"/>
      <c r="B139" s="75"/>
      <c r="C139" s="15"/>
    </row>
    <row r="140" spans="1:4" ht="30" x14ac:dyDescent="0.2">
      <c r="A140" s="84" t="s">
        <v>222</v>
      </c>
      <c r="B140" s="103" t="s">
        <v>223</v>
      </c>
      <c r="C140" s="104">
        <f>[7]С2!F35</f>
        <v>1.4976266307379205</v>
      </c>
      <c r="D140" s="89"/>
    </row>
    <row r="141" spans="1:4" ht="22.7" customHeight="1" thickBot="1" x14ac:dyDescent="0.25">
      <c r="A141" s="72" t="s">
        <v>224</v>
      </c>
      <c r="B141" s="161" t="s">
        <v>225</v>
      </c>
      <c r="C141" s="161"/>
      <c r="D141" s="89"/>
    </row>
    <row r="142" spans="1:4" ht="13.5" thickBot="1" x14ac:dyDescent="0.25">
      <c r="A142" s="105"/>
      <c r="B142" s="106" t="s">
        <v>226</v>
      </c>
      <c r="C142" s="107"/>
      <c r="D142" s="89"/>
    </row>
    <row r="143" spans="1:4" x14ac:dyDescent="0.2">
      <c r="A143" s="105"/>
      <c r="B143" s="108">
        <v>2020</v>
      </c>
      <c r="C143" s="109">
        <f>[7]С2.5!$E$11</f>
        <v>-2.9000000000000026E-2</v>
      </c>
      <c r="D143" s="89"/>
    </row>
    <row r="144" spans="1:4" x14ac:dyDescent="0.2">
      <c r="A144" s="105"/>
      <c r="B144" s="110">
        <f>B143+1</f>
        <v>2021</v>
      </c>
      <c r="C144" s="111">
        <f>[7]С2.5!$F$11</f>
        <v>0.245</v>
      </c>
      <c r="D144" s="89"/>
    </row>
    <row r="145" spans="1:4" x14ac:dyDescent="0.2">
      <c r="A145" s="105"/>
      <c r="B145" s="110">
        <f t="shared" ref="B145:B208" si="0">B144+1</f>
        <v>2022</v>
      </c>
      <c r="C145" s="111">
        <f>[7]С2.5!$G$11</f>
        <v>0.114</v>
      </c>
      <c r="D145" s="89"/>
    </row>
    <row r="146" spans="1:4" ht="13.5" thickBot="1" x14ac:dyDescent="0.25">
      <c r="A146" s="105"/>
      <c r="B146" s="112">
        <f t="shared" si="0"/>
        <v>2023</v>
      </c>
      <c r="C146" s="113">
        <f>[7]С2.5!$H$11</f>
        <v>2.4E-2</v>
      </c>
      <c r="D146" s="89"/>
    </row>
    <row r="147" spans="1:4" x14ac:dyDescent="0.2">
      <c r="A147" s="105"/>
      <c r="B147" s="114">
        <f t="shared" si="0"/>
        <v>2024</v>
      </c>
      <c r="C147" s="115">
        <f>[7]С2.5!$I$11</f>
        <v>8.5999999999999993E-2</v>
      </c>
      <c r="D147" s="89"/>
    </row>
    <row r="148" spans="1:4" hidden="1" x14ac:dyDescent="0.2">
      <c r="A148" s="105"/>
      <c r="B148" s="110">
        <f t="shared" si="0"/>
        <v>2025</v>
      </c>
      <c r="C148" s="111">
        <f>[7]С2.5!$J$11</f>
        <v>0.21215960863291</v>
      </c>
      <c r="D148" s="89"/>
    </row>
    <row r="149" spans="1:4" hidden="1" x14ac:dyDescent="0.2">
      <c r="A149" s="105"/>
      <c r="B149" s="110">
        <f t="shared" si="0"/>
        <v>2026</v>
      </c>
      <c r="C149" s="111">
        <f>[7]С2.5!$K$11</f>
        <v>3.5813361771260002E-2</v>
      </c>
      <c r="D149" s="89"/>
    </row>
    <row r="150" spans="1:4" hidden="1" x14ac:dyDescent="0.2">
      <c r="A150" s="105"/>
      <c r="B150" s="110">
        <f t="shared" si="0"/>
        <v>2027</v>
      </c>
      <c r="C150" s="111">
        <f>[7]С2.5!$L$11</f>
        <v>3.2682303599220003E-2</v>
      </c>
      <c r="D150" s="89"/>
    </row>
    <row r="151" spans="1:4" hidden="1" x14ac:dyDescent="0.2">
      <c r="A151" s="105"/>
      <c r="B151" s="110">
        <f t="shared" si="0"/>
        <v>2028</v>
      </c>
      <c r="C151" s="111">
        <f>[7]С2.5!$M$11</f>
        <v>0</v>
      </c>
      <c r="D151" s="89"/>
    </row>
    <row r="152" spans="1:4" hidden="1" x14ac:dyDescent="0.2">
      <c r="A152" s="105"/>
      <c r="B152" s="110">
        <f t="shared" si="0"/>
        <v>2029</v>
      </c>
      <c r="C152" s="111">
        <f>[7]С2.5!$N$11</f>
        <v>0</v>
      </c>
      <c r="D152" s="89"/>
    </row>
    <row r="153" spans="1:4" hidden="1" x14ac:dyDescent="0.2">
      <c r="A153" s="105"/>
      <c r="B153" s="110">
        <f t="shared" si="0"/>
        <v>2030</v>
      </c>
      <c r="C153" s="111">
        <f>[7]С2.5!$O$11</f>
        <v>0</v>
      </c>
      <c r="D153" s="89"/>
    </row>
    <row r="154" spans="1:4" hidden="1" x14ac:dyDescent="0.2">
      <c r="A154" s="105"/>
      <c r="B154" s="110">
        <f t="shared" si="0"/>
        <v>2031</v>
      </c>
      <c r="C154" s="111">
        <f>[7]С2.5!$P$11</f>
        <v>0</v>
      </c>
      <c r="D154" s="89"/>
    </row>
    <row r="155" spans="1:4" hidden="1" x14ac:dyDescent="0.2">
      <c r="A155" s="89"/>
      <c r="B155" s="110">
        <f t="shared" si="0"/>
        <v>2032</v>
      </c>
      <c r="C155" s="111">
        <f>[7]С2.5!$Q$11</f>
        <v>0</v>
      </c>
      <c r="D155" s="89"/>
    </row>
    <row r="156" spans="1:4" hidden="1" x14ac:dyDescent="0.2">
      <c r="A156" s="89"/>
      <c r="B156" s="110">
        <f t="shared" si="0"/>
        <v>2033</v>
      </c>
      <c r="C156" s="111">
        <f>[7]С2.5!$R$11</f>
        <v>0</v>
      </c>
      <c r="D156" s="89"/>
    </row>
    <row r="157" spans="1:4" hidden="1" x14ac:dyDescent="0.2">
      <c r="B157" s="110">
        <f t="shared" si="0"/>
        <v>2034</v>
      </c>
      <c r="C157" s="111">
        <f>[7]С2.5!$S$11</f>
        <v>0</v>
      </c>
    </row>
    <row r="158" spans="1:4" hidden="1" x14ac:dyDescent="0.2">
      <c r="B158" s="110">
        <f t="shared" si="0"/>
        <v>2035</v>
      </c>
      <c r="C158" s="111">
        <f>[7]С2.5!$T$11</f>
        <v>0</v>
      </c>
    </row>
    <row r="159" spans="1:4" hidden="1" x14ac:dyDescent="0.2">
      <c r="B159" s="110">
        <f t="shared" si="0"/>
        <v>2036</v>
      </c>
      <c r="C159" s="111">
        <f>[7]С2.5!$U$11</f>
        <v>0</v>
      </c>
    </row>
    <row r="160" spans="1:4" hidden="1" x14ac:dyDescent="0.2">
      <c r="B160" s="110">
        <f t="shared" si="0"/>
        <v>2037</v>
      </c>
      <c r="C160" s="111">
        <f>[7]С2.5!$V$11</f>
        <v>0</v>
      </c>
    </row>
    <row r="161" spans="2:3" hidden="1" x14ac:dyDescent="0.2">
      <c r="B161" s="110">
        <f t="shared" si="0"/>
        <v>2038</v>
      </c>
      <c r="C161" s="111">
        <f>[7]С2.5!$W$11</f>
        <v>0</v>
      </c>
    </row>
    <row r="162" spans="2:3" hidden="1" x14ac:dyDescent="0.2">
      <c r="B162" s="110">
        <f t="shared" si="0"/>
        <v>2039</v>
      </c>
      <c r="C162" s="111">
        <f>[7]С2.5!$X$11</f>
        <v>0</v>
      </c>
    </row>
    <row r="163" spans="2:3" hidden="1" x14ac:dyDescent="0.2">
      <c r="B163" s="110">
        <f t="shared" si="0"/>
        <v>2040</v>
      </c>
      <c r="C163" s="111">
        <f>[7]С2.5!$Y$11</f>
        <v>0</v>
      </c>
    </row>
    <row r="164" spans="2:3" hidden="1" x14ac:dyDescent="0.2">
      <c r="B164" s="110">
        <f t="shared" si="0"/>
        <v>2041</v>
      </c>
      <c r="C164" s="111">
        <f>[7]С2.5!$Z$11</f>
        <v>0</v>
      </c>
    </row>
    <row r="165" spans="2:3" hidden="1" x14ac:dyDescent="0.2">
      <c r="B165" s="110">
        <f t="shared" si="0"/>
        <v>2042</v>
      </c>
      <c r="C165" s="111">
        <f>[7]С2.5!$AA$11</f>
        <v>0</v>
      </c>
    </row>
    <row r="166" spans="2:3" hidden="1" x14ac:dyDescent="0.2">
      <c r="B166" s="110">
        <f t="shared" si="0"/>
        <v>2043</v>
      </c>
      <c r="C166" s="111">
        <f>[7]С2.5!$AB$11</f>
        <v>0</v>
      </c>
    </row>
    <row r="167" spans="2:3" hidden="1" x14ac:dyDescent="0.2">
      <c r="B167" s="110">
        <f t="shared" si="0"/>
        <v>2044</v>
      </c>
      <c r="C167" s="111">
        <f>[7]С2.5!$AC$11</f>
        <v>0</v>
      </c>
    </row>
    <row r="168" spans="2:3" hidden="1" x14ac:dyDescent="0.2">
      <c r="B168" s="110">
        <f t="shared" si="0"/>
        <v>2045</v>
      </c>
      <c r="C168" s="111">
        <f>[7]С2.5!$AD$11</f>
        <v>0</v>
      </c>
    </row>
    <row r="169" spans="2:3" hidden="1" x14ac:dyDescent="0.2">
      <c r="B169" s="110">
        <f t="shared" si="0"/>
        <v>2046</v>
      </c>
      <c r="C169" s="111">
        <f>[7]С2.5!$AE$11</f>
        <v>0</v>
      </c>
    </row>
    <row r="170" spans="2:3" hidden="1" x14ac:dyDescent="0.2">
      <c r="B170" s="110">
        <f t="shared" si="0"/>
        <v>2047</v>
      </c>
      <c r="C170" s="111">
        <f>[7]С2.5!$AF$11</f>
        <v>0</v>
      </c>
    </row>
    <row r="171" spans="2:3" hidden="1" x14ac:dyDescent="0.2">
      <c r="B171" s="110">
        <f t="shared" si="0"/>
        <v>2048</v>
      </c>
      <c r="C171" s="111">
        <f>[7]С2.5!$AG$11</f>
        <v>0</v>
      </c>
    </row>
    <row r="172" spans="2:3" hidden="1" x14ac:dyDescent="0.2">
      <c r="B172" s="110">
        <f t="shared" si="0"/>
        <v>2049</v>
      </c>
      <c r="C172" s="111">
        <f>[7]С2.5!$AH$11</f>
        <v>0</v>
      </c>
    </row>
    <row r="173" spans="2:3" hidden="1" x14ac:dyDescent="0.2">
      <c r="B173" s="110">
        <f t="shared" si="0"/>
        <v>2050</v>
      </c>
      <c r="C173" s="111">
        <f>[7]С2.5!$AI$11</f>
        <v>0</v>
      </c>
    </row>
    <row r="174" spans="2:3" hidden="1" x14ac:dyDescent="0.2">
      <c r="B174" s="110">
        <f t="shared" si="0"/>
        <v>2051</v>
      </c>
      <c r="C174" s="111">
        <f>[7]С2.5!$AJ$11</f>
        <v>0</v>
      </c>
    </row>
    <row r="175" spans="2:3" hidden="1" x14ac:dyDescent="0.2">
      <c r="B175" s="110">
        <f t="shared" si="0"/>
        <v>2052</v>
      </c>
      <c r="C175" s="111">
        <f>[7]С2.5!$AK$11</f>
        <v>0</v>
      </c>
    </row>
    <row r="176" spans="2:3" hidden="1" x14ac:dyDescent="0.2">
      <c r="B176" s="110">
        <f t="shared" si="0"/>
        <v>2053</v>
      </c>
      <c r="C176" s="111">
        <f>[7]С2.5!$AL$11</f>
        <v>0</v>
      </c>
    </row>
    <row r="177" spans="2:3" hidden="1" x14ac:dyDescent="0.2">
      <c r="B177" s="110">
        <f t="shared" si="0"/>
        <v>2054</v>
      </c>
      <c r="C177" s="111">
        <f>[7]С2.5!$AM$11</f>
        <v>0</v>
      </c>
    </row>
    <row r="178" spans="2:3" hidden="1" x14ac:dyDescent="0.2">
      <c r="B178" s="110">
        <f t="shared" si="0"/>
        <v>2055</v>
      </c>
      <c r="C178" s="111">
        <f>[7]С2.5!$AN$11</f>
        <v>0</v>
      </c>
    </row>
    <row r="179" spans="2:3" hidden="1" x14ac:dyDescent="0.2">
      <c r="B179" s="110">
        <f t="shared" si="0"/>
        <v>2056</v>
      </c>
      <c r="C179" s="111">
        <f>[7]С2.5!$AO$11</f>
        <v>0</v>
      </c>
    </row>
    <row r="180" spans="2:3" hidden="1" x14ac:dyDescent="0.2">
      <c r="B180" s="110">
        <f t="shared" si="0"/>
        <v>2057</v>
      </c>
      <c r="C180" s="111">
        <f>[7]С2.5!$AP$11</f>
        <v>0</v>
      </c>
    </row>
    <row r="181" spans="2:3" hidden="1" x14ac:dyDescent="0.2">
      <c r="B181" s="110">
        <f t="shared" si="0"/>
        <v>2058</v>
      </c>
      <c r="C181" s="111">
        <f>[7]С2.5!$AQ$11</f>
        <v>0</v>
      </c>
    </row>
    <row r="182" spans="2:3" hidden="1" x14ac:dyDescent="0.2">
      <c r="B182" s="110">
        <f t="shared" si="0"/>
        <v>2059</v>
      </c>
      <c r="C182" s="111">
        <f>[7]С2.5!$AR$11</f>
        <v>0</v>
      </c>
    </row>
    <row r="183" spans="2:3" hidden="1" x14ac:dyDescent="0.2">
      <c r="B183" s="110">
        <f t="shared" si="0"/>
        <v>2060</v>
      </c>
      <c r="C183" s="111">
        <f>[7]С2.5!$AS$11</f>
        <v>0</v>
      </c>
    </row>
    <row r="184" spans="2:3" hidden="1" x14ac:dyDescent="0.2">
      <c r="B184" s="110">
        <f t="shared" si="0"/>
        <v>2061</v>
      </c>
      <c r="C184" s="111">
        <f>[7]С2.5!$AT$11</f>
        <v>0</v>
      </c>
    </row>
    <row r="185" spans="2:3" hidden="1" x14ac:dyDescent="0.2">
      <c r="B185" s="110">
        <f t="shared" si="0"/>
        <v>2062</v>
      </c>
      <c r="C185" s="111">
        <f>[7]С2.5!$AU$11</f>
        <v>0</v>
      </c>
    </row>
    <row r="186" spans="2:3" hidden="1" x14ac:dyDescent="0.2">
      <c r="B186" s="110">
        <f t="shared" si="0"/>
        <v>2063</v>
      </c>
      <c r="C186" s="111">
        <f>[7]С2.5!$AV$11</f>
        <v>0</v>
      </c>
    </row>
    <row r="187" spans="2:3" hidden="1" x14ac:dyDescent="0.2">
      <c r="B187" s="110">
        <f t="shared" si="0"/>
        <v>2064</v>
      </c>
      <c r="C187" s="111">
        <f>[7]С2.5!$AW$11</f>
        <v>0</v>
      </c>
    </row>
    <row r="188" spans="2:3" hidden="1" x14ac:dyDescent="0.2">
      <c r="B188" s="110">
        <f t="shared" si="0"/>
        <v>2065</v>
      </c>
      <c r="C188" s="111">
        <f>[7]С2.5!$AX$11</f>
        <v>0</v>
      </c>
    </row>
    <row r="189" spans="2:3" hidden="1" x14ac:dyDescent="0.2">
      <c r="B189" s="110">
        <f t="shared" si="0"/>
        <v>2066</v>
      </c>
      <c r="C189" s="111">
        <f>[7]С2.5!$AY$11</f>
        <v>0</v>
      </c>
    </row>
    <row r="190" spans="2:3" hidden="1" x14ac:dyDescent="0.2">
      <c r="B190" s="110">
        <f t="shared" si="0"/>
        <v>2067</v>
      </c>
      <c r="C190" s="111">
        <f>[7]С2.5!$AZ$11</f>
        <v>0</v>
      </c>
    </row>
    <row r="191" spans="2:3" hidden="1" x14ac:dyDescent="0.2">
      <c r="B191" s="110">
        <f t="shared" si="0"/>
        <v>2068</v>
      </c>
      <c r="C191" s="111">
        <f>[7]С2.5!$BA$11</f>
        <v>0</v>
      </c>
    </row>
    <row r="192" spans="2:3" hidden="1" x14ac:dyDescent="0.2">
      <c r="B192" s="110">
        <f t="shared" si="0"/>
        <v>2069</v>
      </c>
      <c r="C192" s="111">
        <f>[7]С2.5!$BB$11</f>
        <v>0</v>
      </c>
    </row>
    <row r="193" spans="2:3" hidden="1" x14ac:dyDescent="0.2">
      <c r="B193" s="110">
        <f t="shared" si="0"/>
        <v>2070</v>
      </c>
      <c r="C193" s="111">
        <f>[7]С2.5!$BC$11</f>
        <v>0</v>
      </c>
    </row>
    <row r="194" spans="2:3" hidden="1" x14ac:dyDescent="0.2">
      <c r="B194" s="110">
        <f t="shared" si="0"/>
        <v>2071</v>
      </c>
      <c r="C194" s="111">
        <f>[7]С2.5!$BD$11</f>
        <v>0</v>
      </c>
    </row>
    <row r="195" spans="2:3" hidden="1" x14ac:dyDescent="0.2">
      <c r="B195" s="110">
        <f t="shared" si="0"/>
        <v>2072</v>
      </c>
      <c r="C195" s="111">
        <f>[7]С2.5!$BE$11</f>
        <v>0</v>
      </c>
    </row>
    <row r="196" spans="2:3" hidden="1" x14ac:dyDescent="0.2">
      <c r="B196" s="110">
        <f t="shared" si="0"/>
        <v>2073</v>
      </c>
      <c r="C196" s="111">
        <f>[7]С2.5!$BF$11</f>
        <v>0</v>
      </c>
    </row>
    <row r="197" spans="2:3" hidden="1" x14ac:dyDescent="0.2">
      <c r="B197" s="110">
        <f t="shared" si="0"/>
        <v>2074</v>
      </c>
      <c r="C197" s="111">
        <f>[7]С2.5!$BG$11</f>
        <v>0</v>
      </c>
    </row>
    <row r="198" spans="2:3" hidden="1" x14ac:dyDescent="0.2">
      <c r="B198" s="110">
        <f t="shared" si="0"/>
        <v>2075</v>
      </c>
      <c r="C198" s="111">
        <f>[7]С2.5!$BH$11</f>
        <v>0</v>
      </c>
    </row>
    <row r="199" spans="2:3" hidden="1" x14ac:dyDescent="0.2">
      <c r="B199" s="110">
        <f t="shared" si="0"/>
        <v>2076</v>
      </c>
      <c r="C199" s="111">
        <f>[7]С2.5!$BI$11</f>
        <v>0</v>
      </c>
    </row>
    <row r="200" spans="2:3" hidden="1" x14ac:dyDescent="0.2">
      <c r="B200" s="110">
        <f t="shared" si="0"/>
        <v>2077</v>
      </c>
      <c r="C200" s="111">
        <f>[7]С2.5!$BJ$11</f>
        <v>0</v>
      </c>
    </row>
    <row r="201" spans="2:3" hidden="1" x14ac:dyDescent="0.2">
      <c r="B201" s="110">
        <f t="shared" si="0"/>
        <v>2078</v>
      </c>
      <c r="C201" s="111">
        <f>[7]С2.5!$BK$11</f>
        <v>0</v>
      </c>
    </row>
    <row r="202" spans="2:3" hidden="1" x14ac:dyDescent="0.2">
      <c r="B202" s="110">
        <f t="shared" si="0"/>
        <v>2079</v>
      </c>
      <c r="C202" s="111">
        <f>[7]С2.5!$BL$11</f>
        <v>0</v>
      </c>
    </row>
    <row r="203" spans="2:3" hidden="1" x14ac:dyDescent="0.2">
      <c r="B203" s="110">
        <f t="shared" si="0"/>
        <v>2080</v>
      </c>
      <c r="C203" s="111">
        <f>[7]С2.5!$BM$11</f>
        <v>0</v>
      </c>
    </row>
    <row r="204" spans="2:3" hidden="1" x14ac:dyDescent="0.2">
      <c r="B204" s="110">
        <f t="shared" si="0"/>
        <v>2081</v>
      </c>
      <c r="C204" s="111">
        <f>[7]С2.5!$BN$11</f>
        <v>0</v>
      </c>
    </row>
    <row r="205" spans="2:3" hidden="1" x14ac:dyDescent="0.2">
      <c r="B205" s="110">
        <f t="shared" si="0"/>
        <v>2082</v>
      </c>
      <c r="C205" s="111">
        <f>[7]С2.5!$BO$11</f>
        <v>0</v>
      </c>
    </row>
    <row r="206" spans="2:3" hidden="1" x14ac:dyDescent="0.2">
      <c r="B206" s="110">
        <f t="shared" si="0"/>
        <v>2083</v>
      </c>
      <c r="C206" s="111">
        <f>[7]С2.5!$BP$11</f>
        <v>0</v>
      </c>
    </row>
    <row r="207" spans="2:3" hidden="1" x14ac:dyDescent="0.2">
      <c r="B207" s="110">
        <f t="shared" si="0"/>
        <v>2084</v>
      </c>
      <c r="C207" s="111">
        <f>[7]С2.5!$BQ$11</f>
        <v>0</v>
      </c>
    </row>
    <row r="208" spans="2:3" hidden="1" x14ac:dyDescent="0.2">
      <c r="B208" s="110">
        <f t="shared" si="0"/>
        <v>2085</v>
      </c>
      <c r="C208" s="111">
        <f>[7]С2.5!$BR$11</f>
        <v>0</v>
      </c>
    </row>
    <row r="209" spans="2:3" hidden="1" x14ac:dyDescent="0.2">
      <c r="B209" s="110">
        <f t="shared" ref="B209:B223" si="1">B208+1</f>
        <v>2086</v>
      </c>
      <c r="C209" s="111">
        <f>[7]С2.5!$BS$11</f>
        <v>0</v>
      </c>
    </row>
    <row r="210" spans="2:3" hidden="1" x14ac:dyDescent="0.2">
      <c r="B210" s="110">
        <f t="shared" si="1"/>
        <v>2087</v>
      </c>
      <c r="C210" s="111">
        <f>[7]С2.5!$BT$11</f>
        <v>0</v>
      </c>
    </row>
    <row r="211" spans="2:3" hidden="1" x14ac:dyDescent="0.2">
      <c r="B211" s="110">
        <f t="shared" si="1"/>
        <v>2088</v>
      </c>
      <c r="C211" s="111">
        <f>[7]С2.5!$BU$11</f>
        <v>0</v>
      </c>
    </row>
    <row r="212" spans="2:3" hidden="1" x14ac:dyDescent="0.2">
      <c r="B212" s="110">
        <f t="shared" si="1"/>
        <v>2089</v>
      </c>
      <c r="C212" s="111">
        <f>[7]С2.5!$BV$11</f>
        <v>0</v>
      </c>
    </row>
    <row r="213" spans="2:3" hidden="1" x14ac:dyDescent="0.2">
      <c r="B213" s="110">
        <f t="shared" si="1"/>
        <v>2090</v>
      </c>
      <c r="C213" s="111">
        <f>[7]С2.5!$BW$11</f>
        <v>0</v>
      </c>
    </row>
    <row r="214" spans="2:3" hidden="1" x14ac:dyDescent="0.2">
      <c r="B214" s="110">
        <f t="shared" si="1"/>
        <v>2091</v>
      </c>
      <c r="C214" s="111">
        <f>[7]С2.5!$BX$11</f>
        <v>0</v>
      </c>
    </row>
    <row r="215" spans="2:3" hidden="1" x14ac:dyDescent="0.2">
      <c r="B215" s="110">
        <f t="shared" si="1"/>
        <v>2092</v>
      </c>
      <c r="C215" s="111">
        <f>[7]С2.5!$BY$11</f>
        <v>0</v>
      </c>
    </row>
    <row r="216" spans="2:3" hidden="1" x14ac:dyDescent="0.2">
      <c r="B216" s="110">
        <f t="shared" si="1"/>
        <v>2093</v>
      </c>
      <c r="C216" s="111">
        <f>[7]С2.5!$BZ$11</f>
        <v>0</v>
      </c>
    </row>
    <row r="217" spans="2:3" hidden="1" x14ac:dyDescent="0.2">
      <c r="B217" s="110">
        <f t="shared" si="1"/>
        <v>2094</v>
      </c>
      <c r="C217" s="111">
        <f>[7]С2.5!$CA$11</f>
        <v>0</v>
      </c>
    </row>
    <row r="218" spans="2:3" hidden="1" x14ac:dyDescent="0.2">
      <c r="B218" s="110">
        <f t="shared" si="1"/>
        <v>2095</v>
      </c>
      <c r="C218" s="111">
        <f>[7]С2.5!$CB$11</f>
        <v>0</v>
      </c>
    </row>
    <row r="219" spans="2:3" hidden="1" x14ac:dyDescent="0.2">
      <c r="B219" s="110">
        <f t="shared" si="1"/>
        <v>2096</v>
      </c>
      <c r="C219" s="111">
        <f>[7]С2.5!$CC$11</f>
        <v>0</v>
      </c>
    </row>
    <row r="220" spans="2:3" hidden="1" x14ac:dyDescent="0.2">
      <c r="B220" s="110">
        <f t="shared" si="1"/>
        <v>2097</v>
      </c>
      <c r="C220" s="111">
        <f>[7]С2.5!$CD$11</f>
        <v>0</v>
      </c>
    </row>
    <row r="221" spans="2:3" hidden="1" x14ac:dyDescent="0.2">
      <c r="B221" s="110">
        <f t="shared" si="1"/>
        <v>2098</v>
      </c>
      <c r="C221" s="111">
        <f>[7]С2.5!$CE$11</f>
        <v>0</v>
      </c>
    </row>
    <row r="222" spans="2:3" hidden="1" x14ac:dyDescent="0.2">
      <c r="B222" s="110">
        <f t="shared" si="1"/>
        <v>2099</v>
      </c>
      <c r="C222" s="111">
        <f>[7]С2.5!$CF$11</f>
        <v>0</v>
      </c>
    </row>
    <row r="223" spans="2:3" ht="13.5" hidden="1" thickBot="1" x14ac:dyDescent="0.25">
      <c r="B223" s="112">
        <f t="shared" si="1"/>
        <v>2100</v>
      </c>
      <c r="C223" s="113">
        <f>[7]С2.5!$CG$11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Button 1">
              <controlPr defaultSize="0" print="0" autoFill="0" autoPict="0" macro="[8]!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4098" r:id="rId4" name="Button 2">
              <controlPr defaultSize="0" print="0" autoFill="0" autoPict="0" macro="[7]!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28.5703125" style="141" hidden="1" customWidth="1"/>
    <col min="5" max="5" width="5.140625" style="2" customWidth="1"/>
    <col min="6" max="6" width="17.5703125" style="2" customWidth="1"/>
    <col min="7" max="250" width="9.140625" style="2"/>
    <col min="251" max="251" width="3.5703125" style="2" customWidth="1"/>
    <col min="252" max="252" width="96.85546875" style="2" customWidth="1"/>
    <col min="253" max="253" width="30.85546875" style="2" customWidth="1"/>
    <col min="254" max="254" width="12.5703125" style="2" customWidth="1"/>
    <col min="255" max="255" width="5.140625" style="2" customWidth="1"/>
    <col min="256" max="256" width="9.140625" style="2"/>
    <col min="257" max="257" width="4.85546875" style="2" customWidth="1"/>
    <col min="258" max="258" width="30.5703125" style="2" customWidth="1"/>
    <col min="259" max="259" width="33.85546875" style="2" customWidth="1"/>
    <col min="260" max="260" width="5.140625" style="2" customWidth="1"/>
    <col min="261" max="262" width="17.5703125" style="2" customWidth="1"/>
    <col min="263" max="506" width="9.140625" style="2"/>
    <col min="507" max="507" width="3.5703125" style="2" customWidth="1"/>
    <col min="508" max="508" width="96.85546875" style="2" customWidth="1"/>
    <col min="509" max="509" width="30.85546875" style="2" customWidth="1"/>
    <col min="510" max="510" width="12.5703125" style="2" customWidth="1"/>
    <col min="511" max="511" width="5.140625" style="2" customWidth="1"/>
    <col min="512" max="512" width="9.140625" style="2"/>
    <col min="513" max="513" width="4.85546875" style="2" customWidth="1"/>
    <col min="514" max="514" width="30.5703125" style="2" customWidth="1"/>
    <col min="515" max="515" width="33.85546875" style="2" customWidth="1"/>
    <col min="516" max="516" width="5.140625" style="2" customWidth="1"/>
    <col min="517" max="518" width="17.5703125" style="2" customWidth="1"/>
    <col min="519" max="762" width="9.140625" style="2"/>
    <col min="763" max="763" width="3.5703125" style="2" customWidth="1"/>
    <col min="764" max="764" width="96.85546875" style="2" customWidth="1"/>
    <col min="765" max="765" width="30.85546875" style="2" customWidth="1"/>
    <col min="766" max="766" width="12.5703125" style="2" customWidth="1"/>
    <col min="767" max="767" width="5.140625" style="2" customWidth="1"/>
    <col min="768" max="768" width="9.140625" style="2"/>
    <col min="769" max="769" width="4.85546875" style="2" customWidth="1"/>
    <col min="770" max="770" width="30.5703125" style="2" customWidth="1"/>
    <col min="771" max="771" width="33.85546875" style="2" customWidth="1"/>
    <col min="772" max="772" width="5.140625" style="2" customWidth="1"/>
    <col min="773" max="774" width="17.5703125" style="2" customWidth="1"/>
    <col min="775" max="1018" width="9.140625" style="2"/>
    <col min="1019" max="1019" width="3.5703125" style="2" customWidth="1"/>
    <col min="1020" max="1020" width="96.85546875" style="2" customWidth="1"/>
    <col min="1021" max="1021" width="30.85546875" style="2" customWidth="1"/>
    <col min="1022" max="1022" width="12.5703125" style="2" customWidth="1"/>
    <col min="1023" max="1023" width="5.140625" style="2" customWidth="1"/>
    <col min="1024" max="1024" width="9.140625" style="2"/>
    <col min="1025" max="1025" width="4.85546875" style="2" customWidth="1"/>
    <col min="1026" max="1026" width="30.5703125" style="2" customWidth="1"/>
    <col min="1027" max="1027" width="33.85546875" style="2" customWidth="1"/>
    <col min="1028" max="1028" width="5.140625" style="2" customWidth="1"/>
    <col min="1029" max="1030" width="17.5703125" style="2" customWidth="1"/>
    <col min="1031" max="1274" width="9.140625" style="2"/>
    <col min="1275" max="1275" width="3.5703125" style="2" customWidth="1"/>
    <col min="1276" max="1276" width="96.85546875" style="2" customWidth="1"/>
    <col min="1277" max="1277" width="30.85546875" style="2" customWidth="1"/>
    <col min="1278" max="1278" width="12.5703125" style="2" customWidth="1"/>
    <col min="1279" max="1279" width="5.140625" style="2" customWidth="1"/>
    <col min="1280" max="1280" width="9.140625" style="2"/>
    <col min="1281" max="1281" width="4.85546875" style="2" customWidth="1"/>
    <col min="1282" max="1282" width="30.5703125" style="2" customWidth="1"/>
    <col min="1283" max="1283" width="33.85546875" style="2" customWidth="1"/>
    <col min="1284" max="1284" width="5.140625" style="2" customWidth="1"/>
    <col min="1285" max="1286" width="17.5703125" style="2" customWidth="1"/>
    <col min="1287" max="1530" width="9.140625" style="2"/>
    <col min="1531" max="1531" width="3.5703125" style="2" customWidth="1"/>
    <col min="1532" max="1532" width="96.85546875" style="2" customWidth="1"/>
    <col min="1533" max="1533" width="30.85546875" style="2" customWidth="1"/>
    <col min="1534" max="1534" width="12.5703125" style="2" customWidth="1"/>
    <col min="1535" max="1535" width="5.140625" style="2" customWidth="1"/>
    <col min="1536" max="1536" width="9.140625" style="2"/>
    <col min="1537" max="1537" width="4.85546875" style="2" customWidth="1"/>
    <col min="1538" max="1538" width="30.5703125" style="2" customWidth="1"/>
    <col min="1539" max="1539" width="33.85546875" style="2" customWidth="1"/>
    <col min="1540" max="1540" width="5.140625" style="2" customWidth="1"/>
    <col min="1541" max="1542" width="17.5703125" style="2" customWidth="1"/>
    <col min="1543" max="1786" width="9.140625" style="2"/>
    <col min="1787" max="1787" width="3.5703125" style="2" customWidth="1"/>
    <col min="1788" max="1788" width="96.85546875" style="2" customWidth="1"/>
    <col min="1789" max="1789" width="30.85546875" style="2" customWidth="1"/>
    <col min="1790" max="1790" width="12.5703125" style="2" customWidth="1"/>
    <col min="1791" max="1791" width="5.140625" style="2" customWidth="1"/>
    <col min="1792" max="1792" width="9.140625" style="2"/>
    <col min="1793" max="1793" width="4.85546875" style="2" customWidth="1"/>
    <col min="1794" max="1794" width="30.5703125" style="2" customWidth="1"/>
    <col min="1795" max="1795" width="33.85546875" style="2" customWidth="1"/>
    <col min="1796" max="1796" width="5.140625" style="2" customWidth="1"/>
    <col min="1797" max="1798" width="17.5703125" style="2" customWidth="1"/>
    <col min="1799" max="2042" width="9.140625" style="2"/>
    <col min="2043" max="2043" width="3.5703125" style="2" customWidth="1"/>
    <col min="2044" max="2044" width="96.85546875" style="2" customWidth="1"/>
    <col min="2045" max="2045" width="30.85546875" style="2" customWidth="1"/>
    <col min="2046" max="2046" width="12.5703125" style="2" customWidth="1"/>
    <col min="2047" max="2047" width="5.140625" style="2" customWidth="1"/>
    <col min="2048" max="2048" width="9.140625" style="2"/>
    <col min="2049" max="2049" width="4.85546875" style="2" customWidth="1"/>
    <col min="2050" max="2050" width="30.5703125" style="2" customWidth="1"/>
    <col min="2051" max="2051" width="33.85546875" style="2" customWidth="1"/>
    <col min="2052" max="2052" width="5.140625" style="2" customWidth="1"/>
    <col min="2053" max="2054" width="17.5703125" style="2" customWidth="1"/>
    <col min="2055" max="2298" width="9.140625" style="2"/>
    <col min="2299" max="2299" width="3.5703125" style="2" customWidth="1"/>
    <col min="2300" max="2300" width="96.85546875" style="2" customWidth="1"/>
    <col min="2301" max="2301" width="30.85546875" style="2" customWidth="1"/>
    <col min="2302" max="2302" width="12.5703125" style="2" customWidth="1"/>
    <col min="2303" max="2303" width="5.140625" style="2" customWidth="1"/>
    <col min="2304" max="2304" width="9.140625" style="2"/>
    <col min="2305" max="2305" width="4.85546875" style="2" customWidth="1"/>
    <col min="2306" max="2306" width="30.5703125" style="2" customWidth="1"/>
    <col min="2307" max="2307" width="33.85546875" style="2" customWidth="1"/>
    <col min="2308" max="2308" width="5.140625" style="2" customWidth="1"/>
    <col min="2309" max="2310" width="17.5703125" style="2" customWidth="1"/>
    <col min="2311" max="2554" width="9.140625" style="2"/>
    <col min="2555" max="2555" width="3.5703125" style="2" customWidth="1"/>
    <col min="2556" max="2556" width="96.85546875" style="2" customWidth="1"/>
    <col min="2557" max="2557" width="30.85546875" style="2" customWidth="1"/>
    <col min="2558" max="2558" width="12.5703125" style="2" customWidth="1"/>
    <col min="2559" max="2559" width="5.140625" style="2" customWidth="1"/>
    <col min="2560" max="2560" width="9.140625" style="2"/>
    <col min="2561" max="2561" width="4.85546875" style="2" customWidth="1"/>
    <col min="2562" max="2562" width="30.5703125" style="2" customWidth="1"/>
    <col min="2563" max="2563" width="33.85546875" style="2" customWidth="1"/>
    <col min="2564" max="2564" width="5.140625" style="2" customWidth="1"/>
    <col min="2565" max="2566" width="17.5703125" style="2" customWidth="1"/>
    <col min="2567" max="2810" width="9.140625" style="2"/>
    <col min="2811" max="2811" width="3.5703125" style="2" customWidth="1"/>
    <col min="2812" max="2812" width="96.85546875" style="2" customWidth="1"/>
    <col min="2813" max="2813" width="30.85546875" style="2" customWidth="1"/>
    <col min="2814" max="2814" width="12.5703125" style="2" customWidth="1"/>
    <col min="2815" max="2815" width="5.140625" style="2" customWidth="1"/>
    <col min="2816" max="2816" width="9.140625" style="2"/>
    <col min="2817" max="2817" width="4.85546875" style="2" customWidth="1"/>
    <col min="2818" max="2818" width="30.5703125" style="2" customWidth="1"/>
    <col min="2819" max="2819" width="33.85546875" style="2" customWidth="1"/>
    <col min="2820" max="2820" width="5.140625" style="2" customWidth="1"/>
    <col min="2821" max="2822" width="17.5703125" style="2" customWidth="1"/>
    <col min="2823" max="3066" width="9.140625" style="2"/>
    <col min="3067" max="3067" width="3.5703125" style="2" customWidth="1"/>
    <col min="3068" max="3068" width="96.85546875" style="2" customWidth="1"/>
    <col min="3069" max="3069" width="30.85546875" style="2" customWidth="1"/>
    <col min="3070" max="3070" width="12.5703125" style="2" customWidth="1"/>
    <col min="3071" max="3071" width="5.140625" style="2" customWidth="1"/>
    <col min="3072" max="3072" width="9.140625" style="2"/>
    <col min="3073" max="3073" width="4.85546875" style="2" customWidth="1"/>
    <col min="3074" max="3074" width="30.5703125" style="2" customWidth="1"/>
    <col min="3075" max="3075" width="33.85546875" style="2" customWidth="1"/>
    <col min="3076" max="3076" width="5.140625" style="2" customWidth="1"/>
    <col min="3077" max="3078" width="17.5703125" style="2" customWidth="1"/>
    <col min="3079" max="3322" width="9.140625" style="2"/>
    <col min="3323" max="3323" width="3.5703125" style="2" customWidth="1"/>
    <col min="3324" max="3324" width="96.85546875" style="2" customWidth="1"/>
    <col min="3325" max="3325" width="30.85546875" style="2" customWidth="1"/>
    <col min="3326" max="3326" width="12.5703125" style="2" customWidth="1"/>
    <col min="3327" max="3327" width="5.140625" style="2" customWidth="1"/>
    <col min="3328" max="3328" width="9.140625" style="2"/>
    <col min="3329" max="3329" width="4.85546875" style="2" customWidth="1"/>
    <col min="3330" max="3330" width="30.5703125" style="2" customWidth="1"/>
    <col min="3331" max="3331" width="33.85546875" style="2" customWidth="1"/>
    <col min="3332" max="3332" width="5.140625" style="2" customWidth="1"/>
    <col min="3333" max="3334" width="17.5703125" style="2" customWidth="1"/>
    <col min="3335" max="3578" width="9.140625" style="2"/>
    <col min="3579" max="3579" width="3.5703125" style="2" customWidth="1"/>
    <col min="3580" max="3580" width="96.85546875" style="2" customWidth="1"/>
    <col min="3581" max="3581" width="30.85546875" style="2" customWidth="1"/>
    <col min="3582" max="3582" width="12.5703125" style="2" customWidth="1"/>
    <col min="3583" max="3583" width="5.140625" style="2" customWidth="1"/>
    <col min="3584" max="3584" width="9.140625" style="2"/>
    <col min="3585" max="3585" width="4.85546875" style="2" customWidth="1"/>
    <col min="3586" max="3586" width="30.5703125" style="2" customWidth="1"/>
    <col min="3587" max="3587" width="33.85546875" style="2" customWidth="1"/>
    <col min="3588" max="3588" width="5.140625" style="2" customWidth="1"/>
    <col min="3589" max="3590" width="17.5703125" style="2" customWidth="1"/>
    <col min="3591" max="3834" width="9.140625" style="2"/>
    <col min="3835" max="3835" width="3.5703125" style="2" customWidth="1"/>
    <col min="3836" max="3836" width="96.85546875" style="2" customWidth="1"/>
    <col min="3837" max="3837" width="30.85546875" style="2" customWidth="1"/>
    <col min="3838" max="3838" width="12.5703125" style="2" customWidth="1"/>
    <col min="3839" max="3839" width="5.140625" style="2" customWidth="1"/>
    <col min="3840" max="3840" width="9.140625" style="2"/>
    <col min="3841" max="3841" width="4.85546875" style="2" customWidth="1"/>
    <col min="3842" max="3842" width="30.5703125" style="2" customWidth="1"/>
    <col min="3843" max="3843" width="33.85546875" style="2" customWidth="1"/>
    <col min="3844" max="3844" width="5.140625" style="2" customWidth="1"/>
    <col min="3845" max="3846" width="17.5703125" style="2" customWidth="1"/>
    <col min="3847" max="4090" width="9.140625" style="2"/>
    <col min="4091" max="4091" width="3.5703125" style="2" customWidth="1"/>
    <col min="4092" max="4092" width="96.85546875" style="2" customWidth="1"/>
    <col min="4093" max="4093" width="30.85546875" style="2" customWidth="1"/>
    <col min="4094" max="4094" width="12.5703125" style="2" customWidth="1"/>
    <col min="4095" max="4095" width="5.140625" style="2" customWidth="1"/>
    <col min="4096" max="4096" width="9.140625" style="2"/>
    <col min="4097" max="4097" width="4.85546875" style="2" customWidth="1"/>
    <col min="4098" max="4098" width="30.5703125" style="2" customWidth="1"/>
    <col min="4099" max="4099" width="33.85546875" style="2" customWidth="1"/>
    <col min="4100" max="4100" width="5.140625" style="2" customWidth="1"/>
    <col min="4101" max="4102" width="17.5703125" style="2" customWidth="1"/>
    <col min="4103" max="4346" width="9.140625" style="2"/>
    <col min="4347" max="4347" width="3.5703125" style="2" customWidth="1"/>
    <col min="4348" max="4348" width="96.85546875" style="2" customWidth="1"/>
    <col min="4349" max="4349" width="30.85546875" style="2" customWidth="1"/>
    <col min="4350" max="4350" width="12.5703125" style="2" customWidth="1"/>
    <col min="4351" max="4351" width="5.140625" style="2" customWidth="1"/>
    <col min="4352" max="4352" width="9.140625" style="2"/>
    <col min="4353" max="4353" width="4.85546875" style="2" customWidth="1"/>
    <col min="4354" max="4354" width="30.5703125" style="2" customWidth="1"/>
    <col min="4355" max="4355" width="33.85546875" style="2" customWidth="1"/>
    <col min="4356" max="4356" width="5.140625" style="2" customWidth="1"/>
    <col min="4357" max="4358" width="17.5703125" style="2" customWidth="1"/>
    <col min="4359" max="4602" width="9.140625" style="2"/>
    <col min="4603" max="4603" width="3.5703125" style="2" customWidth="1"/>
    <col min="4604" max="4604" width="96.85546875" style="2" customWidth="1"/>
    <col min="4605" max="4605" width="30.85546875" style="2" customWidth="1"/>
    <col min="4606" max="4606" width="12.5703125" style="2" customWidth="1"/>
    <col min="4607" max="4607" width="5.140625" style="2" customWidth="1"/>
    <col min="4608" max="4608" width="9.140625" style="2"/>
    <col min="4609" max="4609" width="4.85546875" style="2" customWidth="1"/>
    <col min="4610" max="4610" width="30.5703125" style="2" customWidth="1"/>
    <col min="4611" max="4611" width="33.85546875" style="2" customWidth="1"/>
    <col min="4612" max="4612" width="5.140625" style="2" customWidth="1"/>
    <col min="4613" max="4614" width="17.5703125" style="2" customWidth="1"/>
    <col min="4615" max="4858" width="9.140625" style="2"/>
    <col min="4859" max="4859" width="3.5703125" style="2" customWidth="1"/>
    <col min="4860" max="4860" width="96.85546875" style="2" customWidth="1"/>
    <col min="4861" max="4861" width="30.85546875" style="2" customWidth="1"/>
    <col min="4862" max="4862" width="12.5703125" style="2" customWidth="1"/>
    <col min="4863" max="4863" width="5.140625" style="2" customWidth="1"/>
    <col min="4864" max="4864" width="9.140625" style="2"/>
    <col min="4865" max="4865" width="4.85546875" style="2" customWidth="1"/>
    <col min="4866" max="4866" width="30.5703125" style="2" customWidth="1"/>
    <col min="4867" max="4867" width="33.85546875" style="2" customWidth="1"/>
    <col min="4868" max="4868" width="5.140625" style="2" customWidth="1"/>
    <col min="4869" max="4870" width="17.5703125" style="2" customWidth="1"/>
    <col min="4871" max="5114" width="9.140625" style="2"/>
    <col min="5115" max="5115" width="3.5703125" style="2" customWidth="1"/>
    <col min="5116" max="5116" width="96.85546875" style="2" customWidth="1"/>
    <col min="5117" max="5117" width="30.85546875" style="2" customWidth="1"/>
    <col min="5118" max="5118" width="12.5703125" style="2" customWidth="1"/>
    <col min="5119" max="5119" width="5.140625" style="2" customWidth="1"/>
    <col min="5120" max="5120" width="9.140625" style="2"/>
    <col min="5121" max="5121" width="4.85546875" style="2" customWidth="1"/>
    <col min="5122" max="5122" width="30.5703125" style="2" customWidth="1"/>
    <col min="5123" max="5123" width="33.85546875" style="2" customWidth="1"/>
    <col min="5124" max="5124" width="5.140625" style="2" customWidth="1"/>
    <col min="5125" max="5126" width="17.5703125" style="2" customWidth="1"/>
    <col min="5127" max="5370" width="9.140625" style="2"/>
    <col min="5371" max="5371" width="3.5703125" style="2" customWidth="1"/>
    <col min="5372" max="5372" width="96.85546875" style="2" customWidth="1"/>
    <col min="5373" max="5373" width="30.85546875" style="2" customWidth="1"/>
    <col min="5374" max="5374" width="12.5703125" style="2" customWidth="1"/>
    <col min="5375" max="5375" width="5.140625" style="2" customWidth="1"/>
    <col min="5376" max="5376" width="9.140625" style="2"/>
    <col min="5377" max="5377" width="4.85546875" style="2" customWidth="1"/>
    <col min="5378" max="5378" width="30.5703125" style="2" customWidth="1"/>
    <col min="5379" max="5379" width="33.85546875" style="2" customWidth="1"/>
    <col min="5380" max="5380" width="5.140625" style="2" customWidth="1"/>
    <col min="5381" max="5382" width="17.5703125" style="2" customWidth="1"/>
    <col min="5383" max="5626" width="9.140625" style="2"/>
    <col min="5627" max="5627" width="3.5703125" style="2" customWidth="1"/>
    <col min="5628" max="5628" width="96.85546875" style="2" customWidth="1"/>
    <col min="5629" max="5629" width="30.85546875" style="2" customWidth="1"/>
    <col min="5630" max="5630" width="12.5703125" style="2" customWidth="1"/>
    <col min="5631" max="5631" width="5.140625" style="2" customWidth="1"/>
    <col min="5632" max="5632" width="9.140625" style="2"/>
    <col min="5633" max="5633" width="4.85546875" style="2" customWidth="1"/>
    <col min="5634" max="5634" width="30.5703125" style="2" customWidth="1"/>
    <col min="5635" max="5635" width="33.85546875" style="2" customWidth="1"/>
    <col min="5636" max="5636" width="5.140625" style="2" customWidth="1"/>
    <col min="5637" max="5638" width="17.5703125" style="2" customWidth="1"/>
    <col min="5639" max="5882" width="9.140625" style="2"/>
    <col min="5883" max="5883" width="3.5703125" style="2" customWidth="1"/>
    <col min="5884" max="5884" width="96.85546875" style="2" customWidth="1"/>
    <col min="5885" max="5885" width="30.85546875" style="2" customWidth="1"/>
    <col min="5886" max="5886" width="12.5703125" style="2" customWidth="1"/>
    <col min="5887" max="5887" width="5.140625" style="2" customWidth="1"/>
    <col min="5888" max="5888" width="9.140625" style="2"/>
    <col min="5889" max="5889" width="4.85546875" style="2" customWidth="1"/>
    <col min="5890" max="5890" width="30.5703125" style="2" customWidth="1"/>
    <col min="5891" max="5891" width="33.85546875" style="2" customWidth="1"/>
    <col min="5892" max="5892" width="5.140625" style="2" customWidth="1"/>
    <col min="5893" max="5894" width="17.5703125" style="2" customWidth="1"/>
    <col min="5895" max="6138" width="9.140625" style="2"/>
    <col min="6139" max="6139" width="3.5703125" style="2" customWidth="1"/>
    <col min="6140" max="6140" width="96.85546875" style="2" customWidth="1"/>
    <col min="6141" max="6141" width="30.85546875" style="2" customWidth="1"/>
    <col min="6142" max="6142" width="12.5703125" style="2" customWidth="1"/>
    <col min="6143" max="6143" width="5.140625" style="2" customWidth="1"/>
    <col min="6144" max="6144" width="9.140625" style="2"/>
    <col min="6145" max="6145" width="4.85546875" style="2" customWidth="1"/>
    <col min="6146" max="6146" width="30.5703125" style="2" customWidth="1"/>
    <col min="6147" max="6147" width="33.85546875" style="2" customWidth="1"/>
    <col min="6148" max="6148" width="5.140625" style="2" customWidth="1"/>
    <col min="6149" max="6150" width="17.5703125" style="2" customWidth="1"/>
    <col min="6151" max="6394" width="9.140625" style="2"/>
    <col min="6395" max="6395" width="3.5703125" style="2" customWidth="1"/>
    <col min="6396" max="6396" width="96.85546875" style="2" customWidth="1"/>
    <col min="6397" max="6397" width="30.85546875" style="2" customWidth="1"/>
    <col min="6398" max="6398" width="12.5703125" style="2" customWidth="1"/>
    <col min="6399" max="6399" width="5.140625" style="2" customWidth="1"/>
    <col min="6400" max="6400" width="9.140625" style="2"/>
    <col min="6401" max="6401" width="4.85546875" style="2" customWidth="1"/>
    <col min="6402" max="6402" width="30.5703125" style="2" customWidth="1"/>
    <col min="6403" max="6403" width="33.85546875" style="2" customWidth="1"/>
    <col min="6404" max="6404" width="5.140625" style="2" customWidth="1"/>
    <col min="6405" max="6406" width="17.5703125" style="2" customWidth="1"/>
    <col min="6407" max="6650" width="9.140625" style="2"/>
    <col min="6651" max="6651" width="3.5703125" style="2" customWidth="1"/>
    <col min="6652" max="6652" width="96.85546875" style="2" customWidth="1"/>
    <col min="6653" max="6653" width="30.85546875" style="2" customWidth="1"/>
    <col min="6654" max="6654" width="12.5703125" style="2" customWidth="1"/>
    <col min="6655" max="6655" width="5.140625" style="2" customWidth="1"/>
    <col min="6656" max="6656" width="9.140625" style="2"/>
    <col min="6657" max="6657" width="4.85546875" style="2" customWidth="1"/>
    <col min="6658" max="6658" width="30.5703125" style="2" customWidth="1"/>
    <col min="6659" max="6659" width="33.85546875" style="2" customWidth="1"/>
    <col min="6660" max="6660" width="5.140625" style="2" customWidth="1"/>
    <col min="6661" max="6662" width="17.5703125" style="2" customWidth="1"/>
    <col min="6663" max="6906" width="9.140625" style="2"/>
    <col min="6907" max="6907" width="3.5703125" style="2" customWidth="1"/>
    <col min="6908" max="6908" width="96.85546875" style="2" customWidth="1"/>
    <col min="6909" max="6909" width="30.85546875" style="2" customWidth="1"/>
    <col min="6910" max="6910" width="12.5703125" style="2" customWidth="1"/>
    <col min="6911" max="6911" width="5.140625" style="2" customWidth="1"/>
    <col min="6912" max="6912" width="9.140625" style="2"/>
    <col min="6913" max="6913" width="4.85546875" style="2" customWidth="1"/>
    <col min="6914" max="6914" width="30.5703125" style="2" customWidth="1"/>
    <col min="6915" max="6915" width="33.85546875" style="2" customWidth="1"/>
    <col min="6916" max="6916" width="5.140625" style="2" customWidth="1"/>
    <col min="6917" max="6918" width="17.5703125" style="2" customWidth="1"/>
    <col min="6919" max="7162" width="9.140625" style="2"/>
    <col min="7163" max="7163" width="3.5703125" style="2" customWidth="1"/>
    <col min="7164" max="7164" width="96.85546875" style="2" customWidth="1"/>
    <col min="7165" max="7165" width="30.85546875" style="2" customWidth="1"/>
    <col min="7166" max="7166" width="12.5703125" style="2" customWidth="1"/>
    <col min="7167" max="7167" width="5.140625" style="2" customWidth="1"/>
    <col min="7168" max="7168" width="9.140625" style="2"/>
    <col min="7169" max="7169" width="4.85546875" style="2" customWidth="1"/>
    <col min="7170" max="7170" width="30.5703125" style="2" customWidth="1"/>
    <col min="7171" max="7171" width="33.85546875" style="2" customWidth="1"/>
    <col min="7172" max="7172" width="5.140625" style="2" customWidth="1"/>
    <col min="7173" max="7174" width="17.5703125" style="2" customWidth="1"/>
    <col min="7175" max="7418" width="9.140625" style="2"/>
    <col min="7419" max="7419" width="3.5703125" style="2" customWidth="1"/>
    <col min="7420" max="7420" width="96.85546875" style="2" customWidth="1"/>
    <col min="7421" max="7421" width="30.85546875" style="2" customWidth="1"/>
    <col min="7422" max="7422" width="12.5703125" style="2" customWidth="1"/>
    <col min="7423" max="7423" width="5.140625" style="2" customWidth="1"/>
    <col min="7424" max="7424" width="9.140625" style="2"/>
    <col min="7425" max="7425" width="4.85546875" style="2" customWidth="1"/>
    <col min="7426" max="7426" width="30.5703125" style="2" customWidth="1"/>
    <col min="7427" max="7427" width="33.85546875" style="2" customWidth="1"/>
    <col min="7428" max="7428" width="5.140625" style="2" customWidth="1"/>
    <col min="7429" max="7430" width="17.5703125" style="2" customWidth="1"/>
    <col min="7431" max="7674" width="9.140625" style="2"/>
    <col min="7675" max="7675" width="3.5703125" style="2" customWidth="1"/>
    <col min="7676" max="7676" width="96.85546875" style="2" customWidth="1"/>
    <col min="7677" max="7677" width="30.85546875" style="2" customWidth="1"/>
    <col min="7678" max="7678" width="12.5703125" style="2" customWidth="1"/>
    <col min="7679" max="7679" width="5.140625" style="2" customWidth="1"/>
    <col min="7680" max="7680" width="9.140625" style="2"/>
    <col min="7681" max="7681" width="4.85546875" style="2" customWidth="1"/>
    <col min="7682" max="7682" width="30.5703125" style="2" customWidth="1"/>
    <col min="7683" max="7683" width="33.85546875" style="2" customWidth="1"/>
    <col min="7684" max="7684" width="5.140625" style="2" customWidth="1"/>
    <col min="7685" max="7686" width="17.5703125" style="2" customWidth="1"/>
    <col min="7687" max="7930" width="9.140625" style="2"/>
    <col min="7931" max="7931" width="3.5703125" style="2" customWidth="1"/>
    <col min="7932" max="7932" width="96.85546875" style="2" customWidth="1"/>
    <col min="7933" max="7933" width="30.85546875" style="2" customWidth="1"/>
    <col min="7934" max="7934" width="12.5703125" style="2" customWidth="1"/>
    <col min="7935" max="7935" width="5.140625" style="2" customWidth="1"/>
    <col min="7936" max="7936" width="9.140625" style="2"/>
    <col min="7937" max="7937" width="4.85546875" style="2" customWidth="1"/>
    <col min="7938" max="7938" width="30.5703125" style="2" customWidth="1"/>
    <col min="7939" max="7939" width="33.85546875" style="2" customWidth="1"/>
    <col min="7940" max="7940" width="5.140625" style="2" customWidth="1"/>
    <col min="7941" max="7942" width="17.5703125" style="2" customWidth="1"/>
    <col min="7943" max="8186" width="9.140625" style="2"/>
    <col min="8187" max="8187" width="3.5703125" style="2" customWidth="1"/>
    <col min="8188" max="8188" width="96.85546875" style="2" customWidth="1"/>
    <col min="8189" max="8189" width="30.85546875" style="2" customWidth="1"/>
    <col min="8190" max="8190" width="12.5703125" style="2" customWidth="1"/>
    <col min="8191" max="8191" width="5.140625" style="2" customWidth="1"/>
    <col min="8192" max="8192" width="9.140625" style="2"/>
    <col min="8193" max="8193" width="4.85546875" style="2" customWidth="1"/>
    <col min="8194" max="8194" width="30.5703125" style="2" customWidth="1"/>
    <col min="8195" max="8195" width="33.85546875" style="2" customWidth="1"/>
    <col min="8196" max="8196" width="5.140625" style="2" customWidth="1"/>
    <col min="8197" max="8198" width="17.5703125" style="2" customWidth="1"/>
    <col min="8199" max="8442" width="9.140625" style="2"/>
    <col min="8443" max="8443" width="3.5703125" style="2" customWidth="1"/>
    <col min="8444" max="8444" width="96.85546875" style="2" customWidth="1"/>
    <col min="8445" max="8445" width="30.85546875" style="2" customWidth="1"/>
    <col min="8446" max="8446" width="12.5703125" style="2" customWidth="1"/>
    <col min="8447" max="8447" width="5.140625" style="2" customWidth="1"/>
    <col min="8448" max="8448" width="9.140625" style="2"/>
    <col min="8449" max="8449" width="4.85546875" style="2" customWidth="1"/>
    <col min="8450" max="8450" width="30.5703125" style="2" customWidth="1"/>
    <col min="8451" max="8451" width="33.85546875" style="2" customWidth="1"/>
    <col min="8452" max="8452" width="5.140625" style="2" customWidth="1"/>
    <col min="8453" max="8454" width="17.5703125" style="2" customWidth="1"/>
    <col min="8455" max="8698" width="9.140625" style="2"/>
    <col min="8699" max="8699" width="3.5703125" style="2" customWidth="1"/>
    <col min="8700" max="8700" width="96.85546875" style="2" customWidth="1"/>
    <col min="8701" max="8701" width="30.85546875" style="2" customWidth="1"/>
    <col min="8702" max="8702" width="12.5703125" style="2" customWidth="1"/>
    <col min="8703" max="8703" width="5.140625" style="2" customWidth="1"/>
    <col min="8704" max="8704" width="9.140625" style="2"/>
    <col min="8705" max="8705" width="4.85546875" style="2" customWidth="1"/>
    <col min="8706" max="8706" width="30.5703125" style="2" customWidth="1"/>
    <col min="8707" max="8707" width="33.85546875" style="2" customWidth="1"/>
    <col min="8708" max="8708" width="5.140625" style="2" customWidth="1"/>
    <col min="8709" max="8710" width="17.5703125" style="2" customWidth="1"/>
    <col min="8711" max="8954" width="9.140625" style="2"/>
    <col min="8955" max="8955" width="3.5703125" style="2" customWidth="1"/>
    <col min="8956" max="8956" width="96.85546875" style="2" customWidth="1"/>
    <col min="8957" max="8957" width="30.85546875" style="2" customWidth="1"/>
    <col min="8958" max="8958" width="12.5703125" style="2" customWidth="1"/>
    <col min="8959" max="8959" width="5.140625" style="2" customWidth="1"/>
    <col min="8960" max="8960" width="9.140625" style="2"/>
    <col min="8961" max="8961" width="4.85546875" style="2" customWidth="1"/>
    <col min="8962" max="8962" width="30.5703125" style="2" customWidth="1"/>
    <col min="8963" max="8963" width="33.85546875" style="2" customWidth="1"/>
    <col min="8964" max="8964" width="5.140625" style="2" customWidth="1"/>
    <col min="8965" max="8966" width="17.5703125" style="2" customWidth="1"/>
    <col min="8967" max="9210" width="9.140625" style="2"/>
    <col min="9211" max="9211" width="3.5703125" style="2" customWidth="1"/>
    <col min="9212" max="9212" width="96.85546875" style="2" customWidth="1"/>
    <col min="9213" max="9213" width="30.85546875" style="2" customWidth="1"/>
    <col min="9214" max="9214" width="12.5703125" style="2" customWidth="1"/>
    <col min="9215" max="9215" width="5.140625" style="2" customWidth="1"/>
    <col min="9216" max="9216" width="9.140625" style="2"/>
    <col min="9217" max="9217" width="4.85546875" style="2" customWidth="1"/>
    <col min="9218" max="9218" width="30.5703125" style="2" customWidth="1"/>
    <col min="9219" max="9219" width="33.85546875" style="2" customWidth="1"/>
    <col min="9220" max="9220" width="5.140625" style="2" customWidth="1"/>
    <col min="9221" max="9222" width="17.5703125" style="2" customWidth="1"/>
    <col min="9223" max="9466" width="9.140625" style="2"/>
    <col min="9467" max="9467" width="3.5703125" style="2" customWidth="1"/>
    <col min="9468" max="9468" width="96.85546875" style="2" customWidth="1"/>
    <col min="9469" max="9469" width="30.85546875" style="2" customWidth="1"/>
    <col min="9470" max="9470" width="12.5703125" style="2" customWidth="1"/>
    <col min="9471" max="9471" width="5.140625" style="2" customWidth="1"/>
    <col min="9472" max="9472" width="9.140625" style="2"/>
    <col min="9473" max="9473" width="4.85546875" style="2" customWidth="1"/>
    <col min="9474" max="9474" width="30.5703125" style="2" customWidth="1"/>
    <col min="9475" max="9475" width="33.85546875" style="2" customWidth="1"/>
    <col min="9476" max="9476" width="5.140625" style="2" customWidth="1"/>
    <col min="9477" max="9478" width="17.5703125" style="2" customWidth="1"/>
    <col min="9479" max="9722" width="9.140625" style="2"/>
    <col min="9723" max="9723" width="3.5703125" style="2" customWidth="1"/>
    <col min="9724" max="9724" width="96.85546875" style="2" customWidth="1"/>
    <col min="9725" max="9725" width="30.85546875" style="2" customWidth="1"/>
    <col min="9726" max="9726" width="12.5703125" style="2" customWidth="1"/>
    <col min="9727" max="9727" width="5.140625" style="2" customWidth="1"/>
    <col min="9728" max="9728" width="9.140625" style="2"/>
    <col min="9729" max="9729" width="4.85546875" style="2" customWidth="1"/>
    <col min="9730" max="9730" width="30.5703125" style="2" customWidth="1"/>
    <col min="9731" max="9731" width="33.85546875" style="2" customWidth="1"/>
    <col min="9732" max="9732" width="5.140625" style="2" customWidth="1"/>
    <col min="9733" max="9734" width="17.5703125" style="2" customWidth="1"/>
    <col min="9735" max="9978" width="9.140625" style="2"/>
    <col min="9979" max="9979" width="3.5703125" style="2" customWidth="1"/>
    <col min="9980" max="9980" width="96.85546875" style="2" customWidth="1"/>
    <col min="9981" max="9981" width="30.85546875" style="2" customWidth="1"/>
    <col min="9982" max="9982" width="12.5703125" style="2" customWidth="1"/>
    <col min="9983" max="9983" width="5.140625" style="2" customWidth="1"/>
    <col min="9984" max="9984" width="9.140625" style="2"/>
    <col min="9985" max="9985" width="4.85546875" style="2" customWidth="1"/>
    <col min="9986" max="9986" width="30.5703125" style="2" customWidth="1"/>
    <col min="9987" max="9987" width="33.85546875" style="2" customWidth="1"/>
    <col min="9988" max="9988" width="5.140625" style="2" customWidth="1"/>
    <col min="9989" max="9990" width="17.5703125" style="2" customWidth="1"/>
    <col min="9991" max="10234" width="9.140625" style="2"/>
    <col min="10235" max="10235" width="3.5703125" style="2" customWidth="1"/>
    <col min="10236" max="10236" width="96.85546875" style="2" customWidth="1"/>
    <col min="10237" max="10237" width="30.85546875" style="2" customWidth="1"/>
    <col min="10238" max="10238" width="12.5703125" style="2" customWidth="1"/>
    <col min="10239" max="10239" width="5.140625" style="2" customWidth="1"/>
    <col min="10240" max="10240" width="9.140625" style="2"/>
    <col min="10241" max="10241" width="4.85546875" style="2" customWidth="1"/>
    <col min="10242" max="10242" width="30.5703125" style="2" customWidth="1"/>
    <col min="10243" max="10243" width="33.85546875" style="2" customWidth="1"/>
    <col min="10244" max="10244" width="5.140625" style="2" customWidth="1"/>
    <col min="10245" max="10246" width="17.5703125" style="2" customWidth="1"/>
    <col min="10247" max="10490" width="9.140625" style="2"/>
    <col min="10491" max="10491" width="3.5703125" style="2" customWidth="1"/>
    <col min="10492" max="10492" width="96.85546875" style="2" customWidth="1"/>
    <col min="10493" max="10493" width="30.85546875" style="2" customWidth="1"/>
    <col min="10494" max="10494" width="12.5703125" style="2" customWidth="1"/>
    <col min="10495" max="10495" width="5.140625" style="2" customWidth="1"/>
    <col min="10496" max="10496" width="9.140625" style="2"/>
    <col min="10497" max="10497" width="4.85546875" style="2" customWidth="1"/>
    <col min="10498" max="10498" width="30.5703125" style="2" customWidth="1"/>
    <col min="10499" max="10499" width="33.85546875" style="2" customWidth="1"/>
    <col min="10500" max="10500" width="5.140625" style="2" customWidth="1"/>
    <col min="10501" max="10502" width="17.5703125" style="2" customWidth="1"/>
    <col min="10503" max="10746" width="9.140625" style="2"/>
    <col min="10747" max="10747" width="3.5703125" style="2" customWidth="1"/>
    <col min="10748" max="10748" width="96.85546875" style="2" customWidth="1"/>
    <col min="10749" max="10749" width="30.85546875" style="2" customWidth="1"/>
    <col min="10750" max="10750" width="12.5703125" style="2" customWidth="1"/>
    <col min="10751" max="10751" width="5.140625" style="2" customWidth="1"/>
    <col min="10752" max="10752" width="9.140625" style="2"/>
    <col min="10753" max="10753" width="4.85546875" style="2" customWidth="1"/>
    <col min="10754" max="10754" width="30.5703125" style="2" customWidth="1"/>
    <col min="10755" max="10755" width="33.85546875" style="2" customWidth="1"/>
    <col min="10756" max="10756" width="5.140625" style="2" customWidth="1"/>
    <col min="10757" max="10758" width="17.5703125" style="2" customWidth="1"/>
    <col min="10759" max="11002" width="9.140625" style="2"/>
    <col min="11003" max="11003" width="3.5703125" style="2" customWidth="1"/>
    <col min="11004" max="11004" width="96.85546875" style="2" customWidth="1"/>
    <col min="11005" max="11005" width="30.85546875" style="2" customWidth="1"/>
    <col min="11006" max="11006" width="12.5703125" style="2" customWidth="1"/>
    <col min="11007" max="11007" width="5.140625" style="2" customWidth="1"/>
    <col min="11008" max="11008" width="9.140625" style="2"/>
    <col min="11009" max="11009" width="4.85546875" style="2" customWidth="1"/>
    <col min="11010" max="11010" width="30.5703125" style="2" customWidth="1"/>
    <col min="11011" max="11011" width="33.85546875" style="2" customWidth="1"/>
    <col min="11012" max="11012" width="5.140625" style="2" customWidth="1"/>
    <col min="11013" max="11014" width="17.5703125" style="2" customWidth="1"/>
    <col min="11015" max="11258" width="9.140625" style="2"/>
    <col min="11259" max="11259" width="3.5703125" style="2" customWidth="1"/>
    <col min="11260" max="11260" width="96.85546875" style="2" customWidth="1"/>
    <col min="11261" max="11261" width="30.85546875" style="2" customWidth="1"/>
    <col min="11262" max="11262" width="12.5703125" style="2" customWidth="1"/>
    <col min="11263" max="11263" width="5.140625" style="2" customWidth="1"/>
    <col min="11264" max="11264" width="9.140625" style="2"/>
    <col min="11265" max="11265" width="4.85546875" style="2" customWidth="1"/>
    <col min="11266" max="11266" width="30.5703125" style="2" customWidth="1"/>
    <col min="11267" max="11267" width="33.85546875" style="2" customWidth="1"/>
    <col min="11268" max="11268" width="5.140625" style="2" customWidth="1"/>
    <col min="11269" max="11270" width="17.5703125" style="2" customWidth="1"/>
    <col min="11271" max="11514" width="9.140625" style="2"/>
    <col min="11515" max="11515" width="3.5703125" style="2" customWidth="1"/>
    <col min="11516" max="11516" width="96.85546875" style="2" customWidth="1"/>
    <col min="11517" max="11517" width="30.85546875" style="2" customWidth="1"/>
    <col min="11518" max="11518" width="12.5703125" style="2" customWidth="1"/>
    <col min="11519" max="11519" width="5.140625" style="2" customWidth="1"/>
    <col min="11520" max="11520" width="9.140625" style="2"/>
    <col min="11521" max="11521" width="4.85546875" style="2" customWidth="1"/>
    <col min="11522" max="11522" width="30.5703125" style="2" customWidth="1"/>
    <col min="11523" max="11523" width="33.85546875" style="2" customWidth="1"/>
    <col min="11524" max="11524" width="5.140625" style="2" customWidth="1"/>
    <col min="11525" max="11526" width="17.5703125" style="2" customWidth="1"/>
    <col min="11527" max="11770" width="9.140625" style="2"/>
    <col min="11771" max="11771" width="3.5703125" style="2" customWidth="1"/>
    <col min="11772" max="11772" width="96.85546875" style="2" customWidth="1"/>
    <col min="11773" max="11773" width="30.85546875" style="2" customWidth="1"/>
    <col min="11774" max="11774" width="12.5703125" style="2" customWidth="1"/>
    <col min="11775" max="11775" width="5.140625" style="2" customWidth="1"/>
    <col min="11776" max="11776" width="9.140625" style="2"/>
    <col min="11777" max="11777" width="4.85546875" style="2" customWidth="1"/>
    <col min="11778" max="11778" width="30.5703125" style="2" customWidth="1"/>
    <col min="11779" max="11779" width="33.85546875" style="2" customWidth="1"/>
    <col min="11780" max="11780" width="5.140625" style="2" customWidth="1"/>
    <col min="11781" max="11782" width="17.5703125" style="2" customWidth="1"/>
    <col min="11783" max="12026" width="9.140625" style="2"/>
    <col min="12027" max="12027" width="3.5703125" style="2" customWidth="1"/>
    <col min="12028" max="12028" width="96.85546875" style="2" customWidth="1"/>
    <col min="12029" max="12029" width="30.85546875" style="2" customWidth="1"/>
    <col min="12030" max="12030" width="12.5703125" style="2" customWidth="1"/>
    <col min="12031" max="12031" width="5.140625" style="2" customWidth="1"/>
    <col min="12032" max="12032" width="9.140625" style="2"/>
    <col min="12033" max="12033" width="4.85546875" style="2" customWidth="1"/>
    <col min="12034" max="12034" width="30.5703125" style="2" customWidth="1"/>
    <col min="12035" max="12035" width="33.85546875" style="2" customWidth="1"/>
    <col min="12036" max="12036" width="5.140625" style="2" customWidth="1"/>
    <col min="12037" max="12038" width="17.5703125" style="2" customWidth="1"/>
    <col min="12039" max="12282" width="9.140625" style="2"/>
    <col min="12283" max="12283" width="3.5703125" style="2" customWidth="1"/>
    <col min="12284" max="12284" width="96.85546875" style="2" customWidth="1"/>
    <col min="12285" max="12285" width="30.85546875" style="2" customWidth="1"/>
    <col min="12286" max="12286" width="12.5703125" style="2" customWidth="1"/>
    <col min="12287" max="12287" width="5.140625" style="2" customWidth="1"/>
    <col min="12288" max="12288" width="9.140625" style="2"/>
    <col min="12289" max="12289" width="4.85546875" style="2" customWidth="1"/>
    <col min="12290" max="12290" width="30.5703125" style="2" customWidth="1"/>
    <col min="12291" max="12291" width="33.85546875" style="2" customWidth="1"/>
    <col min="12292" max="12292" width="5.140625" style="2" customWidth="1"/>
    <col min="12293" max="12294" width="17.5703125" style="2" customWidth="1"/>
    <col min="12295" max="12538" width="9.140625" style="2"/>
    <col min="12539" max="12539" width="3.5703125" style="2" customWidth="1"/>
    <col min="12540" max="12540" width="96.85546875" style="2" customWidth="1"/>
    <col min="12541" max="12541" width="30.85546875" style="2" customWidth="1"/>
    <col min="12542" max="12542" width="12.5703125" style="2" customWidth="1"/>
    <col min="12543" max="12543" width="5.140625" style="2" customWidth="1"/>
    <col min="12544" max="12544" width="9.140625" style="2"/>
    <col min="12545" max="12545" width="4.85546875" style="2" customWidth="1"/>
    <col min="12546" max="12546" width="30.5703125" style="2" customWidth="1"/>
    <col min="12547" max="12547" width="33.85546875" style="2" customWidth="1"/>
    <col min="12548" max="12548" width="5.140625" style="2" customWidth="1"/>
    <col min="12549" max="12550" width="17.5703125" style="2" customWidth="1"/>
    <col min="12551" max="12794" width="9.140625" style="2"/>
    <col min="12795" max="12795" width="3.5703125" style="2" customWidth="1"/>
    <col min="12796" max="12796" width="96.85546875" style="2" customWidth="1"/>
    <col min="12797" max="12797" width="30.85546875" style="2" customWidth="1"/>
    <col min="12798" max="12798" width="12.5703125" style="2" customWidth="1"/>
    <col min="12799" max="12799" width="5.140625" style="2" customWidth="1"/>
    <col min="12800" max="12800" width="9.140625" style="2"/>
    <col min="12801" max="12801" width="4.85546875" style="2" customWidth="1"/>
    <col min="12802" max="12802" width="30.5703125" style="2" customWidth="1"/>
    <col min="12803" max="12803" width="33.85546875" style="2" customWidth="1"/>
    <col min="12804" max="12804" width="5.140625" style="2" customWidth="1"/>
    <col min="12805" max="12806" width="17.5703125" style="2" customWidth="1"/>
    <col min="12807" max="13050" width="9.140625" style="2"/>
    <col min="13051" max="13051" width="3.5703125" style="2" customWidth="1"/>
    <col min="13052" max="13052" width="96.85546875" style="2" customWidth="1"/>
    <col min="13053" max="13053" width="30.85546875" style="2" customWidth="1"/>
    <col min="13054" max="13054" width="12.5703125" style="2" customWidth="1"/>
    <col min="13055" max="13055" width="5.140625" style="2" customWidth="1"/>
    <col min="13056" max="13056" width="9.140625" style="2"/>
    <col min="13057" max="13057" width="4.85546875" style="2" customWidth="1"/>
    <col min="13058" max="13058" width="30.5703125" style="2" customWidth="1"/>
    <col min="13059" max="13059" width="33.85546875" style="2" customWidth="1"/>
    <col min="13060" max="13060" width="5.140625" style="2" customWidth="1"/>
    <col min="13061" max="13062" width="17.5703125" style="2" customWidth="1"/>
    <col min="13063" max="13306" width="9.140625" style="2"/>
    <col min="13307" max="13307" width="3.5703125" style="2" customWidth="1"/>
    <col min="13308" max="13308" width="96.85546875" style="2" customWidth="1"/>
    <col min="13309" max="13309" width="30.85546875" style="2" customWidth="1"/>
    <col min="13310" max="13310" width="12.5703125" style="2" customWidth="1"/>
    <col min="13311" max="13311" width="5.140625" style="2" customWidth="1"/>
    <col min="13312" max="13312" width="9.140625" style="2"/>
    <col min="13313" max="13313" width="4.85546875" style="2" customWidth="1"/>
    <col min="13314" max="13314" width="30.5703125" style="2" customWidth="1"/>
    <col min="13315" max="13315" width="33.85546875" style="2" customWidth="1"/>
    <col min="13316" max="13316" width="5.140625" style="2" customWidth="1"/>
    <col min="13317" max="13318" width="17.5703125" style="2" customWidth="1"/>
    <col min="13319" max="13562" width="9.140625" style="2"/>
    <col min="13563" max="13563" width="3.5703125" style="2" customWidth="1"/>
    <col min="13564" max="13564" width="96.85546875" style="2" customWidth="1"/>
    <col min="13565" max="13565" width="30.85546875" style="2" customWidth="1"/>
    <col min="13566" max="13566" width="12.5703125" style="2" customWidth="1"/>
    <col min="13567" max="13567" width="5.140625" style="2" customWidth="1"/>
    <col min="13568" max="13568" width="9.140625" style="2"/>
    <col min="13569" max="13569" width="4.85546875" style="2" customWidth="1"/>
    <col min="13570" max="13570" width="30.5703125" style="2" customWidth="1"/>
    <col min="13571" max="13571" width="33.85546875" style="2" customWidth="1"/>
    <col min="13572" max="13572" width="5.140625" style="2" customWidth="1"/>
    <col min="13573" max="13574" width="17.5703125" style="2" customWidth="1"/>
    <col min="13575" max="13818" width="9.140625" style="2"/>
    <col min="13819" max="13819" width="3.5703125" style="2" customWidth="1"/>
    <col min="13820" max="13820" width="96.85546875" style="2" customWidth="1"/>
    <col min="13821" max="13821" width="30.85546875" style="2" customWidth="1"/>
    <col min="13822" max="13822" width="12.5703125" style="2" customWidth="1"/>
    <col min="13823" max="13823" width="5.140625" style="2" customWidth="1"/>
    <col min="13824" max="13824" width="9.140625" style="2"/>
    <col min="13825" max="13825" width="4.85546875" style="2" customWidth="1"/>
    <col min="13826" max="13826" width="30.5703125" style="2" customWidth="1"/>
    <col min="13827" max="13827" width="33.85546875" style="2" customWidth="1"/>
    <col min="13828" max="13828" width="5.140625" style="2" customWidth="1"/>
    <col min="13829" max="13830" width="17.5703125" style="2" customWidth="1"/>
    <col min="13831" max="14074" width="9.140625" style="2"/>
    <col min="14075" max="14075" width="3.5703125" style="2" customWidth="1"/>
    <col min="14076" max="14076" width="96.85546875" style="2" customWidth="1"/>
    <col min="14077" max="14077" width="30.85546875" style="2" customWidth="1"/>
    <col min="14078" max="14078" width="12.5703125" style="2" customWidth="1"/>
    <col min="14079" max="14079" width="5.140625" style="2" customWidth="1"/>
    <col min="14080" max="14080" width="9.140625" style="2"/>
    <col min="14081" max="14081" width="4.85546875" style="2" customWidth="1"/>
    <col min="14082" max="14082" width="30.5703125" style="2" customWidth="1"/>
    <col min="14083" max="14083" width="33.85546875" style="2" customWidth="1"/>
    <col min="14084" max="14084" width="5.140625" style="2" customWidth="1"/>
    <col min="14085" max="14086" width="17.5703125" style="2" customWidth="1"/>
    <col min="14087" max="14330" width="9.140625" style="2"/>
    <col min="14331" max="14331" width="3.5703125" style="2" customWidth="1"/>
    <col min="14332" max="14332" width="96.85546875" style="2" customWidth="1"/>
    <col min="14333" max="14333" width="30.85546875" style="2" customWidth="1"/>
    <col min="14334" max="14334" width="12.5703125" style="2" customWidth="1"/>
    <col min="14335" max="14335" width="5.140625" style="2" customWidth="1"/>
    <col min="14336" max="14336" width="9.140625" style="2"/>
    <col min="14337" max="14337" width="4.85546875" style="2" customWidth="1"/>
    <col min="14338" max="14338" width="30.5703125" style="2" customWidth="1"/>
    <col min="14339" max="14339" width="33.85546875" style="2" customWidth="1"/>
    <col min="14340" max="14340" width="5.140625" style="2" customWidth="1"/>
    <col min="14341" max="14342" width="17.5703125" style="2" customWidth="1"/>
    <col min="14343" max="14586" width="9.140625" style="2"/>
    <col min="14587" max="14587" width="3.5703125" style="2" customWidth="1"/>
    <col min="14588" max="14588" width="96.85546875" style="2" customWidth="1"/>
    <col min="14589" max="14589" width="30.85546875" style="2" customWidth="1"/>
    <col min="14590" max="14590" width="12.5703125" style="2" customWidth="1"/>
    <col min="14591" max="14591" width="5.140625" style="2" customWidth="1"/>
    <col min="14592" max="14592" width="9.140625" style="2"/>
    <col min="14593" max="14593" width="4.85546875" style="2" customWidth="1"/>
    <col min="14594" max="14594" width="30.5703125" style="2" customWidth="1"/>
    <col min="14595" max="14595" width="33.85546875" style="2" customWidth="1"/>
    <col min="14596" max="14596" width="5.140625" style="2" customWidth="1"/>
    <col min="14597" max="14598" width="17.5703125" style="2" customWidth="1"/>
    <col min="14599" max="14842" width="9.140625" style="2"/>
    <col min="14843" max="14843" width="3.5703125" style="2" customWidth="1"/>
    <col min="14844" max="14844" width="96.85546875" style="2" customWidth="1"/>
    <col min="14845" max="14845" width="30.85546875" style="2" customWidth="1"/>
    <col min="14846" max="14846" width="12.5703125" style="2" customWidth="1"/>
    <col min="14847" max="14847" width="5.140625" style="2" customWidth="1"/>
    <col min="14848" max="14848" width="9.140625" style="2"/>
    <col min="14849" max="14849" width="4.85546875" style="2" customWidth="1"/>
    <col min="14850" max="14850" width="30.5703125" style="2" customWidth="1"/>
    <col min="14851" max="14851" width="33.85546875" style="2" customWidth="1"/>
    <col min="14852" max="14852" width="5.140625" style="2" customWidth="1"/>
    <col min="14853" max="14854" width="17.5703125" style="2" customWidth="1"/>
    <col min="14855" max="15098" width="9.140625" style="2"/>
    <col min="15099" max="15099" width="3.5703125" style="2" customWidth="1"/>
    <col min="15100" max="15100" width="96.85546875" style="2" customWidth="1"/>
    <col min="15101" max="15101" width="30.85546875" style="2" customWidth="1"/>
    <col min="15102" max="15102" width="12.5703125" style="2" customWidth="1"/>
    <col min="15103" max="15103" width="5.140625" style="2" customWidth="1"/>
    <col min="15104" max="15104" width="9.140625" style="2"/>
    <col min="15105" max="15105" width="4.85546875" style="2" customWidth="1"/>
    <col min="15106" max="15106" width="30.5703125" style="2" customWidth="1"/>
    <col min="15107" max="15107" width="33.85546875" style="2" customWidth="1"/>
    <col min="15108" max="15108" width="5.140625" style="2" customWidth="1"/>
    <col min="15109" max="15110" width="17.5703125" style="2" customWidth="1"/>
    <col min="15111" max="15354" width="9.140625" style="2"/>
    <col min="15355" max="15355" width="3.5703125" style="2" customWidth="1"/>
    <col min="15356" max="15356" width="96.85546875" style="2" customWidth="1"/>
    <col min="15357" max="15357" width="30.85546875" style="2" customWidth="1"/>
    <col min="15358" max="15358" width="12.5703125" style="2" customWidth="1"/>
    <col min="15359" max="15359" width="5.140625" style="2" customWidth="1"/>
    <col min="15360" max="15360" width="9.140625" style="2"/>
    <col min="15361" max="15361" width="4.85546875" style="2" customWidth="1"/>
    <col min="15362" max="15362" width="30.5703125" style="2" customWidth="1"/>
    <col min="15363" max="15363" width="33.85546875" style="2" customWidth="1"/>
    <col min="15364" max="15364" width="5.140625" style="2" customWidth="1"/>
    <col min="15365" max="15366" width="17.5703125" style="2" customWidth="1"/>
    <col min="15367" max="15610" width="9.140625" style="2"/>
    <col min="15611" max="15611" width="3.5703125" style="2" customWidth="1"/>
    <col min="15612" max="15612" width="96.85546875" style="2" customWidth="1"/>
    <col min="15613" max="15613" width="30.85546875" style="2" customWidth="1"/>
    <col min="15614" max="15614" width="12.5703125" style="2" customWidth="1"/>
    <col min="15615" max="15615" width="5.140625" style="2" customWidth="1"/>
    <col min="15616" max="15616" width="9.140625" style="2"/>
    <col min="15617" max="15617" width="4.85546875" style="2" customWidth="1"/>
    <col min="15618" max="15618" width="30.5703125" style="2" customWidth="1"/>
    <col min="15619" max="15619" width="33.85546875" style="2" customWidth="1"/>
    <col min="15620" max="15620" width="5.140625" style="2" customWidth="1"/>
    <col min="15621" max="15622" width="17.5703125" style="2" customWidth="1"/>
    <col min="15623" max="15866" width="9.140625" style="2"/>
    <col min="15867" max="15867" width="3.5703125" style="2" customWidth="1"/>
    <col min="15868" max="15868" width="96.85546875" style="2" customWidth="1"/>
    <col min="15869" max="15869" width="30.85546875" style="2" customWidth="1"/>
    <col min="15870" max="15870" width="12.5703125" style="2" customWidth="1"/>
    <col min="15871" max="15871" width="5.140625" style="2" customWidth="1"/>
    <col min="15872" max="15872" width="9.140625" style="2"/>
    <col min="15873" max="15873" width="4.85546875" style="2" customWidth="1"/>
    <col min="15874" max="15874" width="30.5703125" style="2" customWidth="1"/>
    <col min="15875" max="15875" width="33.85546875" style="2" customWidth="1"/>
    <col min="15876" max="15876" width="5.140625" style="2" customWidth="1"/>
    <col min="15877" max="15878" width="17.5703125" style="2" customWidth="1"/>
    <col min="15879" max="16122" width="9.140625" style="2"/>
    <col min="16123" max="16123" width="3.5703125" style="2" customWidth="1"/>
    <col min="16124" max="16124" width="96.85546875" style="2" customWidth="1"/>
    <col min="16125" max="16125" width="30.85546875" style="2" customWidth="1"/>
    <col min="16126" max="16126" width="12.5703125" style="2" customWidth="1"/>
    <col min="16127" max="16127" width="5.140625" style="2" customWidth="1"/>
    <col min="16128" max="16128" width="9.140625" style="2"/>
    <col min="16129" max="16129" width="4.85546875" style="2" customWidth="1"/>
    <col min="16130" max="16130" width="30.5703125" style="2" customWidth="1"/>
    <col min="16131" max="16131" width="33.85546875" style="2" customWidth="1"/>
    <col min="16132" max="16132" width="5.140625" style="2" customWidth="1"/>
    <col min="16133" max="16134" width="17.5703125" style="2" customWidth="1"/>
    <col min="16135" max="16384" width="9.140625" style="2"/>
  </cols>
  <sheetData>
    <row r="1" spans="1:4" ht="48" customHeight="1" x14ac:dyDescent="0.2">
      <c r="A1" s="1"/>
      <c r="B1" s="163" t="s">
        <v>0</v>
      </c>
      <c r="C1" s="163"/>
      <c r="D1" s="163"/>
    </row>
    <row r="2" spans="1:4" x14ac:dyDescent="0.2">
      <c r="A2" s="3"/>
      <c r="B2" s="4" t="s">
        <v>1</v>
      </c>
      <c r="C2" s="5">
        <v>45317</v>
      </c>
    </row>
    <row r="3" spans="1:4" x14ac:dyDescent="0.2">
      <c r="A3" s="3"/>
      <c r="B3" s="6" t="s">
        <v>2</v>
      </c>
    </row>
    <row r="4" spans="1:4" ht="25.5" x14ac:dyDescent="0.2">
      <c r="A4" s="8"/>
      <c r="B4" s="9" t="str">
        <f>[9]И1!D13</f>
        <v>Субъект Российской Федерации</v>
      </c>
      <c r="C4" s="10" t="str">
        <f>[9]И1!E13</f>
        <v>Новосибирская область</v>
      </c>
      <c r="D4" s="142"/>
    </row>
    <row r="5" spans="1:4" ht="46.9" customHeight="1" x14ac:dyDescent="0.2">
      <c r="A5" s="8"/>
      <c r="B5" s="9" t="str">
        <f>[9]И1!D14</f>
        <v>Тип муниципального образования (выберите из списка)</v>
      </c>
      <c r="C5" s="10" t="str">
        <f>[9]И1!E14</f>
        <v xml:space="preserve">село Гусельниково, Искитимский муниципальный район </v>
      </c>
      <c r="D5" s="142"/>
    </row>
    <row r="6" spans="1:4" ht="38.25" x14ac:dyDescent="0.2">
      <c r="A6" s="8"/>
      <c r="B6" s="9" t="str">
        <f>IF([9]И1!E15="","",[9]И1!D15)</f>
        <v/>
      </c>
      <c r="C6" s="10" t="str">
        <f>IF([9]И1!E15="","",[9]И1!E15)</f>
        <v>деревня Гилево, Искитимский муниципальный район</v>
      </c>
      <c r="D6" s="142"/>
    </row>
    <row r="7" spans="1:4" x14ac:dyDescent="0.2">
      <c r="A7" s="8"/>
      <c r="B7" s="9" t="str">
        <f>[9]И1!D16</f>
        <v>Код ОКТМО</v>
      </c>
      <c r="C7" s="11" t="str">
        <f>[9]И1!E16</f>
        <v>(50615410101)</v>
      </c>
      <c r="D7" s="142"/>
    </row>
    <row r="8" spans="1:4" x14ac:dyDescent="0.2">
      <c r="A8" s="8"/>
      <c r="B8" s="12" t="str">
        <f>[9]И1!D17</f>
        <v>Система теплоснабжения</v>
      </c>
      <c r="C8" s="13">
        <f>[9]И1!E17</f>
        <v>0</v>
      </c>
      <c r="D8" s="142"/>
    </row>
    <row r="9" spans="1:4" x14ac:dyDescent="0.2">
      <c r="A9" s="8"/>
      <c r="B9" s="9" t="str">
        <f>[9]И1!D8</f>
        <v>Период регулирования (i)-й</v>
      </c>
      <c r="C9" s="14">
        <f>[9]И1!E8</f>
        <v>2024</v>
      </c>
      <c r="D9" s="142"/>
    </row>
    <row r="10" spans="1:4" x14ac:dyDescent="0.2">
      <c r="A10" s="8"/>
      <c r="B10" s="9" t="str">
        <f>[9]И1!D9</f>
        <v>Период регулирования (i-1)-й</v>
      </c>
      <c r="C10" s="14">
        <f>[9]И1!E9</f>
        <v>2023</v>
      </c>
      <c r="D10" s="142"/>
    </row>
    <row r="11" spans="1:4" x14ac:dyDescent="0.2">
      <c r="A11" s="8"/>
      <c r="B11" s="9" t="str">
        <f>[9]И1!D10</f>
        <v>Период регулирования (i-2)-й</v>
      </c>
      <c r="C11" s="14">
        <f>[9]И1!E10</f>
        <v>2022</v>
      </c>
      <c r="D11" s="142"/>
    </row>
    <row r="12" spans="1:4" x14ac:dyDescent="0.2">
      <c r="A12" s="8"/>
      <c r="B12" s="9" t="str">
        <f>[9]И1!D11</f>
        <v>Базовый год (б)</v>
      </c>
      <c r="C12" s="14">
        <f>[9]И1!E11</f>
        <v>2019</v>
      </c>
      <c r="D12" s="142"/>
    </row>
    <row r="13" spans="1:4" ht="38.25" x14ac:dyDescent="0.2">
      <c r="A13" s="8"/>
      <c r="B13" s="9" t="str">
        <f>[9]И1!D18</f>
        <v>Вид топлива, использование которого преобладает в системе теплоснабжения</v>
      </c>
      <c r="C13" s="15" t="str">
        <f>[9]С1.1!E13</f>
        <v>уголь (вид угля не указан в топливном балансе)</v>
      </c>
      <c r="D13" s="142"/>
    </row>
    <row r="14" spans="1:4" ht="31.7" customHeight="1" thickBot="1" x14ac:dyDescent="0.25">
      <c r="A14" s="162" t="s">
        <v>3</v>
      </c>
      <c r="B14" s="162"/>
      <c r="C14" s="162"/>
    </row>
    <row r="15" spans="1:4" x14ac:dyDescent="0.2">
      <c r="A15" s="16" t="s">
        <v>4</v>
      </c>
      <c r="B15" s="17" t="s">
        <v>5</v>
      </c>
      <c r="C15" s="18" t="s">
        <v>6</v>
      </c>
    </row>
    <row r="16" spans="1:4" x14ac:dyDescent="0.2">
      <c r="A16" s="19">
        <v>1</v>
      </c>
      <c r="B16" s="20">
        <v>2</v>
      </c>
      <c r="C16" s="21">
        <v>3</v>
      </c>
    </row>
    <row r="17" spans="1:4" x14ac:dyDescent="0.2">
      <c r="A17" s="22">
        <v>1</v>
      </c>
      <c r="B17" s="23" t="s">
        <v>7</v>
      </c>
      <c r="C17" s="24">
        <f>SUM(C18:C22)</f>
        <v>3755.1269222377105</v>
      </c>
    </row>
    <row r="18" spans="1:4" ht="42.75" x14ac:dyDescent="0.2">
      <c r="A18" s="22" t="s">
        <v>8</v>
      </c>
      <c r="B18" s="25" t="s">
        <v>9</v>
      </c>
      <c r="C18" s="26">
        <f>[9]С1!F12</f>
        <v>759.67438872744583</v>
      </c>
    </row>
    <row r="19" spans="1:4" ht="42.75" x14ac:dyDescent="0.2">
      <c r="A19" s="22" t="s">
        <v>10</v>
      </c>
      <c r="B19" s="25" t="s">
        <v>11</v>
      </c>
      <c r="C19" s="26">
        <f>[9]С2!F12</f>
        <v>2000.3680279558928</v>
      </c>
    </row>
    <row r="20" spans="1:4" ht="30" x14ac:dyDescent="0.2">
      <c r="A20" s="22" t="s">
        <v>12</v>
      </c>
      <c r="B20" s="25" t="s">
        <v>13</v>
      </c>
      <c r="C20" s="26">
        <f>[9]С3!F12</f>
        <v>475.74490066496389</v>
      </c>
    </row>
    <row r="21" spans="1:4" ht="42.75" x14ac:dyDescent="0.2">
      <c r="A21" s="22" t="s">
        <v>14</v>
      </c>
      <c r="B21" s="25" t="s">
        <v>15</v>
      </c>
      <c r="C21" s="26">
        <f>[9]С4!F12</f>
        <v>445.70966523768817</v>
      </c>
    </row>
    <row r="22" spans="1:4" ht="30" x14ac:dyDescent="0.2">
      <c r="A22" s="22" t="s">
        <v>16</v>
      </c>
      <c r="B22" s="25" t="s">
        <v>17</v>
      </c>
      <c r="C22" s="26">
        <f>[9]С5!F12</f>
        <v>73.629939651719823</v>
      </c>
    </row>
    <row r="23" spans="1:4" ht="43.5" thickBot="1" x14ac:dyDescent="0.25">
      <c r="A23" s="27" t="s">
        <v>18</v>
      </c>
      <c r="B23" s="140" t="s">
        <v>19</v>
      </c>
      <c r="C23" s="28" t="str">
        <f>[9]С6!F12</f>
        <v>-</v>
      </c>
    </row>
    <row r="24" spans="1:4" ht="13.5" thickBot="1" x14ac:dyDescent="0.25">
      <c r="A24" s="3"/>
    </row>
    <row r="25" spans="1:4" x14ac:dyDescent="0.2">
      <c r="A25" s="16" t="s">
        <v>4</v>
      </c>
      <c r="B25" s="29" t="s">
        <v>5</v>
      </c>
      <c r="C25" s="30" t="s">
        <v>6</v>
      </c>
      <c r="D25" s="143" t="s">
        <v>259</v>
      </c>
    </row>
    <row r="26" spans="1:4" x14ac:dyDescent="0.2">
      <c r="A26" s="19">
        <v>1</v>
      </c>
      <c r="B26" s="31">
        <v>2</v>
      </c>
      <c r="C26" s="32">
        <v>3</v>
      </c>
      <c r="D26" s="144">
        <v>4</v>
      </c>
    </row>
    <row r="27" spans="1:4" ht="30" customHeight="1" x14ac:dyDescent="0.2">
      <c r="A27" s="22">
        <v>1</v>
      </c>
      <c r="B27" s="164" t="s">
        <v>20</v>
      </c>
      <c r="C27" s="164"/>
      <c r="D27" s="169"/>
    </row>
    <row r="28" spans="1:4" x14ac:dyDescent="0.2">
      <c r="A28" s="22" t="s">
        <v>8</v>
      </c>
      <c r="B28" s="33" t="s">
        <v>21</v>
      </c>
      <c r="C28" s="34">
        <f>[9]С1.1!E16</f>
        <v>5100</v>
      </c>
      <c r="D28" s="145">
        <f>[9]С1.1!F16</f>
        <v>0</v>
      </c>
    </row>
    <row r="29" spans="1:4" ht="42.75" x14ac:dyDescent="0.2">
      <c r="A29" s="22" t="s">
        <v>10</v>
      </c>
      <c r="B29" s="33" t="s">
        <v>22</v>
      </c>
      <c r="C29" s="34">
        <f>[9]С1.1!E27</f>
        <v>3413.25</v>
      </c>
      <c r="D29" s="145">
        <f>IF([9]С1.1!E23=[9]С1.1!I9,[9]С1.1!F24,IF([9]С1.1!E23=[9]С1.1!I10,[9]С1.1!I10,IF([9]С1.1!E23=[9]С1.1!I11,[9]С1.3!G9,IF([9]С1.1!E23=[9]С1.1!I12,[9]С1.1!F25,IF([9]С1.1!E23=[9]С1.1!I13,[9]С1.1!F26,"")))))</f>
        <v>0</v>
      </c>
    </row>
    <row r="30" spans="1:4" ht="267.75" x14ac:dyDescent="0.2">
      <c r="A30" s="22" t="s">
        <v>12</v>
      </c>
      <c r="B30" s="33" t="s">
        <v>23</v>
      </c>
      <c r="C30" s="35">
        <f>[9]С1.1!E19</f>
        <v>-0.19900000000000001</v>
      </c>
      <c r="D30" s="145" t="str">
        <f>[9]С1.1!F19</f>
        <v xml:space="preserve">Прогноз социально-экономического развития Российской Федерации на 2023 год и на плановый период 2024 и 2025 годов (размещен на официальном сайте Министерства экономического развития Российской Федерации (далее -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"Добыча полезных ископаемых (Раздел B)", строка "Добыча угля (05)", (показатель "ИЦП") </v>
      </c>
    </row>
    <row r="31" spans="1:4" ht="229.5" x14ac:dyDescent="0.2">
      <c r="A31" s="22" t="s">
        <v>14</v>
      </c>
      <c r="B31" s="33" t="s">
        <v>24</v>
      </c>
      <c r="C31" s="35">
        <f>[9]С1.1!E20</f>
        <v>5.7000000000000002E-2</v>
      </c>
      <c r="D31" s="145" t="str">
        <f>[9]С1.1!F20</f>
        <v xml:space="preserve">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"Добыча полезных ископаемых (Раздел B)", строка "Добыча угля (05)", (показатель "ИЦП") </v>
      </c>
    </row>
    <row r="32" spans="1:4" ht="30" x14ac:dyDescent="0.2">
      <c r="A32" s="22" t="s">
        <v>16</v>
      </c>
      <c r="B32" s="36" t="s">
        <v>25</v>
      </c>
      <c r="C32" s="37">
        <f>[9]С1!F13</f>
        <v>176.4</v>
      </c>
      <c r="D32" s="146" t="s">
        <v>260</v>
      </c>
    </row>
    <row r="33" spans="1:4" x14ac:dyDescent="0.2">
      <c r="A33" s="22" t="s">
        <v>18</v>
      </c>
      <c r="B33" s="36" t="s">
        <v>26</v>
      </c>
      <c r="C33" s="38">
        <f>[9]С1!F16</f>
        <v>7000</v>
      </c>
      <c r="D33" s="147" t="s">
        <v>261</v>
      </c>
    </row>
    <row r="34" spans="1:4" ht="14.25" x14ac:dyDescent="0.2">
      <c r="A34" s="22" t="s">
        <v>27</v>
      </c>
      <c r="B34" s="39" t="s">
        <v>28</v>
      </c>
      <c r="C34" s="40">
        <f>[9]С1!F17</f>
        <v>0.72857142857142854</v>
      </c>
      <c r="D34" s="145"/>
    </row>
    <row r="35" spans="1:4" ht="15.75" x14ac:dyDescent="0.2">
      <c r="A35" s="41" t="s">
        <v>29</v>
      </c>
      <c r="B35" s="42" t="s">
        <v>30</v>
      </c>
      <c r="C35" s="40">
        <f>[9]С1!F20</f>
        <v>21.588411179999994</v>
      </c>
      <c r="D35" s="145"/>
    </row>
    <row r="36" spans="1:4" ht="15.75" x14ac:dyDescent="0.2">
      <c r="A36" s="41" t="s">
        <v>31</v>
      </c>
      <c r="B36" s="43" t="s">
        <v>32</v>
      </c>
      <c r="C36" s="40">
        <f>[9]С1!F21</f>
        <v>20.818139999999996</v>
      </c>
      <c r="D36" s="145"/>
    </row>
    <row r="37" spans="1:4" ht="14.25" x14ac:dyDescent="0.2">
      <c r="A37" s="41" t="s">
        <v>33</v>
      </c>
      <c r="B37" s="44" t="s">
        <v>34</v>
      </c>
      <c r="C37" s="40">
        <f>[9]С1!F22</f>
        <v>1.0369999999999999</v>
      </c>
      <c r="D37" s="145" t="s">
        <v>262</v>
      </c>
    </row>
    <row r="38" spans="1:4" ht="53.25" thickBot="1" x14ac:dyDescent="0.25">
      <c r="A38" s="27" t="s">
        <v>35</v>
      </c>
      <c r="B38" s="45" t="s">
        <v>36</v>
      </c>
      <c r="C38" s="46">
        <f>[9]С1!F23</f>
        <v>1.0469999999999999</v>
      </c>
      <c r="D38" s="148" t="s">
        <v>263</v>
      </c>
    </row>
    <row r="39" spans="1:4" ht="13.5" thickBot="1" x14ac:dyDescent="0.25">
      <c r="A39" s="47"/>
      <c r="B39" s="48"/>
      <c r="C39" s="49"/>
      <c r="D39" s="149"/>
    </row>
    <row r="40" spans="1:4" ht="30" customHeight="1" x14ac:dyDescent="0.2">
      <c r="A40" s="50" t="s">
        <v>37</v>
      </c>
      <c r="B40" s="165" t="s">
        <v>38</v>
      </c>
      <c r="C40" s="165"/>
      <c r="D40" s="170"/>
    </row>
    <row r="41" spans="1:4" ht="25.5" x14ac:dyDescent="0.2">
      <c r="A41" s="22" t="s">
        <v>39</v>
      </c>
      <c r="B41" s="36" t="s">
        <v>40</v>
      </c>
      <c r="C41" s="51" t="str">
        <f>[9]С2.1!E12</f>
        <v>V</v>
      </c>
      <c r="D41" s="145" t="s">
        <v>264</v>
      </c>
    </row>
    <row r="42" spans="1:4" ht="242.25" x14ac:dyDescent="0.2">
      <c r="A42" s="22" t="s">
        <v>41</v>
      </c>
      <c r="B42" s="33" t="s">
        <v>42</v>
      </c>
      <c r="C42" s="51" t="str">
        <f>[9]С2.1!E13</f>
        <v>6 и менее баллов</v>
      </c>
      <c r="D42" s="145" t="str">
        <f>[9]С2.1!F13</f>
        <v xml:space="preserve"> Приложение А (обязательное) "Общее сейсмическое районирование территории Российской Федерации ОСР-2015. Список населенных пунктов Российской Федерации, расположенных в сейсмических районах, с указанием расчетной сейсмической интенсивности в баллах шкалы MSK-64 для средних грунтовых условий и трех степеней сейсмической опасности - A (10%), B (5%), C (1%) в течение 50 лет" к своду правил "СП 14.13330.2018 Строительство в сейсмических районах. Актуализир. редакция СНиП II-7-81".</v>
      </c>
    </row>
    <row r="43" spans="1:4" ht="165.75" x14ac:dyDescent="0.2">
      <c r="A43" s="22" t="s">
        <v>43</v>
      </c>
      <c r="B43" s="33" t="s">
        <v>44</v>
      </c>
      <c r="C43" s="51" t="str">
        <f>[9]С2.1!E14</f>
        <v>от 200 до 500</v>
      </c>
      <c r="D43" s="145" t="str">
        <f>[9]С2.1!F14</f>
        <v>Карта Российской Федерации в масштабе, позволяющем определить расстояние на транспортировку основных средств котельной, определяется как расстояние от границы системы теплоснабжения до границы ближайшего административного центра субъекта РФ с железнодорожным сообщением</v>
      </c>
    </row>
    <row r="44" spans="1:4" ht="25.5" x14ac:dyDescent="0.2">
      <c r="A44" s="22" t="s">
        <v>45</v>
      </c>
      <c r="B44" s="33" t="s">
        <v>46</v>
      </c>
      <c r="C44" s="52" t="str">
        <f>[9]С2.1!E15</f>
        <v>нет</v>
      </c>
      <c r="D44" s="145">
        <f>[9]С2.1!F15</f>
        <v>0</v>
      </c>
    </row>
    <row r="45" spans="1:4" ht="30" x14ac:dyDescent="0.2">
      <c r="A45" s="22" t="s">
        <v>47</v>
      </c>
      <c r="B45" s="33" t="s">
        <v>48</v>
      </c>
      <c r="C45" s="34">
        <f>[9]С2!F18</f>
        <v>35106.652004551666</v>
      </c>
      <c r="D45" s="146"/>
    </row>
    <row r="46" spans="1:4" ht="30" x14ac:dyDescent="0.2">
      <c r="A46" s="22" t="s">
        <v>49</v>
      </c>
      <c r="B46" s="53" t="s">
        <v>50</v>
      </c>
      <c r="C46" s="34">
        <f>IF([9]С2!F19&gt;0,[9]С2!F19,[9]С2!F20)</f>
        <v>23441.524932855718</v>
      </c>
      <c r="D46" s="145"/>
    </row>
    <row r="47" spans="1:4" ht="38.25" x14ac:dyDescent="0.2">
      <c r="A47" s="22" t="s">
        <v>51</v>
      </c>
      <c r="B47" s="54" t="s">
        <v>52</v>
      </c>
      <c r="C47" s="34">
        <f>[9]С2.1!E19</f>
        <v>-38</v>
      </c>
      <c r="D47" s="145" t="str">
        <f>CONCATENATE([9]С2.1!F19,"  ",[9]С2.1!F20)</f>
        <v xml:space="preserve">Схема теплоснабжения (расчетная температура наружного воздуха)  </v>
      </c>
    </row>
    <row r="48" spans="1:4" ht="25.5" x14ac:dyDescent="0.2">
      <c r="A48" s="22" t="s">
        <v>53</v>
      </c>
      <c r="B48" s="54" t="s">
        <v>54</v>
      </c>
      <c r="C48" s="34" t="str">
        <f>[9]С2.1!E22</f>
        <v>нет</v>
      </c>
      <c r="D48" s="150">
        <f>[9]С2.1!F22</f>
        <v>0</v>
      </c>
    </row>
    <row r="49" spans="1:4" ht="38.25" x14ac:dyDescent="0.2">
      <c r="A49" s="22" t="s">
        <v>55</v>
      </c>
      <c r="B49" s="55" t="s">
        <v>56</v>
      </c>
      <c r="C49" s="34">
        <f>[9]С2.2!E10</f>
        <v>1287</v>
      </c>
      <c r="D49" s="145" t="s">
        <v>265</v>
      </c>
    </row>
    <row r="50" spans="1:4" ht="25.5" x14ac:dyDescent="0.2">
      <c r="A50" s="22" t="s">
        <v>57</v>
      </c>
      <c r="B50" s="56" t="s">
        <v>58</v>
      </c>
      <c r="C50" s="34">
        <f>[9]С2.2!E12</f>
        <v>5.97</v>
      </c>
      <c r="D50" s="145" t="s">
        <v>266</v>
      </c>
    </row>
    <row r="51" spans="1:4" ht="52.5" x14ac:dyDescent="0.2">
      <c r="A51" s="22" t="s">
        <v>59</v>
      </c>
      <c r="B51" s="57" t="s">
        <v>60</v>
      </c>
      <c r="C51" s="34">
        <f>[9]С2.2!E13</f>
        <v>1</v>
      </c>
      <c r="D51" s="147" t="s">
        <v>261</v>
      </c>
    </row>
    <row r="52" spans="1:4" ht="27.75" x14ac:dyDescent="0.2">
      <c r="A52" s="22" t="s">
        <v>61</v>
      </c>
      <c r="B52" s="56" t="s">
        <v>62</v>
      </c>
      <c r="C52" s="34">
        <f>[9]С2.2!E14</f>
        <v>12104</v>
      </c>
      <c r="D52" s="145" t="s">
        <v>265</v>
      </c>
    </row>
    <row r="53" spans="1:4" ht="63.75" x14ac:dyDescent="0.2">
      <c r="A53" s="22" t="s">
        <v>63</v>
      </c>
      <c r="B53" s="57" t="s">
        <v>64</v>
      </c>
      <c r="C53" s="35">
        <f>[9]С2.2!E15</f>
        <v>4.8000000000000001E-2</v>
      </c>
      <c r="D53" s="145" t="s">
        <v>267</v>
      </c>
    </row>
    <row r="54" spans="1:4" ht="76.5" x14ac:dyDescent="0.2">
      <c r="A54" s="22" t="s">
        <v>65</v>
      </c>
      <c r="B54" s="57" t="s">
        <v>66</v>
      </c>
      <c r="C54" s="34">
        <f>[9]С2.2!E16</f>
        <v>1</v>
      </c>
      <c r="D54" s="145" t="s">
        <v>268</v>
      </c>
    </row>
    <row r="55" spans="1:4" ht="15.75" x14ac:dyDescent="0.2">
      <c r="A55" s="22" t="s">
        <v>67</v>
      </c>
      <c r="B55" s="58" t="s">
        <v>68</v>
      </c>
      <c r="C55" s="34">
        <f>[9]С2!F21</f>
        <v>1</v>
      </c>
      <c r="D55" s="146" t="s">
        <v>269</v>
      </c>
    </row>
    <row r="56" spans="1:4" ht="30" x14ac:dyDescent="0.2">
      <c r="A56" s="59" t="s">
        <v>69</v>
      </c>
      <c r="B56" s="33" t="s">
        <v>70</v>
      </c>
      <c r="C56" s="34">
        <f>[9]С2!F13</f>
        <v>183796.83936385796</v>
      </c>
      <c r="D56" s="146"/>
    </row>
    <row r="57" spans="1:4" ht="30" x14ac:dyDescent="0.2">
      <c r="A57" s="59" t="s">
        <v>71</v>
      </c>
      <c r="B57" s="58" t="s">
        <v>72</v>
      </c>
      <c r="C57" s="34">
        <f>[9]С2!F14</f>
        <v>113455</v>
      </c>
      <c r="D57" s="146" t="s">
        <v>260</v>
      </c>
    </row>
    <row r="58" spans="1:4" ht="15.75" x14ac:dyDescent="0.2">
      <c r="A58" s="59" t="s">
        <v>73</v>
      </c>
      <c r="B58" s="60" t="s">
        <v>74</v>
      </c>
      <c r="C58" s="40">
        <f>[9]С2!F15</f>
        <v>1.071</v>
      </c>
      <c r="D58" s="146" t="s">
        <v>270</v>
      </c>
    </row>
    <row r="59" spans="1:4" ht="15.75" x14ac:dyDescent="0.2">
      <c r="A59" s="59" t="s">
        <v>75</v>
      </c>
      <c r="B59" s="60" t="s">
        <v>76</v>
      </c>
      <c r="C59" s="40">
        <f>[9]С2!F16</f>
        <v>1</v>
      </c>
      <c r="D59" s="146" t="s">
        <v>269</v>
      </c>
    </row>
    <row r="60" spans="1:4" ht="17.25" x14ac:dyDescent="0.2">
      <c r="A60" s="59" t="s">
        <v>77</v>
      </c>
      <c r="B60" s="58" t="s">
        <v>78</v>
      </c>
      <c r="C60" s="34">
        <f>[9]С2!F17</f>
        <v>1.01</v>
      </c>
      <c r="D60" s="146" t="s">
        <v>271</v>
      </c>
    </row>
    <row r="61" spans="1:4" s="63" customFormat="1" ht="14.25" x14ac:dyDescent="0.2">
      <c r="A61" s="59" t="s">
        <v>79</v>
      </c>
      <c r="B61" s="61" t="s">
        <v>80</v>
      </c>
      <c r="C61" s="62">
        <f>[9]С2!F33</f>
        <v>10</v>
      </c>
      <c r="D61" s="146" t="s">
        <v>272</v>
      </c>
    </row>
    <row r="62" spans="1:4" ht="30" x14ac:dyDescent="0.2">
      <c r="A62" s="59" t="s">
        <v>81</v>
      </c>
      <c r="B62" s="64" t="s">
        <v>82</v>
      </c>
      <c r="C62" s="34">
        <f>[9]С2!F26</f>
        <v>2780.7867618428891</v>
      </c>
      <c r="D62" s="146"/>
    </row>
    <row r="63" spans="1:4" ht="165.75" x14ac:dyDescent="0.2">
      <c r="A63" s="59" t="s">
        <v>83</v>
      </c>
      <c r="B63" s="53" t="s">
        <v>84</v>
      </c>
      <c r="C63" s="34">
        <f>[9]С2!F27</f>
        <v>0.44209422600000003</v>
      </c>
      <c r="D63" s="145" t="str">
        <f>[9]С2.4!F12</f>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
    </row>
    <row r="64" spans="1:4" ht="17.25" x14ac:dyDescent="0.2">
      <c r="A64" s="59" t="s">
        <v>85</v>
      </c>
      <c r="B64" s="58" t="s">
        <v>86</v>
      </c>
      <c r="C64" s="62">
        <f>[9]С2!F28</f>
        <v>4200</v>
      </c>
      <c r="D64" s="146" t="s">
        <v>260</v>
      </c>
    </row>
    <row r="65" spans="1:4" ht="42.75" x14ac:dyDescent="0.2">
      <c r="A65" s="59" t="s">
        <v>87</v>
      </c>
      <c r="B65" s="33" t="s">
        <v>88</v>
      </c>
      <c r="C65" s="34">
        <f>[9]С2!F22</f>
        <v>38698.422798410109</v>
      </c>
      <c r="D65" s="146"/>
    </row>
    <row r="66" spans="1:4" ht="30" x14ac:dyDescent="0.2">
      <c r="A66" s="59" t="s">
        <v>89</v>
      </c>
      <c r="B66" s="60" t="s">
        <v>90</v>
      </c>
      <c r="C66" s="34">
        <f>[9]С2!F23</f>
        <v>1990</v>
      </c>
      <c r="D66" s="145" t="s">
        <v>273</v>
      </c>
    </row>
    <row r="67" spans="1:4" ht="30" x14ac:dyDescent="0.2">
      <c r="A67" s="59" t="s">
        <v>91</v>
      </c>
      <c r="B67" s="53" t="s">
        <v>92</v>
      </c>
      <c r="C67" s="34">
        <f>[9]С2.1!E27</f>
        <v>14307.876789999998</v>
      </c>
      <c r="D67" s="146"/>
    </row>
    <row r="68" spans="1:4" ht="38.25" x14ac:dyDescent="0.2">
      <c r="A68" s="59" t="s">
        <v>93</v>
      </c>
      <c r="B68" s="65" t="s">
        <v>94</v>
      </c>
      <c r="C68" s="52">
        <f>[9]С2.3!E21</f>
        <v>0</v>
      </c>
      <c r="D68" s="145">
        <f>[9]С2.3!F21</f>
        <v>0</v>
      </c>
    </row>
    <row r="69" spans="1:4" ht="25.5" x14ac:dyDescent="0.2">
      <c r="A69" s="59" t="s">
        <v>95</v>
      </c>
      <c r="B69" s="66" t="s">
        <v>96</v>
      </c>
      <c r="C69" s="67">
        <f>[9]С2.3!E11</f>
        <v>9.89</v>
      </c>
      <c r="D69" s="146" t="s">
        <v>274</v>
      </c>
    </row>
    <row r="70" spans="1:4" ht="25.5" x14ac:dyDescent="0.2">
      <c r="A70" s="59" t="s">
        <v>97</v>
      </c>
      <c r="B70" s="66" t="s">
        <v>98</v>
      </c>
      <c r="C70" s="62">
        <f>[9]С2.3!E13</f>
        <v>300</v>
      </c>
      <c r="D70" s="146" t="s">
        <v>274</v>
      </c>
    </row>
    <row r="71" spans="1:4" ht="25.5" x14ac:dyDescent="0.2">
      <c r="A71" s="59" t="s">
        <v>99</v>
      </c>
      <c r="B71" s="65" t="s">
        <v>100</v>
      </c>
      <c r="C71" s="68">
        <f>IF([9]С2.3!E22&gt;0,[9]С2.3!E22,[9]С2.3!E14)</f>
        <v>61211</v>
      </c>
      <c r="D71" s="145" t="str">
        <f>IF(C71=[9]С2.3!E14,"Таблица ТЭП (IV)",[9]С2.3!F22)</f>
        <v>Таблица ТЭП (IV)</v>
      </c>
    </row>
    <row r="72" spans="1:4" ht="38.25" x14ac:dyDescent="0.2">
      <c r="A72" s="59" t="s">
        <v>101</v>
      </c>
      <c r="B72" s="65" t="s">
        <v>102</v>
      </c>
      <c r="C72" s="68">
        <f>IF([9]С2.3!E23&gt;0,[9]С2.3!E23,[9]С2.3!E15)</f>
        <v>45675</v>
      </c>
      <c r="D72" s="145" t="str">
        <f>IF(C72=[9]С2.3!E15,"Таблица ТЭП (IV)",[9]С2.3!F23)</f>
        <v>Таблица ТЭП (IV)</v>
      </c>
    </row>
    <row r="73" spans="1:4" ht="30" x14ac:dyDescent="0.2">
      <c r="A73" s="59" t="s">
        <v>103</v>
      </c>
      <c r="B73" s="53" t="s">
        <v>104</v>
      </c>
      <c r="C73" s="34">
        <f>[9]С2.1!E28</f>
        <v>9541.9567200000001</v>
      </c>
      <c r="D73" s="146"/>
    </row>
    <row r="74" spans="1:4" ht="38.25" x14ac:dyDescent="0.2">
      <c r="A74" s="59" t="s">
        <v>105</v>
      </c>
      <c r="B74" s="65" t="s">
        <v>106</v>
      </c>
      <c r="C74" s="52">
        <f>[9]С2.3!E25</f>
        <v>0</v>
      </c>
      <c r="D74" s="145">
        <f>[9]С2.3!F25</f>
        <v>0</v>
      </c>
    </row>
    <row r="75" spans="1:4" ht="25.5" x14ac:dyDescent="0.2">
      <c r="A75" s="59" t="s">
        <v>107</v>
      </c>
      <c r="B75" s="66" t="s">
        <v>108</v>
      </c>
      <c r="C75" s="67">
        <f>[9]С2.3!E12</f>
        <v>0.56000000000000005</v>
      </c>
      <c r="D75" s="146" t="s">
        <v>274</v>
      </c>
    </row>
    <row r="76" spans="1:4" ht="25.5" x14ac:dyDescent="0.2">
      <c r="A76" s="59" t="s">
        <v>109</v>
      </c>
      <c r="B76" s="66" t="s">
        <v>98</v>
      </c>
      <c r="C76" s="62">
        <f>[9]С2.3!E13</f>
        <v>300</v>
      </c>
      <c r="D76" s="146" t="s">
        <v>274</v>
      </c>
    </row>
    <row r="77" spans="1:4" ht="25.5" x14ac:dyDescent="0.2">
      <c r="A77" s="59" t="s">
        <v>110</v>
      </c>
      <c r="B77" s="69" t="s">
        <v>111</v>
      </c>
      <c r="C77" s="68">
        <f>IF([9]С2.3!E26&gt;0,[9]С2.3!E26,[9]С2.3!E16)</f>
        <v>65637</v>
      </c>
      <c r="D77" s="145" t="str">
        <f>IF(C77=[9]С2.3!E16,"Таблица ТЭП (IV)",[9]С2.3!F26)</f>
        <v>Таблица ТЭП (IV)</v>
      </c>
    </row>
    <row r="78" spans="1:4" ht="38.25" x14ac:dyDescent="0.2">
      <c r="A78" s="59" t="s">
        <v>112</v>
      </c>
      <c r="B78" s="69" t="s">
        <v>113</v>
      </c>
      <c r="C78" s="68">
        <f>IF([9]С2.3!E27&gt;0,[9]С2.3!E27,[9]С2.3!E17)</f>
        <v>31684</v>
      </c>
      <c r="D78" s="145" t="str">
        <f>IF(C78=[9]С2.3!E17,"Таблица ТЭП (IV)",[9]С2.3!F27)</f>
        <v>Таблица ТЭП (IV)</v>
      </c>
    </row>
    <row r="79" spans="1:4" ht="17.25" x14ac:dyDescent="0.2">
      <c r="A79" s="59" t="s">
        <v>114</v>
      </c>
      <c r="B79" s="33" t="s">
        <v>115</v>
      </c>
      <c r="C79" s="35">
        <f>[9]С2!F29</f>
        <v>9.5962865259740182E-2</v>
      </c>
      <c r="D79" s="151"/>
    </row>
    <row r="80" spans="1:4" ht="30" x14ac:dyDescent="0.2">
      <c r="A80" s="59" t="s">
        <v>116</v>
      </c>
      <c r="B80" s="53" t="s">
        <v>117</v>
      </c>
      <c r="C80" s="70">
        <f>[9]С2!F30</f>
        <v>8.4029304029304031E-2</v>
      </c>
      <c r="D80" s="152" t="str">
        <f>[9]С2.6!G11</f>
        <v>Информация с официального сайта Банка России</v>
      </c>
    </row>
    <row r="81" spans="1:4" ht="17.25" x14ac:dyDescent="0.2">
      <c r="A81" s="59" t="s">
        <v>118</v>
      </c>
      <c r="B81" s="71" t="s">
        <v>119</v>
      </c>
      <c r="C81" s="35">
        <f>[9]С2!F31</f>
        <v>0.13880000000000001</v>
      </c>
      <c r="D81" s="146" t="s">
        <v>272</v>
      </c>
    </row>
    <row r="82" spans="1:4" s="63" customFormat="1" ht="18" thickBot="1" x14ac:dyDescent="0.25">
      <c r="A82" s="72" t="s">
        <v>120</v>
      </c>
      <c r="B82" s="73" t="s">
        <v>121</v>
      </c>
      <c r="C82" s="74">
        <f>[9]С2!F32</f>
        <v>0.12640000000000001</v>
      </c>
      <c r="D82" s="153" t="s">
        <v>272</v>
      </c>
    </row>
    <row r="83" spans="1:4" ht="13.5" thickBot="1" x14ac:dyDescent="0.25">
      <c r="A83" s="47"/>
      <c r="B83" s="75"/>
      <c r="C83" s="15"/>
      <c r="D83" s="154"/>
    </row>
    <row r="84" spans="1:4" s="63" customFormat="1" ht="30" customHeight="1" x14ac:dyDescent="0.2">
      <c r="A84" s="76" t="s">
        <v>122</v>
      </c>
      <c r="B84" s="165" t="s">
        <v>123</v>
      </c>
      <c r="C84" s="165"/>
      <c r="D84" s="170"/>
    </row>
    <row r="85" spans="1:4" s="63" customFormat="1" ht="30" x14ac:dyDescent="0.2">
      <c r="A85" s="77" t="s">
        <v>124</v>
      </c>
      <c r="B85" s="33" t="s">
        <v>125</v>
      </c>
      <c r="C85" s="34">
        <f>[9]С3!F14</f>
        <v>6117.6201782637581</v>
      </c>
      <c r="D85" s="145"/>
    </row>
    <row r="86" spans="1:4" s="63" customFormat="1" ht="42.75" x14ac:dyDescent="0.2">
      <c r="A86" s="77" t="s">
        <v>126</v>
      </c>
      <c r="B86" s="53" t="s">
        <v>127</v>
      </c>
      <c r="C86" s="78">
        <f>[9]С3!F15</f>
        <v>0.2</v>
      </c>
      <c r="D86" s="145">
        <f>[9]С3.1!F12</f>
        <v>0</v>
      </c>
    </row>
    <row r="87" spans="1:4" s="63" customFormat="1" ht="14.25" x14ac:dyDescent="0.2">
      <c r="A87" s="77" t="s">
        <v>128</v>
      </c>
      <c r="B87" s="79" t="s">
        <v>129</v>
      </c>
      <c r="C87" s="62">
        <f>[9]С3!F18</f>
        <v>15</v>
      </c>
      <c r="D87" s="145" t="s">
        <v>272</v>
      </c>
    </row>
    <row r="88" spans="1:4" s="63" customFormat="1" ht="17.25" x14ac:dyDescent="0.2">
      <c r="A88" s="77" t="s">
        <v>130</v>
      </c>
      <c r="B88" s="33" t="s">
        <v>131</v>
      </c>
      <c r="C88" s="34">
        <f>[9]С3!F19</f>
        <v>3778.1614077800232</v>
      </c>
      <c r="D88" s="145"/>
    </row>
    <row r="89" spans="1:4" s="63" customFormat="1" ht="55.5" x14ac:dyDescent="0.2">
      <c r="A89" s="77" t="s">
        <v>132</v>
      </c>
      <c r="B89" s="53" t="s">
        <v>133</v>
      </c>
      <c r="C89" s="80">
        <f>[9]С3!F20</f>
        <v>2.1999999999999999E-2</v>
      </c>
      <c r="D89" s="145">
        <f>[9]С3.1!F13</f>
        <v>0</v>
      </c>
    </row>
    <row r="90" spans="1:4" s="63" customFormat="1" ht="14.25" x14ac:dyDescent="0.2">
      <c r="A90" s="77" t="s">
        <v>134</v>
      </c>
      <c r="B90" s="58" t="s">
        <v>80</v>
      </c>
      <c r="C90" s="62">
        <f>[9]С3!F21</f>
        <v>10</v>
      </c>
      <c r="D90" s="145" t="s">
        <v>272</v>
      </c>
    </row>
    <row r="91" spans="1:4" s="63" customFormat="1" ht="17.25" x14ac:dyDescent="0.2">
      <c r="A91" s="77" t="s">
        <v>135</v>
      </c>
      <c r="B91" s="33" t="s">
        <v>136</v>
      </c>
      <c r="C91" s="34">
        <f>[9]С3!F22</f>
        <v>8.3423602855286667</v>
      </c>
      <c r="D91" s="145"/>
    </row>
    <row r="92" spans="1:4" s="63" customFormat="1" ht="55.5" x14ac:dyDescent="0.2">
      <c r="A92" s="77" t="s">
        <v>137</v>
      </c>
      <c r="B92" s="53" t="s">
        <v>138</v>
      </c>
      <c r="C92" s="80">
        <f>[9]С3!F23</f>
        <v>3.0000000000000001E-3</v>
      </c>
      <c r="D92" s="145">
        <f>[9]С3.1!F14</f>
        <v>0</v>
      </c>
    </row>
    <row r="93" spans="1:4" s="63" customFormat="1" ht="27.75" thickBot="1" x14ac:dyDescent="0.25">
      <c r="A93" s="81" t="s">
        <v>139</v>
      </c>
      <c r="B93" s="82" t="s">
        <v>140</v>
      </c>
      <c r="C93" s="83">
        <f>[9]С3!F24</f>
        <v>2780.7867618428891</v>
      </c>
      <c r="D93" s="148"/>
    </row>
    <row r="94" spans="1:4" ht="13.5" thickBot="1" x14ac:dyDescent="0.25">
      <c r="A94" s="47"/>
      <c r="B94" s="75"/>
      <c r="C94" s="15"/>
      <c r="D94" s="154"/>
    </row>
    <row r="95" spans="1:4" ht="30" customHeight="1" x14ac:dyDescent="0.2">
      <c r="A95" s="84" t="s">
        <v>141</v>
      </c>
      <c r="B95" s="165" t="s">
        <v>142</v>
      </c>
      <c r="C95" s="165"/>
      <c r="D95" s="170"/>
    </row>
    <row r="96" spans="1:4" ht="30" x14ac:dyDescent="0.2">
      <c r="A96" s="59" t="s">
        <v>143</v>
      </c>
      <c r="B96" s="33" t="s">
        <v>144</v>
      </c>
      <c r="C96" s="34">
        <f>[9]С4!F16</f>
        <v>1652.5</v>
      </c>
      <c r="D96" s="145"/>
    </row>
    <row r="97" spans="1:4" ht="30" x14ac:dyDescent="0.2">
      <c r="A97" s="59" t="s">
        <v>145</v>
      </c>
      <c r="B97" s="58" t="s">
        <v>146</v>
      </c>
      <c r="C97" s="34">
        <f>[9]С4!F17</f>
        <v>73547</v>
      </c>
      <c r="D97" s="145" t="s">
        <v>260</v>
      </c>
    </row>
    <row r="98" spans="1:4" ht="17.25" x14ac:dyDescent="0.2">
      <c r="A98" s="59" t="s">
        <v>147</v>
      </c>
      <c r="B98" s="58" t="s">
        <v>148</v>
      </c>
      <c r="C98" s="40">
        <f>[9]С4!F18</f>
        <v>0.02</v>
      </c>
      <c r="D98" s="145" t="s">
        <v>260</v>
      </c>
    </row>
    <row r="99" spans="1:4" ht="30" x14ac:dyDescent="0.2">
      <c r="A99" s="59" t="s">
        <v>149</v>
      </c>
      <c r="B99" s="58" t="s">
        <v>150</v>
      </c>
      <c r="C99" s="34">
        <f>[9]С4!F19</f>
        <v>12104</v>
      </c>
      <c r="D99" s="145" t="s">
        <v>275</v>
      </c>
    </row>
    <row r="100" spans="1:4" ht="31.5" x14ac:dyDescent="0.2">
      <c r="A100" s="59" t="s">
        <v>151</v>
      </c>
      <c r="B100" s="58" t="s">
        <v>152</v>
      </c>
      <c r="C100" s="40">
        <f>[9]С4!F20</f>
        <v>1.4999999999999999E-2</v>
      </c>
      <c r="D100" s="145" t="s">
        <v>275</v>
      </c>
    </row>
    <row r="101" spans="1:4" ht="30" x14ac:dyDescent="0.2">
      <c r="A101" s="59" t="s">
        <v>153</v>
      </c>
      <c r="B101" s="33" t="s">
        <v>154</v>
      </c>
      <c r="C101" s="34">
        <f>[9]С4!F21</f>
        <v>1933.1949342509995</v>
      </c>
      <c r="D101" s="145"/>
    </row>
    <row r="102" spans="1:4" ht="24" customHeight="1" x14ac:dyDescent="0.2">
      <c r="A102" s="59" t="s">
        <v>155</v>
      </c>
      <c r="B102" s="53" t="s">
        <v>156</v>
      </c>
      <c r="C102" s="85">
        <f>IF([9]С4.2!F8="да",[9]С4.2!D21,[9]С4.2!D15)</f>
        <v>0</v>
      </c>
      <c r="D102" s="145"/>
    </row>
    <row r="103" spans="1:4" ht="68.25" x14ac:dyDescent="0.2">
      <c r="A103" s="59" t="s">
        <v>157</v>
      </c>
      <c r="B103" s="53" t="s">
        <v>158</v>
      </c>
      <c r="C103" s="34">
        <f>[9]С4!F22</f>
        <v>3.6112641666666665</v>
      </c>
      <c r="D103" s="145">
        <f>IF([9]С4.2!F8="да",[9]С4.2!E21,[9]С4.2!E15)</f>
        <v>0</v>
      </c>
    </row>
    <row r="104" spans="1:4" ht="30" x14ac:dyDescent="0.2">
      <c r="A104" s="59" t="s">
        <v>159</v>
      </c>
      <c r="B104" s="58" t="s">
        <v>160</v>
      </c>
      <c r="C104" s="34">
        <f>[9]С4!F23</f>
        <v>180</v>
      </c>
      <c r="D104" s="145" t="s">
        <v>273</v>
      </c>
    </row>
    <row r="105" spans="1:4" ht="14.25" x14ac:dyDescent="0.2">
      <c r="A105" s="59" t="s">
        <v>161</v>
      </c>
      <c r="B105" s="53" t="s">
        <v>162</v>
      </c>
      <c r="C105" s="34">
        <f>[9]С4!F24</f>
        <v>8497.1999999999989</v>
      </c>
      <c r="D105" s="145" t="s">
        <v>260</v>
      </c>
    </row>
    <row r="106" spans="1:4" ht="14.25" x14ac:dyDescent="0.2">
      <c r="A106" s="59" t="s">
        <v>163</v>
      </c>
      <c r="B106" s="58" t="s">
        <v>164</v>
      </c>
      <c r="C106" s="40">
        <f>[9]С4!F25</f>
        <v>0.35</v>
      </c>
      <c r="D106" s="145" t="s">
        <v>276</v>
      </c>
    </row>
    <row r="107" spans="1:4" ht="17.25" x14ac:dyDescent="0.2">
      <c r="A107" s="59" t="s">
        <v>165</v>
      </c>
      <c r="B107" s="33" t="s">
        <v>166</v>
      </c>
      <c r="C107" s="34">
        <f>[9]С4!F26</f>
        <v>85.988129999999998</v>
      </c>
      <c r="D107" s="145"/>
    </row>
    <row r="108" spans="1:4" ht="25.5" x14ac:dyDescent="0.2">
      <c r="A108" s="59" t="s">
        <v>167</v>
      </c>
      <c r="B108" s="53" t="s">
        <v>94</v>
      </c>
      <c r="C108" s="85">
        <f>[9]С4.3!E16</f>
        <v>0</v>
      </c>
      <c r="D108" s="145">
        <f>[9]С4.3!F16</f>
        <v>0</v>
      </c>
    </row>
    <row r="109" spans="1:4" ht="25.5" x14ac:dyDescent="0.2">
      <c r="A109" s="59" t="s">
        <v>168</v>
      </c>
      <c r="B109" s="53" t="s">
        <v>169</v>
      </c>
      <c r="C109" s="34">
        <f>[9]С4.3!E17</f>
        <v>20.350000000000001</v>
      </c>
      <c r="D109" s="150">
        <f>[9]С4.3!F17</f>
        <v>0</v>
      </c>
    </row>
    <row r="110" spans="1:4" ht="38.25" x14ac:dyDescent="0.2">
      <c r="A110" s="59" t="s">
        <v>170</v>
      </c>
      <c r="B110" s="53" t="s">
        <v>106</v>
      </c>
      <c r="C110" s="85">
        <f>[9]С4.3!E18</f>
        <v>0</v>
      </c>
      <c r="D110" s="145">
        <f>[9]С4.3!F18</f>
        <v>0</v>
      </c>
    </row>
    <row r="111" spans="1:4" x14ac:dyDescent="0.2">
      <c r="A111" s="59" t="s">
        <v>171</v>
      </c>
      <c r="B111" s="53" t="s">
        <v>172</v>
      </c>
      <c r="C111" s="34">
        <f>[9]С4.3!E19</f>
        <v>71.67</v>
      </c>
      <c r="D111" s="150">
        <f>[9]С4.3!F19</f>
        <v>0</v>
      </c>
    </row>
    <row r="112" spans="1:4" x14ac:dyDescent="0.2">
      <c r="A112" s="59" t="s">
        <v>173</v>
      </c>
      <c r="B112" s="58" t="s">
        <v>174</v>
      </c>
      <c r="C112" s="34">
        <f>[9]С4.3!E11</f>
        <v>1871</v>
      </c>
      <c r="D112" s="145" t="s">
        <v>260</v>
      </c>
    </row>
    <row r="113" spans="1:4" x14ac:dyDescent="0.2">
      <c r="A113" s="59" t="s">
        <v>175</v>
      </c>
      <c r="B113" s="58" t="s">
        <v>176</v>
      </c>
      <c r="C113" s="52">
        <f>[9]С4.3!E12</f>
        <v>1636</v>
      </c>
      <c r="D113" s="145" t="s">
        <v>260</v>
      </c>
    </row>
    <row r="114" spans="1:4" x14ac:dyDescent="0.2">
      <c r="A114" s="59" t="s">
        <v>177</v>
      </c>
      <c r="B114" s="58" t="s">
        <v>178</v>
      </c>
      <c r="C114" s="52">
        <f>[9]С4.3!E13</f>
        <v>204</v>
      </c>
      <c r="D114" s="145" t="s">
        <v>260</v>
      </c>
    </row>
    <row r="115" spans="1:4" ht="30" x14ac:dyDescent="0.2">
      <c r="A115" s="59" t="s">
        <v>179</v>
      </c>
      <c r="B115" s="33" t="s">
        <v>180</v>
      </c>
      <c r="C115" s="34">
        <f>[9]С4!F27</f>
        <v>1291.2863994686898</v>
      </c>
      <c r="D115" s="145"/>
    </row>
    <row r="116" spans="1:4" ht="25.5" x14ac:dyDescent="0.2">
      <c r="A116" s="59" t="s">
        <v>181</v>
      </c>
      <c r="B116" s="53" t="s">
        <v>182</v>
      </c>
      <c r="C116" s="34">
        <f>[9]С4!F28</f>
        <v>991.77142816335618</v>
      </c>
      <c r="D116" s="150"/>
    </row>
    <row r="117" spans="1:4" ht="42.75" x14ac:dyDescent="0.2">
      <c r="A117" s="59" t="s">
        <v>183</v>
      </c>
      <c r="B117" s="53" t="s">
        <v>184</v>
      </c>
      <c r="C117" s="34">
        <f>[9]С4!F29</f>
        <v>299.51497130533357</v>
      </c>
      <c r="D117" s="145"/>
    </row>
    <row r="118" spans="1:4" ht="30" x14ac:dyDescent="0.2">
      <c r="A118" s="59" t="s">
        <v>185</v>
      </c>
      <c r="B118" s="39" t="s">
        <v>186</v>
      </c>
      <c r="C118" s="34">
        <f>[9]С4!F30</f>
        <v>1846.1709738656207</v>
      </c>
      <c r="D118" s="145"/>
    </row>
    <row r="119" spans="1:4" ht="42.75" x14ac:dyDescent="0.2">
      <c r="A119" s="59" t="s">
        <v>187</v>
      </c>
      <c r="B119" s="86" t="s">
        <v>188</v>
      </c>
      <c r="C119" s="34">
        <f>[9]С4!F33</f>
        <v>1124.091225525967</v>
      </c>
      <c r="D119" s="145"/>
    </row>
    <row r="120" spans="1:4" ht="30" x14ac:dyDescent="0.2">
      <c r="A120" s="59" t="s">
        <v>189</v>
      </c>
      <c r="B120" s="87" t="s">
        <v>190</v>
      </c>
      <c r="C120" s="34">
        <f>[9]С4!F35</f>
        <v>17.040680999999999</v>
      </c>
      <c r="D120" s="150"/>
    </row>
    <row r="121" spans="1:4" ht="14.25" x14ac:dyDescent="0.2">
      <c r="A121" s="59" t="s">
        <v>191</v>
      </c>
      <c r="B121" s="56" t="s">
        <v>192</v>
      </c>
      <c r="C121" s="34">
        <f>[9]С4!F36</f>
        <v>14319.9</v>
      </c>
      <c r="D121" s="145" t="s">
        <v>277</v>
      </c>
    </row>
    <row r="122" spans="1:4" ht="28.5" thickBot="1" x14ac:dyDescent="0.25">
      <c r="A122" s="72" t="s">
        <v>193</v>
      </c>
      <c r="B122" s="88" t="s">
        <v>194</v>
      </c>
      <c r="C122" s="83">
        <f>[9]С4!F37</f>
        <v>1.19</v>
      </c>
      <c r="D122" s="148" t="str">
        <f>[9]С4.1!F12</f>
        <v>пп № 274 от 01.03.2022</v>
      </c>
    </row>
    <row r="123" spans="1:4" s="89" customFormat="1" ht="13.5" thickBot="1" x14ac:dyDescent="0.25">
      <c r="A123" s="47"/>
      <c r="B123" s="75"/>
      <c r="C123" s="15"/>
      <c r="D123" s="154"/>
    </row>
    <row r="124" spans="1:4" s="63" customFormat="1" ht="30" customHeight="1" x14ac:dyDescent="0.2">
      <c r="A124" s="76" t="s">
        <v>195</v>
      </c>
      <c r="B124" s="165" t="s">
        <v>196</v>
      </c>
      <c r="C124" s="165"/>
      <c r="D124" s="170"/>
    </row>
    <row r="125" spans="1:4" ht="16.5" thickBot="1" x14ac:dyDescent="0.25">
      <c r="A125" s="27" t="s">
        <v>197</v>
      </c>
      <c r="B125" s="90" t="s">
        <v>198</v>
      </c>
      <c r="C125" s="83">
        <f>[9]С5!F17</f>
        <v>0.02</v>
      </c>
      <c r="D125" s="155" t="s">
        <v>261</v>
      </c>
    </row>
    <row r="126" spans="1:4" s="89" customFormat="1" ht="13.5" thickBot="1" x14ac:dyDescent="0.25">
      <c r="A126" s="47"/>
      <c r="B126" s="75"/>
      <c r="C126" s="15"/>
      <c r="D126" s="154"/>
    </row>
    <row r="127" spans="1:4" ht="42.75" customHeight="1" x14ac:dyDescent="0.2">
      <c r="A127" s="84" t="s">
        <v>199</v>
      </c>
      <c r="B127" s="166" t="s">
        <v>200</v>
      </c>
      <c r="C127" s="166"/>
      <c r="D127" s="171"/>
    </row>
    <row r="128" spans="1:4" ht="68.25" x14ac:dyDescent="0.2">
      <c r="A128" s="59" t="s">
        <v>201</v>
      </c>
      <c r="B128" s="91" t="s">
        <v>202</v>
      </c>
      <c r="C128" s="34" t="s">
        <v>203</v>
      </c>
      <c r="D128" s="146" t="s">
        <v>261</v>
      </c>
    </row>
    <row r="129" spans="1:5" ht="42.75" hidden="1" x14ac:dyDescent="0.2">
      <c r="A129" s="59" t="s">
        <v>204</v>
      </c>
      <c r="B129" s="86" t="s">
        <v>205</v>
      </c>
      <c r="C129" s="92"/>
      <c r="D129" s="145"/>
    </row>
    <row r="130" spans="1:5" ht="69" thickBot="1" x14ac:dyDescent="0.25">
      <c r="A130" s="72" t="s">
        <v>206</v>
      </c>
      <c r="B130" s="93" t="s">
        <v>207</v>
      </c>
      <c r="C130" s="94" t="s">
        <v>203</v>
      </c>
      <c r="D130" s="153" t="s">
        <v>261</v>
      </c>
    </row>
    <row r="131" spans="1:5" ht="62.25" hidden="1" customHeight="1" x14ac:dyDescent="0.2">
      <c r="A131" s="95" t="s">
        <v>208</v>
      </c>
      <c r="B131" s="96" t="s">
        <v>209</v>
      </c>
      <c r="C131" s="97"/>
      <c r="D131" s="156"/>
    </row>
    <row r="132" spans="1:5" ht="68.25" hidden="1" x14ac:dyDescent="0.2">
      <c r="A132" s="59" t="s">
        <v>210</v>
      </c>
      <c r="B132" s="86" t="s">
        <v>211</v>
      </c>
      <c r="C132" s="35"/>
      <c r="D132" s="145"/>
    </row>
    <row r="133" spans="1:5" ht="69" hidden="1" thickBot="1" x14ac:dyDescent="0.25">
      <c r="A133" s="72" t="s">
        <v>212</v>
      </c>
      <c r="B133" s="98" t="s">
        <v>213</v>
      </c>
      <c r="C133" s="74"/>
      <c r="D133" s="148"/>
    </row>
    <row r="134" spans="1:5" s="89" customFormat="1" ht="13.5" thickBot="1" x14ac:dyDescent="0.25">
      <c r="A134" s="47"/>
      <c r="B134" s="75"/>
      <c r="C134" s="15"/>
      <c r="D134" s="154"/>
    </row>
    <row r="135" spans="1:5" ht="26.25" customHeight="1" x14ac:dyDescent="0.2">
      <c r="A135" s="84" t="s">
        <v>214</v>
      </c>
      <c r="B135" s="99" t="s">
        <v>215</v>
      </c>
      <c r="C135" s="100">
        <f>[9]С2!F37</f>
        <v>20.818139999999996</v>
      </c>
      <c r="D135" s="157"/>
    </row>
    <row r="136" spans="1:5" ht="14.25" x14ac:dyDescent="0.2">
      <c r="A136" s="59" t="s">
        <v>216</v>
      </c>
      <c r="B136" s="101" t="s">
        <v>217</v>
      </c>
      <c r="C136" s="34">
        <f>[9]С2!F38</f>
        <v>7</v>
      </c>
      <c r="D136" s="145" t="s">
        <v>260</v>
      </c>
    </row>
    <row r="137" spans="1:5" ht="17.25" x14ac:dyDescent="0.2">
      <c r="A137" s="59" t="s">
        <v>218</v>
      </c>
      <c r="B137" s="101" t="s">
        <v>219</v>
      </c>
      <c r="C137" s="34">
        <f>[9]С2!F40</f>
        <v>0.97</v>
      </c>
      <c r="D137" s="145" t="s">
        <v>260</v>
      </c>
    </row>
    <row r="138" spans="1:5" ht="15" thickBot="1" x14ac:dyDescent="0.25">
      <c r="A138" s="72" t="s">
        <v>220</v>
      </c>
      <c r="B138" s="102" t="s">
        <v>221</v>
      </c>
      <c r="C138" s="46">
        <f>[9]С2!F42</f>
        <v>0.35</v>
      </c>
      <c r="D138" s="148" t="s">
        <v>276</v>
      </c>
    </row>
    <row r="139" spans="1:5" s="89" customFormat="1" ht="13.5" thickBot="1" x14ac:dyDescent="0.25">
      <c r="A139" s="47"/>
      <c r="B139" s="75"/>
      <c r="C139" s="15"/>
      <c r="D139" s="154"/>
    </row>
    <row r="140" spans="1:5" ht="409.5" x14ac:dyDescent="0.2">
      <c r="A140" s="84" t="s">
        <v>222</v>
      </c>
      <c r="B140" s="103" t="s">
        <v>223</v>
      </c>
      <c r="C140" s="104">
        <f>[9]С2!F35</f>
        <v>1.4976266307379205</v>
      </c>
      <c r="D140" s="158" t="str">
        <f>[9]С2.5!D15</f>
        <v>на 2020: Прогноз социально-экономического развития Российской Федерации на 2022 год и на плановый период 2023 и 2024 годов (размещен на официальном сайте Минэкономразвития России 30.09.2021): файл в формате Microsoft Excel «12. Дефляторы базовый», таблица «Прогноз индексов цен производителей и индексов-дефляторов по видам экономической деятельности, в % г/г (Базовый вариант)», отрасль «Промышленность (BСDE)», (показатель «ИЦП»)
на 2021-2023 годы: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отрасль «Промышленность (BСDE)», (показатель «ИЦП»)</v>
      </c>
      <c r="E140" s="89"/>
    </row>
    <row r="141" spans="1:5" ht="22.7" customHeight="1" thickBot="1" x14ac:dyDescent="0.25">
      <c r="A141" s="72" t="s">
        <v>224</v>
      </c>
      <c r="B141" s="161" t="s">
        <v>225</v>
      </c>
      <c r="C141" s="161"/>
      <c r="D141" s="168"/>
      <c r="E141" s="89"/>
    </row>
    <row r="142" spans="1:5" ht="13.5" thickBot="1" x14ac:dyDescent="0.25">
      <c r="A142" s="105"/>
      <c r="B142" s="106" t="s">
        <v>226</v>
      </c>
      <c r="C142" s="107"/>
      <c r="D142" s="142"/>
      <c r="E142" s="89"/>
    </row>
    <row r="143" spans="1:5" x14ac:dyDescent="0.2">
      <c r="A143" s="105"/>
      <c r="B143" s="108">
        <v>2020</v>
      </c>
      <c r="C143" s="109">
        <f>[9]С2.5!$E$11</f>
        <v>-2.9000000000000026E-2</v>
      </c>
      <c r="D143" s="142"/>
      <c r="E143" s="89"/>
    </row>
    <row r="144" spans="1:5" x14ac:dyDescent="0.2">
      <c r="A144" s="105"/>
      <c r="B144" s="110">
        <f>B143+1</f>
        <v>2021</v>
      </c>
      <c r="C144" s="111">
        <f>[9]С2.5!$F$11</f>
        <v>0.245</v>
      </c>
      <c r="D144" s="142"/>
      <c r="E144" s="89"/>
    </row>
    <row r="145" spans="1:5" x14ac:dyDescent="0.2">
      <c r="A145" s="105"/>
      <c r="B145" s="110">
        <f t="shared" ref="B145:B208" si="0">B144+1</f>
        <v>2022</v>
      </c>
      <c r="C145" s="111">
        <f>[9]С2.5!$G$11</f>
        <v>0.114</v>
      </c>
      <c r="D145" s="142"/>
      <c r="E145" s="89"/>
    </row>
    <row r="146" spans="1:5" ht="13.5" thickBot="1" x14ac:dyDescent="0.25">
      <c r="A146" s="105"/>
      <c r="B146" s="112">
        <f t="shared" si="0"/>
        <v>2023</v>
      </c>
      <c r="C146" s="113">
        <f>[9]С2.5!$H$11</f>
        <v>2.4E-2</v>
      </c>
      <c r="D146" s="142"/>
      <c r="E146" s="89"/>
    </row>
    <row r="147" spans="1:5" x14ac:dyDescent="0.2">
      <c r="A147" s="105"/>
      <c r="B147" s="114">
        <f t="shared" si="0"/>
        <v>2024</v>
      </c>
      <c r="C147" s="115">
        <f>[9]С2.5!$I$11</f>
        <v>8.5999999999999993E-2</v>
      </c>
      <c r="D147" s="142"/>
      <c r="E147" s="89"/>
    </row>
    <row r="148" spans="1:5" hidden="1" x14ac:dyDescent="0.2">
      <c r="A148" s="105"/>
      <c r="B148" s="110">
        <f t="shared" si="0"/>
        <v>2025</v>
      </c>
      <c r="C148" s="111">
        <f>[9]С2.5!$J$11</f>
        <v>0.21215960863291</v>
      </c>
      <c r="D148" s="142"/>
      <c r="E148" s="89"/>
    </row>
    <row r="149" spans="1:5" hidden="1" x14ac:dyDescent="0.2">
      <c r="A149" s="105"/>
      <c r="B149" s="110">
        <f t="shared" si="0"/>
        <v>2026</v>
      </c>
      <c r="C149" s="111">
        <f>[9]С2.5!$K$11</f>
        <v>3.5813361771260002E-2</v>
      </c>
      <c r="D149" s="142"/>
      <c r="E149" s="89"/>
    </row>
    <row r="150" spans="1:5" hidden="1" x14ac:dyDescent="0.2">
      <c r="A150" s="105"/>
      <c r="B150" s="110">
        <f t="shared" si="0"/>
        <v>2027</v>
      </c>
      <c r="C150" s="111">
        <f>[9]С2.5!$L$11</f>
        <v>3.2682303599220003E-2</v>
      </c>
      <c r="D150" s="142"/>
      <c r="E150" s="89"/>
    </row>
    <row r="151" spans="1:5" hidden="1" x14ac:dyDescent="0.2">
      <c r="A151" s="105"/>
      <c r="B151" s="110">
        <f t="shared" si="0"/>
        <v>2028</v>
      </c>
      <c r="C151" s="111">
        <f>[9]С2.5!$M$11</f>
        <v>0</v>
      </c>
      <c r="D151" s="142"/>
      <c r="E151" s="89"/>
    </row>
    <row r="152" spans="1:5" hidden="1" x14ac:dyDescent="0.2">
      <c r="A152" s="105"/>
      <c r="B152" s="110">
        <f t="shared" si="0"/>
        <v>2029</v>
      </c>
      <c r="C152" s="111">
        <f>[9]С2.5!$N$11</f>
        <v>0</v>
      </c>
      <c r="D152" s="142"/>
      <c r="E152" s="89"/>
    </row>
    <row r="153" spans="1:5" hidden="1" x14ac:dyDescent="0.2">
      <c r="A153" s="105"/>
      <c r="B153" s="110">
        <f t="shared" si="0"/>
        <v>2030</v>
      </c>
      <c r="C153" s="111">
        <f>[9]С2.5!$O$11</f>
        <v>0</v>
      </c>
      <c r="D153" s="142"/>
      <c r="E153" s="89"/>
    </row>
    <row r="154" spans="1:5" hidden="1" x14ac:dyDescent="0.2">
      <c r="A154" s="105"/>
      <c r="B154" s="110">
        <f t="shared" si="0"/>
        <v>2031</v>
      </c>
      <c r="C154" s="111">
        <f>[9]С2.5!$P$11</f>
        <v>0</v>
      </c>
      <c r="D154" s="142"/>
      <c r="E154" s="89"/>
    </row>
    <row r="155" spans="1:5" hidden="1" x14ac:dyDescent="0.2">
      <c r="A155" s="89"/>
      <c r="B155" s="110">
        <f t="shared" si="0"/>
        <v>2032</v>
      </c>
      <c r="C155" s="111">
        <f>[9]С2.5!$Q$11</f>
        <v>0</v>
      </c>
      <c r="D155" s="142"/>
      <c r="E155" s="89"/>
    </row>
    <row r="156" spans="1:5" hidden="1" x14ac:dyDescent="0.2">
      <c r="A156" s="89"/>
      <c r="B156" s="110">
        <f t="shared" si="0"/>
        <v>2033</v>
      </c>
      <c r="C156" s="111">
        <f>[9]С2.5!$R$11</f>
        <v>0</v>
      </c>
      <c r="D156" s="142"/>
      <c r="E156" s="89"/>
    </row>
    <row r="157" spans="1:5" hidden="1" x14ac:dyDescent="0.2">
      <c r="B157" s="110">
        <f t="shared" si="0"/>
        <v>2034</v>
      </c>
      <c r="C157" s="111">
        <f>[9]С2.5!$S$11</f>
        <v>0</v>
      </c>
    </row>
    <row r="158" spans="1:5" hidden="1" x14ac:dyDescent="0.2">
      <c r="B158" s="110">
        <f t="shared" si="0"/>
        <v>2035</v>
      </c>
      <c r="C158" s="111">
        <f>[9]С2.5!$T$11</f>
        <v>0</v>
      </c>
    </row>
    <row r="159" spans="1:5" hidden="1" x14ac:dyDescent="0.2">
      <c r="B159" s="110">
        <f t="shared" si="0"/>
        <v>2036</v>
      </c>
      <c r="C159" s="111">
        <f>[9]С2.5!$U$11</f>
        <v>0</v>
      </c>
    </row>
    <row r="160" spans="1:5" hidden="1" x14ac:dyDescent="0.2">
      <c r="B160" s="110">
        <f t="shared" si="0"/>
        <v>2037</v>
      </c>
      <c r="C160" s="111">
        <f>[9]С2.5!$V$11</f>
        <v>0</v>
      </c>
    </row>
    <row r="161" spans="2:3" s="2" customFormat="1" hidden="1" x14ac:dyDescent="0.2">
      <c r="B161" s="110">
        <f t="shared" si="0"/>
        <v>2038</v>
      </c>
      <c r="C161" s="111">
        <f>[9]С2.5!$W$11</f>
        <v>0</v>
      </c>
    </row>
    <row r="162" spans="2:3" s="2" customFormat="1" hidden="1" x14ac:dyDescent="0.2">
      <c r="B162" s="110">
        <f t="shared" si="0"/>
        <v>2039</v>
      </c>
      <c r="C162" s="111">
        <f>[9]С2.5!$X$11</f>
        <v>0</v>
      </c>
    </row>
    <row r="163" spans="2:3" s="2" customFormat="1" hidden="1" x14ac:dyDescent="0.2">
      <c r="B163" s="110">
        <f t="shared" si="0"/>
        <v>2040</v>
      </c>
      <c r="C163" s="111">
        <f>[9]С2.5!$Y$11</f>
        <v>0</v>
      </c>
    </row>
    <row r="164" spans="2:3" s="2" customFormat="1" hidden="1" x14ac:dyDescent="0.2">
      <c r="B164" s="110">
        <f t="shared" si="0"/>
        <v>2041</v>
      </c>
      <c r="C164" s="111">
        <f>[9]С2.5!$Z$11</f>
        <v>0</v>
      </c>
    </row>
    <row r="165" spans="2:3" s="2" customFormat="1" hidden="1" x14ac:dyDescent="0.2">
      <c r="B165" s="110">
        <f t="shared" si="0"/>
        <v>2042</v>
      </c>
      <c r="C165" s="111">
        <f>[9]С2.5!$AA$11</f>
        <v>0</v>
      </c>
    </row>
    <row r="166" spans="2:3" s="2" customFormat="1" hidden="1" x14ac:dyDescent="0.2">
      <c r="B166" s="110">
        <f t="shared" si="0"/>
        <v>2043</v>
      </c>
      <c r="C166" s="111">
        <f>[9]С2.5!$AB$11</f>
        <v>0</v>
      </c>
    </row>
    <row r="167" spans="2:3" s="2" customFormat="1" hidden="1" x14ac:dyDescent="0.2">
      <c r="B167" s="110">
        <f t="shared" si="0"/>
        <v>2044</v>
      </c>
      <c r="C167" s="111">
        <f>[9]С2.5!$AC$11</f>
        <v>0</v>
      </c>
    </row>
    <row r="168" spans="2:3" s="2" customFormat="1" hidden="1" x14ac:dyDescent="0.2">
      <c r="B168" s="110">
        <f t="shared" si="0"/>
        <v>2045</v>
      </c>
      <c r="C168" s="111">
        <f>[9]С2.5!$AD$11</f>
        <v>0</v>
      </c>
    </row>
    <row r="169" spans="2:3" s="2" customFormat="1" hidden="1" x14ac:dyDescent="0.2">
      <c r="B169" s="110">
        <f t="shared" si="0"/>
        <v>2046</v>
      </c>
      <c r="C169" s="111">
        <f>[9]С2.5!$AE$11</f>
        <v>0</v>
      </c>
    </row>
    <row r="170" spans="2:3" s="2" customFormat="1" hidden="1" x14ac:dyDescent="0.2">
      <c r="B170" s="110">
        <f t="shared" si="0"/>
        <v>2047</v>
      </c>
      <c r="C170" s="111">
        <f>[9]С2.5!$AF$11</f>
        <v>0</v>
      </c>
    </row>
    <row r="171" spans="2:3" s="2" customFormat="1" hidden="1" x14ac:dyDescent="0.2">
      <c r="B171" s="110">
        <f t="shared" si="0"/>
        <v>2048</v>
      </c>
      <c r="C171" s="111">
        <f>[9]С2.5!$AG$11</f>
        <v>0</v>
      </c>
    </row>
    <row r="172" spans="2:3" s="2" customFormat="1" hidden="1" x14ac:dyDescent="0.2">
      <c r="B172" s="110">
        <f t="shared" si="0"/>
        <v>2049</v>
      </c>
      <c r="C172" s="111">
        <f>[9]С2.5!$AH$11</f>
        <v>0</v>
      </c>
    </row>
    <row r="173" spans="2:3" s="2" customFormat="1" hidden="1" x14ac:dyDescent="0.2">
      <c r="B173" s="110">
        <f t="shared" si="0"/>
        <v>2050</v>
      </c>
      <c r="C173" s="111">
        <f>[9]С2.5!$AI$11</f>
        <v>0</v>
      </c>
    </row>
    <row r="174" spans="2:3" s="2" customFormat="1" hidden="1" x14ac:dyDescent="0.2">
      <c r="B174" s="110">
        <f t="shared" si="0"/>
        <v>2051</v>
      </c>
      <c r="C174" s="111">
        <f>[9]С2.5!$AJ$11</f>
        <v>0</v>
      </c>
    </row>
    <row r="175" spans="2:3" s="2" customFormat="1" hidden="1" x14ac:dyDescent="0.2">
      <c r="B175" s="110">
        <f t="shared" si="0"/>
        <v>2052</v>
      </c>
      <c r="C175" s="111">
        <f>[9]С2.5!$AK$11</f>
        <v>0</v>
      </c>
    </row>
    <row r="176" spans="2:3" s="2" customFormat="1" hidden="1" x14ac:dyDescent="0.2">
      <c r="B176" s="110">
        <f t="shared" si="0"/>
        <v>2053</v>
      </c>
      <c r="C176" s="111">
        <f>[9]С2.5!$AL$11</f>
        <v>0</v>
      </c>
    </row>
    <row r="177" spans="2:3" s="2" customFormat="1" hidden="1" x14ac:dyDescent="0.2">
      <c r="B177" s="110">
        <f t="shared" si="0"/>
        <v>2054</v>
      </c>
      <c r="C177" s="111">
        <f>[9]С2.5!$AM$11</f>
        <v>0</v>
      </c>
    </row>
    <row r="178" spans="2:3" s="2" customFormat="1" hidden="1" x14ac:dyDescent="0.2">
      <c r="B178" s="110">
        <f t="shared" si="0"/>
        <v>2055</v>
      </c>
      <c r="C178" s="111">
        <f>[9]С2.5!$AN$11</f>
        <v>0</v>
      </c>
    </row>
    <row r="179" spans="2:3" s="2" customFormat="1" hidden="1" x14ac:dyDescent="0.2">
      <c r="B179" s="110">
        <f t="shared" si="0"/>
        <v>2056</v>
      </c>
      <c r="C179" s="111">
        <f>[9]С2.5!$AO$11</f>
        <v>0</v>
      </c>
    </row>
    <row r="180" spans="2:3" s="2" customFormat="1" hidden="1" x14ac:dyDescent="0.2">
      <c r="B180" s="110">
        <f t="shared" si="0"/>
        <v>2057</v>
      </c>
      <c r="C180" s="111">
        <f>[9]С2.5!$AP$11</f>
        <v>0</v>
      </c>
    </row>
    <row r="181" spans="2:3" s="2" customFormat="1" hidden="1" x14ac:dyDescent="0.2">
      <c r="B181" s="110">
        <f t="shared" si="0"/>
        <v>2058</v>
      </c>
      <c r="C181" s="111">
        <f>[9]С2.5!$AQ$11</f>
        <v>0</v>
      </c>
    </row>
    <row r="182" spans="2:3" s="2" customFormat="1" hidden="1" x14ac:dyDescent="0.2">
      <c r="B182" s="110">
        <f t="shared" si="0"/>
        <v>2059</v>
      </c>
      <c r="C182" s="111">
        <f>[9]С2.5!$AR$11</f>
        <v>0</v>
      </c>
    </row>
    <row r="183" spans="2:3" s="2" customFormat="1" hidden="1" x14ac:dyDescent="0.2">
      <c r="B183" s="110">
        <f t="shared" si="0"/>
        <v>2060</v>
      </c>
      <c r="C183" s="111">
        <f>[9]С2.5!$AS$11</f>
        <v>0</v>
      </c>
    </row>
    <row r="184" spans="2:3" s="2" customFormat="1" hidden="1" x14ac:dyDescent="0.2">
      <c r="B184" s="110">
        <f t="shared" si="0"/>
        <v>2061</v>
      </c>
      <c r="C184" s="111">
        <f>[9]С2.5!$AT$11</f>
        <v>0</v>
      </c>
    </row>
    <row r="185" spans="2:3" s="2" customFormat="1" hidden="1" x14ac:dyDescent="0.2">
      <c r="B185" s="110">
        <f t="shared" si="0"/>
        <v>2062</v>
      </c>
      <c r="C185" s="111">
        <f>[9]С2.5!$AU$11</f>
        <v>0</v>
      </c>
    </row>
    <row r="186" spans="2:3" s="2" customFormat="1" hidden="1" x14ac:dyDescent="0.2">
      <c r="B186" s="110">
        <f t="shared" si="0"/>
        <v>2063</v>
      </c>
      <c r="C186" s="111">
        <f>[9]С2.5!$AV$11</f>
        <v>0</v>
      </c>
    </row>
    <row r="187" spans="2:3" s="2" customFormat="1" hidden="1" x14ac:dyDescent="0.2">
      <c r="B187" s="110">
        <f t="shared" si="0"/>
        <v>2064</v>
      </c>
      <c r="C187" s="111">
        <f>[9]С2.5!$AW$11</f>
        <v>0</v>
      </c>
    </row>
    <row r="188" spans="2:3" s="2" customFormat="1" hidden="1" x14ac:dyDescent="0.2">
      <c r="B188" s="110">
        <f t="shared" si="0"/>
        <v>2065</v>
      </c>
      <c r="C188" s="111">
        <f>[9]С2.5!$AX$11</f>
        <v>0</v>
      </c>
    </row>
    <row r="189" spans="2:3" s="2" customFormat="1" hidden="1" x14ac:dyDescent="0.2">
      <c r="B189" s="110">
        <f t="shared" si="0"/>
        <v>2066</v>
      </c>
      <c r="C189" s="111">
        <f>[9]С2.5!$AY$11</f>
        <v>0</v>
      </c>
    </row>
    <row r="190" spans="2:3" s="2" customFormat="1" hidden="1" x14ac:dyDescent="0.2">
      <c r="B190" s="110">
        <f t="shared" si="0"/>
        <v>2067</v>
      </c>
      <c r="C190" s="111">
        <f>[9]С2.5!$AZ$11</f>
        <v>0</v>
      </c>
    </row>
    <row r="191" spans="2:3" s="2" customFormat="1" hidden="1" x14ac:dyDescent="0.2">
      <c r="B191" s="110">
        <f t="shared" si="0"/>
        <v>2068</v>
      </c>
      <c r="C191" s="111">
        <f>[9]С2.5!$BA$11</f>
        <v>0</v>
      </c>
    </row>
    <row r="192" spans="2:3" s="2" customFormat="1" hidden="1" x14ac:dyDescent="0.2">
      <c r="B192" s="110">
        <f t="shared" si="0"/>
        <v>2069</v>
      </c>
      <c r="C192" s="111">
        <f>[9]С2.5!$BB$11</f>
        <v>0</v>
      </c>
    </row>
    <row r="193" spans="2:3" s="2" customFormat="1" hidden="1" x14ac:dyDescent="0.2">
      <c r="B193" s="110">
        <f t="shared" si="0"/>
        <v>2070</v>
      </c>
      <c r="C193" s="111">
        <f>[9]С2.5!$BC$11</f>
        <v>0</v>
      </c>
    </row>
    <row r="194" spans="2:3" s="2" customFormat="1" hidden="1" x14ac:dyDescent="0.2">
      <c r="B194" s="110">
        <f t="shared" si="0"/>
        <v>2071</v>
      </c>
      <c r="C194" s="111">
        <f>[9]С2.5!$BD$11</f>
        <v>0</v>
      </c>
    </row>
    <row r="195" spans="2:3" s="2" customFormat="1" hidden="1" x14ac:dyDescent="0.2">
      <c r="B195" s="110">
        <f t="shared" si="0"/>
        <v>2072</v>
      </c>
      <c r="C195" s="111">
        <f>[9]С2.5!$BE$11</f>
        <v>0</v>
      </c>
    </row>
    <row r="196" spans="2:3" s="2" customFormat="1" hidden="1" x14ac:dyDescent="0.2">
      <c r="B196" s="110">
        <f t="shared" si="0"/>
        <v>2073</v>
      </c>
      <c r="C196" s="111">
        <f>[9]С2.5!$BF$11</f>
        <v>0</v>
      </c>
    </row>
    <row r="197" spans="2:3" s="2" customFormat="1" hidden="1" x14ac:dyDescent="0.2">
      <c r="B197" s="110">
        <f t="shared" si="0"/>
        <v>2074</v>
      </c>
      <c r="C197" s="111">
        <f>[9]С2.5!$BG$11</f>
        <v>0</v>
      </c>
    </row>
    <row r="198" spans="2:3" s="2" customFormat="1" hidden="1" x14ac:dyDescent="0.2">
      <c r="B198" s="110">
        <f t="shared" si="0"/>
        <v>2075</v>
      </c>
      <c r="C198" s="111">
        <f>[9]С2.5!$BH$11</f>
        <v>0</v>
      </c>
    </row>
    <row r="199" spans="2:3" s="2" customFormat="1" hidden="1" x14ac:dyDescent="0.2">
      <c r="B199" s="110">
        <f t="shared" si="0"/>
        <v>2076</v>
      </c>
      <c r="C199" s="111">
        <f>[9]С2.5!$BI$11</f>
        <v>0</v>
      </c>
    </row>
    <row r="200" spans="2:3" s="2" customFormat="1" hidden="1" x14ac:dyDescent="0.2">
      <c r="B200" s="110">
        <f t="shared" si="0"/>
        <v>2077</v>
      </c>
      <c r="C200" s="111">
        <f>[9]С2.5!$BJ$11</f>
        <v>0</v>
      </c>
    </row>
    <row r="201" spans="2:3" s="2" customFormat="1" hidden="1" x14ac:dyDescent="0.2">
      <c r="B201" s="110">
        <f t="shared" si="0"/>
        <v>2078</v>
      </c>
      <c r="C201" s="111">
        <f>[9]С2.5!$BK$11</f>
        <v>0</v>
      </c>
    </row>
    <row r="202" spans="2:3" s="2" customFormat="1" hidden="1" x14ac:dyDescent="0.2">
      <c r="B202" s="110">
        <f t="shared" si="0"/>
        <v>2079</v>
      </c>
      <c r="C202" s="111">
        <f>[9]С2.5!$BL$11</f>
        <v>0</v>
      </c>
    </row>
    <row r="203" spans="2:3" s="2" customFormat="1" hidden="1" x14ac:dyDescent="0.2">
      <c r="B203" s="110">
        <f t="shared" si="0"/>
        <v>2080</v>
      </c>
      <c r="C203" s="111">
        <f>[9]С2.5!$BM$11</f>
        <v>0</v>
      </c>
    </row>
    <row r="204" spans="2:3" s="2" customFormat="1" hidden="1" x14ac:dyDescent="0.2">
      <c r="B204" s="110">
        <f t="shared" si="0"/>
        <v>2081</v>
      </c>
      <c r="C204" s="111">
        <f>[9]С2.5!$BN$11</f>
        <v>0</v>
      </c>
    </row>
    <row r="205" spans="2:3" s="2" customFormat="1" hidden="1" x14ac:dyDescent="0.2">
      <c r="B205" s="110">
        <f t="shared" si="0"/>
        <v>2082</v>
      </c>
      <c r="C205" s="111">
        <f>[9]С2.5!$BO$11</f>
        <v>0</v>
      </c>
    </row>
    <row r="206" spans="2:3" s="2" customFormat="1" hidden="1" x14ac:dyDescent="0.2">
      <c r="B206" s="110">
        <f t="shared" si="0"/>
        <v>2083</v>
      </c>
      <c r="C206" s="111">
        <f>[9]С2.5!$BP$11</f>
        <v>0</v>
      </c>
    </row>
    <row r="207" spans="2:3" s="2" customFormat="1" hidden="1" x14ac:dyDescent="0.2">
      <c r="B207" s="110">
        <f t="shared" si="0"/>
        <v>2084</v>
      </c>
      <c r="C207" s="111">
        <f>[9]С2.5!$BQ$11</f>
        <v>0</v>
      </c>
    </row>
    <row r="208" spans="2:3" s="2" customFormat="1" hidden="1" x14ac:dyDescent="0.2">
      <c r="B208" s="110">
        <f t="shared" si="0"/>
        <v>2085</v>
      </c>
      <c r="C208" s="111">
        <f>[9]С2.5!$BR$11</f>
        <v>0</v>
      </c>
    </row>
    <row r="209" spans="2:3" s="2" customFormat="1" hidden="1" x14ac:dyDescent="0.2">
      <c r="B209" s="110">
        <f t="shared" ref="B209:B223" si="1">B208+1</f>
        <v>2086</v>
      </c>
      <c r="C209" s="111">
        <f>[9]С2.5!$BS$11</f>
        <v>0</v>
      </c>
    </row>
    <row r="210" spans="2:3" s="2" customFormat="1" hidden="1" x14ac:dyDescent="0.2">
      <c r="B210" s="110">
        <f t="shared" si="1"/>
        <v>2087</v>
      </c>
      <c r="C210" s="111">
        <f>[9]С2.5!$BT$11</f>
        <v>0</v>
      </c>
    </row>
    <row r="211" spans="2:3" s="2" customFormat="1" hidden="1" x14ac:dyDescent="0.2">
      <c r="B211" s="110">
        <f t="shared" si="1"/>
        <v>2088</v>
      </c>
      <c r="C211" s="111">
        <f>[9]С2.5!$BU$11</f>
        <v>0</v>
      </c>
    </row>
    <row r="212" spans="2:3" s="2" customFormat="1" hidden="1" x14ac:dyDescent="0.2">
      <c r="B212" s="110">
        <f t="shared" si="1"/>
        <v>2089</v>
      </c>
      <c r="C212" s="111">
        <f>[9]С2.5!$BV$11</f>
        <v>0</v>
      </c>
    </row>
    <row r="213" spans="2:3" s="2" customFormat="1" hidden="1" x14ac:dyDescent="0.2">
      <c r="B213" s="110">
        <f t="shared" si="1"/>
        <v>2090</v>
      </c>
      <c r="C213" s="111">
        <f>[9]С2.5!$BW$11</f>
        <v>0</v>
      </c>
    </row>
    <row r="214" spans="2:3" s="2" customFormat="1" hidden="1" x14ac:dyDescent="0.2">
      <c r="B214" s="110">
        <f t="shared" si="1"/>
        <v>2091</v>
      </c>
      <c r="C214" s="111">
        <f>[9]С2.5!$BX$11</f>
        <v>0</v>
      </c>
    </row>
    <row r="215" spans="2:3" s="2" customFormat="1" hidden="1" x14ac:dyDescent="0.2">
      <c r="B215" s="110">
        <f t="shared" si="1"/>
        <v>2092</v>
      </c>
      <c r="C215" s="111">
        <f>[9]С2.5!$BY$11</f>
        <v>0</v>
      </c>
    </row>
    <row r="216" spans="2:3" s="2" customFormat="1" hidden="1" x14ac:dyDescent="0.2">
      <c r="B216" s="110">
        <f t="shared" si="1"/>
        <v>2093</v>
      </c>
      <c r="C216" s="111">
        <f>[9]С2.5!$BZ$11</f>
        <v>0</v>
      </c>
    </row>
    <row r="217" spans="2:3" s="2" customFormat="1" hidden="1" x14ac:dyDescent="0.2">
      <c r="B217" s="110">
        <f t="shared" si="1"/>
        <v>2094</v>
      </c>
      <c r="C217" s="111">
        <f>[9]С2.5!$CA$11</f>
        <v>0</v>
      </c>
    </row>
    <row r="218" spans="2:3" s="2" customFormat="1" hidden="1" x14ac:dyDescent="0.2">
      <c r="B218" s="110">
        <f t="shared" si="1"/>
        <v>2095</v>
      </c>
      <c r="C218" s="111">
        <f>[9]С2.5!$CB$11</f>
        <v>0</v>
      </c>
    </row>
    <row r="219" spans="2:3" s="2" customFormat="1" hidden="1" x14ac:dyDescent="0.2">
      <c r="B219" s="110">
        <f t="shared" si="1"/>
        <v>2096</v>
      </c>
      <c r="C219" s="111">
        <f>[9]С2.5!$CC$11</f>
        <v>0</v>
      </c>
    </row>
    <row r="220" spans="2:3" s="2" customFormat="1" hidden="1" x14ac:dyDescent="0.2">
      <c r="B220" s="110">
        <f t="shared" si="1"/>
        <v>2097</v>
      </c>
      <c r="C220" s="111">
        <f>[9]С2.5!$CD$11</f>
        <v>0</v>
      </c>
    </row>
    <row r="221" spans="2:3" s="2" customFormat="1" hidden="1" x14ac:dyDescent="0.2">
      <c r="B221" s="110">
        <f t="shared" si="1"/>
        <v>2098</v>
      </c>
      <c r="C221" s="111">
        <f>[9]С2.5!$CE$11</f>
        <v>0</v>
      </c>
    </row>
    <row r="222" spans="2:3" s="2" customFormat="1" hidden="1" x14ac:dyDescent="0.2">
      <c r="B222" s="110">
        <f t="shared" si="1"/>
        <v>2099</v>
      </c>
      <c r="C222" s="111">
        <f>[9]С2.5!$CF$11</f>
        <v>0</v>
      </c>
    </row>
    <row r="223" spans="2:3" s="2" customFormat="1" ht="13.5" hidden="1" thickBot="1" x14ac:dyDescent="0.25">
      <c r="B223" s="112">
        <f t="shared" si="1"/>
        <v>2100</v>
      </c>
      <c r="C223" s="113">
        <f>[9]С2.5!$CG$11</f>
        <v>0</v>
      </c>
    </row>
    <row r="224" spans="2:3" s="2" customFormat="1" hidden="1" x14ac:dyDescent="0.2">
      <c r="C224" s="116"/>
    </row>
    <row r="225" spans="3:3" s="2" customFormat="1" hidden="1" x14ac:dyDescent="0.2">
      <c r="C225" s="116"/>
    </row>
    <row r="226" spans="3:3" s="2" customFormat="1" x14ac:dyDescent="0.2">
      <c r="C226" s="116"/>
    </row>
  </sheetData>
  <mergeCells count="9">
    <mergeCell ref="B141:D141"/>
    <mergeCell ref="A14:C14"/>
    <mergeCell ref="B1:D1"/>
    <mergeCell ref="B27:D27"/>
    <mergeCell ref="B40:D40"/>
    <mergeCell ref="B84:D84"/>
    <mergeCell ref="B95:D95"/>
    <mergeCell ref="B124:D124"/>
    <mergeCell ref="B127:D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Button 1">
              <controlPr defaultSize="0" print="0" autoFill="0" autoPict="0" macro="[8]!Лист29.PrintBlock">
                <anchor moveWithCells="1" sizeWithCells="1">
                  <from>
                    <xdr:col>3</xdr:col>
                    <xdr:colOff>0</xdr:colOff>
                    <xdr:row>0</xdr:row>
                    <xdr:rowOff>85725</xdr:rowOff>
                  </from>
                  <to>
                    <xdr:col>5</xdr:col>
                    <xdr:colOff>0</xdr:colOff>
                    <xdr:row>0</xdr:row>
                    <xdr:rowOff>238125</xdr:rowOff>
                  </to>
                </anchor>
              </controlPr>
            </control>
          </mc:Choice>
        </mc:AlternateContent>
        <mc:AlternateContent xmlns:mc="http://schemas.openxmlformats.org/markup-compatibility/2006">
          <mc:Choice Requires="x14">
            <control shapeId="5122" r:id="rId4" name="Button 2">
              <controlPr defaultSize="0" print="0" autoFill="0" autoPict="0" macro="[9]!Лист29.PrintBlock">
                <anchor moveWithCells="1" sizeWithCells="1">
                  <from>
                    <xdr:col>4</xdr:col>
                    <xdr:colOff>38100</xdr:colOff>
                    <xdr:row>0</xdr:row>
                    <xdr:rowOff>85725</xdr:rowOff>
                  </from>
                  <to>
                    <xdr:col>5</xdr:col>
                    <xdr:colOff>1000125</xdr:colOff>
                    <xdr:row>0</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26"/>
  <sheetViews>
    <sheetView workbookViewId="0">
      <selection activeCell="C2" sqref="C2"/>
    </sheetView>
  </sheetViews>
  <sheetFormatPr defaultRowHeight="12.75" x14ac:dyDescent="0.2"/>
  <cols>
    <col min="1" max="1" width="7.28515625" style="2" customWidth="1"/>
    <col min="2" max="2" width="100.7109375" style="2" customWidth="1"/>
    <col min="3" max="3" width="20.85546875" style="139" customWidth="1"/>
    <col min="4" max="4" width="22.85546875" style="159" customWidth="1"/>
    <col min="5" max="5" width="5.140625" style="2" customWidth="1"/>
    <col min="6" max="6" width="17.5703125" style="2" customWidth="1"/>
    <col min="7" max="159" width="9.140625" style="2"/>
    <col min="160" max="241" width="0" style="2" hidden="1" customWidth="1"/>
    <col min="242" max="250" width="9.140625" style="2"/>
    <col min="251" max="251" width="3.7109375" style="2" customWidth="1"/>
    <col min="252" max="252" width="96.85546875" style="2" customWidth="1"/>
    <col min="253" max="253" width="30.85546875" style="2" customWidth="1"/>
    <col min="254" max="254" width="12.5703125" style="2" customWidth="1"/>
    <col min="255" max="255" width="5.140625" style="2" customWidth="1"/>
    <col min="256" max="256" width="9.140625" style="2"/>
    <col min="257" max="257" width="4.85546875" style="2" customWidth="1"/>
    <col min="258" max="258" width="30.5703125" style="2" customWidth="1"/>
    <col min="259" max="259" width="33.85546875" style="2" customWidth="1"/>
    <col min="260" max="260" width="5.140625" style="2" customWidth="1"/>
    <col min="261" max="262" width="17.5703125" style="2" customWidth="1"/>
    <col min="263" max="506" width="9.140625" style="2"/>
    <col min="507" max="507" width="3.7109375" style="2" customWidth="1"/>
    <col min="508" max="508" width="96.85546875" style="2" customWidth="1"/>
    <col min="509" max="509" width="30.85546875" style="2" customWidth="1"/>
    <col min="510" max="510" width="12.5703125" style="2" customWidth="1"/>
    <col min="511" max="511" width="5.140625" style="2" customWidth="1"/>
    <col min="512" max="512" width="9.140625" style="2"/>
    <col min="513" max="513" width="4.85546875" style="2" customWidth="1"/>
    <col min="514" max="514" width="30.5703125" style="2" customWidth="1"/>
    <col min="515" max="515" width="33.85546875" style="2" customWidth="1"/>
    <col min="516" max="516" width="5.140625" style="2" customWidth="1"/>
    <col min="517" max="518" width="17.5703125" style="2" customWidth="1"/>
    <col min="519" max="762" width="9.140625" style="2"/>
    <col min="763" max="763" width="3.7109375" style="2" customWidth="1"/>
    <col min="764" max="764" width="96.85546875" style="2" customWidth="1"/>
    <col min="765" max="765" width="30.85546875" style="2" customWidth="1"/>
    <col min="766" max="766" width="12.5703125" style="2" customWidth="1"/>
    <col min="767" max="767" width="5.140625" style="2" customWidth="1"/>
    <col min="768" max="768" width="9.140625" style="2"/>
    <col min="769" max="769" width="4.85546875" style="2" customWidth="1"/>
    <col min="770" max="770" width="30.5703125" style="2" customWidth="1"/>
    <col min="771" max="771" width="33.85546875" style="2" customWidth="1"/>
    <col min="772" max="772" width="5.140625" style="2" customWidth="1"/>
    <col min="773" max="774" width="17.5703125" style="2" customWidth="1"/>
    <col min="775" max="1018" width="9.140625" style="2"/>
    <col min="1019" max="1019" width="3.7109375" style="2" customWidth="1"/>
    <col min="1020" max="1020" width="96.85546875" style="2" customWidth="1"/>
    <col min="1021" max="1021" width="30.85546875" style="2" customWidth="1"/>
    <col min="1022" max="1022" width="12.5703125" style="2" customWidth="1"/>
    <col min="1023" max="1023" width="5.140625" style="2" customWidth="1"/>
    <col min="1024" max="1024" width="9.140625" style="2"/>
    <col min="1025" max="1025" width="4.85546875" style="2" customWidth="1"/>
    <col min="1026" max="1026" width="30.5703125" style="2" customWidth="1"/>
    <col min="1027" max="1027" width="33.85546875" style="2" customWidth="1"/>
    <col min="1028" max="1028" width="5.140625" style="2" customWidth="1"/>
    <col min="1029" max="1030" width="17.5703125" style="2" customWidth="1"/>
    <col min="1031" max="1274" width="9.140625" style="2"/>
    <col min="1275" max="1275" width="3.7109375" style="2" customWidth="1"/>
    <col min="1276" max="1276" width="96.85546875" style="2" customWidth="1"/>
    <col min="1277" max="1277" width="30.85546875" style="2" customWidth="1"/>
    <col min="1278" max="1278" width="12.5703125" style="2" customWidth="1"/>
    <col min="1279" max="1279" width="5.140625" style="2" customWidth="1"/>
    <col min="1280" max="1280" width="9.140625" style="2"/>
    <col min="1281" max="1281" width="4.85546875" style="2" customWidth="1"/>
    <col min="1282" max="1282" width="30.5703125" style="2" customWidth="1"/>
    <col min="1283" max="1283" width="33.85546875" style="2" customWidth="1"/>
    <col min="1284" max="1284" width="5.140625" style="2" customWidth="1"/>
    <col min="1285" max="1286" width="17.5703125" style="2" customWidth="1"/>
    <col min="1287" max="1530" width="9.140625" style="2"/>
    <col min="1531" max="1531" width="3.7109375" style="2" customWidth="1"/>
    <col min="1532" max="1532" width="96.85546875" style="2" customWidth="1"/>
    <col min="1533" max="1533" width="30.85546875" style="2" customWidth="1"/>
    <col min="1534" max="1534" width="12.5703125" style="2" customWidth="1"/>
    <col min="1535" max="1535" width="5.140625" style="2" customWidth="1"/>
    <col min="1536" max="1536" width="9.140625" style="2"/>
    <col min="1537" max="1537" width="4.85546875" style="2" customWidth="1"/>
    <col min="1538" max="1538" width="30.5703125" style="2" customWidth="1"/>
    <col min="1539" max="1539" width="33.85546875" style="2" customWidth="1"/>
    <col min="1540" max="1540" width="5.140625" style="2" customWidth="1"/>
    <col min="1541" max="1542" width="17.5703125" style="2" customWidth="1"/>
    <col min="1543" max="1786" width="9.140625" style="2"/>
    <col min="1787" max="1787" width="3.7109375" style="2" customWidth="1"/>
    <col min="1788" max="1788" width="96.85546875" style="2" customWidth="1"/>
    <col min="1789" max="1789" width="30.85546875" style="2" customWidth="1"/>
    <col min="1790" max="1790" width="12.5703125" style="2" customWidth="1"/>
    <col min="1791" max="1791" width="5.140625" style="2" customWidth="1"/>
    <col min="1792" max="1792" width="9.140625" style="2"/>
    <col min="1793" max="1793" width="4.85546875" style="2" customWidth="1"/>
    <col min="1794" max="1794" width="30.5703125" style="2" customWidth="1"/>
    <col min="1795" max="1795" width="33.85546875" style="2" customWidth="1"/>
    <col min="1796" max="1796" width="5.140625" style="2" customWidth="1"/>
    <col min="1797" max="1798" width="17.5703125" style="2" customWidth="1"/>
    <col min="1799" max="2042" width="9.140625" style="2"/>
    <col min="2043" max="2043" width="3.7109375" style="2" customWidth="1"/>
    <col min="2044" max="2044" width="96.85546875" style="2" customWidth="1"/>
    <col min="2045" max="2045" width="30.85546875" style="2" customWidth="1"/>
    <col min="2046" max="2046" width="12.5703125" style="2" customWidth="1"/>
    <col min="2047" max="2047" width="5.140625" style="2" customWidth="1"/>
    <col min="2048" max="2048" width="9.140625" style="2"/>
    <col min="2049" max="2049" width="4.85546875" style="2" customWidth="1"/>
    <col min="2050" max="2050" width="30.5703125" style="2" customWidth="1"/>
    <col min="2051" max="2051" width="33.85546875" style="2" customWidth="1"/>
    <col min="2052" max="2052" width="5.140625" style="2" customWidth="1"/>
    <col min="2053" max="2054" width="17.5703125" style="2" customWidth="1"/>
    <col min="2055" max="2298" width="9.140625" style="2"/>
    <col min="2299" max="2299" width="3.7109375" style="2" customWidth="1"/>
    <col min="2300" max="2300" width="96.85546875" style="2" customWidth="1"/>
    <col min="2301" max="2301" width="30.85546875" style="2" customWidth="1"/>
    <col min="2302" max="2302" width="12.5703125" style="2" customWidth="1"/>
    <col min="2303" max="2303" width="5.140625" style="2" customWidth="1"/>
    <col min="2304" max="2304" width="9.140625" style="2"/>
    <col min="2305" max="2305" width="4.85546875" style="2" customWidth="1"/>
    <col min="2306" max="2306" width="30.5703125" style="2" customWidth="1"/>
    <col min="2307" max="2307" width="33.85546875" style="2" customWidth="1"/>
    <col min="2308" max="2308" width="5.140625" style="2" customWidth="1"/>
    <col min="2309" max="2310" width="17.5703125" style="2" customWidth="1"/>
    <col min="2311" max="2554" width="9.140625" style="2"/>
    <col min="2555" max="2555" width="3.7109375" style="2" customWidth="1"/>
    <col min="2556" max="2556" width="96.85546875" style="2" customWidth="1"/>
    <col min="2557" max="2557" width="30.85546875" style="2" customWidth="1"/>
    <col min="2558" max="2558" width="12.5703125" style="2" customWidth="1"/>
    <col min="2559" max="2559" width="5.140625" style="2" customWidth="1"/>
    <col min="2560" max="2560" width="9.140625" style="2"/>
    <col min="2561" max="2561" width="4.85546875" style="2" customWidth="1"/>
    <col min="2562" max="2562" width="30.5703125" style="2" customWidth="1"/>
    <col min="2563" max="2563" width="33.85546875" style="2" customWidth="1"/>
    <col min="2564" max="2564" width="5.140625" style="2" customWidth="1"/>
    <col min="2565" max="2566" width="17.5703125" style="2" customWidth="1"/>
    <col min="2567" max="2810" width="9.140625" style="2"/>
    <col min="2811" max="2811" width="3.7109375" style="2" customWidth="1"/>
    <col min="2812" max="2812" width="96.85546875" style="2" customWidth="1"/>
    <col min="2813" max="2813" width="30.85546875" style="2" customWidth="1"/>
    <col min="2814" max="2814" width="12.5703125" style="2" customWidth="1"/>
    <col min="2815" max="2815" width="5.140625" style="2" customWidth="1"/>
    <col min="2816" max="2816" width="9.140625" style="2"/>
    <col min="2817" max="2817" width="4.85546875" style="2" customWidth="1"/>
    <col min="2818" max="2818" width="30.5703125" style="2" customWidth="1"/>
    <col min="2819" max="2819" width="33.85546875" style="2" customWidth="1"/>
    <col min="2820" max="2820" width="5.140625" style="2" customWidth="1"/>
    <col min="2821" max="2822" width="17.5703125" style="2" customWidth="1"/>
    <col min="2823" max="3066" width="9.140625" style="2"/>
    <col min="3067" max="3067" width="3.7109375" style="2" customWidth="1"/>
    <col min="3068" max="3068" width="96.85546875" style="2" customWidth="1"/>
    <col min="3069" max="3069" width="30.85546875" style="2" customWidth="1"/>
    <col min="3070" max="3070" width="12.5703125" style="2" customWidth="1"/>
    <col min="3071" max="3071" width="5.140625" style="2" customWidth="1"/>
    <col min="3072" max="3072" width="9.140625" style="2"/>
    <col min="3073" max="3073" width="4.85546875" style="2" customWidth="1"/>
    <col min="3074" max="3074" width="30.5703125" style="2" customWidth="1"/>
    <col min="3075" max="3075" width="33.85546875" style="2" customWidth="1"/>
    <col min="3076" max="3076" width="5.140625" style="2" customWidth="1"/>
    <col min="3077" max="3078" width="17.5703125" style="2" customWidth="1"/>
    <col min="3079" max="3322" width="9.140625" style="2"/>
    <col min="3323" max="3323" width="3.7109375" style="2" customWidth="1"/>
    <col min="3324" max="3324" width="96.85546875" style="2" customWidth="1"/>
    <col min="3325" max="3325" width="30.85546875" style="2" customWidth="1"/>
    <col min="3326" max="3326" width="12.5703125" style="2" customWidth="1"/>
    <col min="3327" max="3327" width="5.140625" style="2" customWidth="1"/>
    <col min="3328" max="3328" width="9.140625" style="2"/>
    <col min="3329" max="3329" width="4.85546875" style="2" customWidth="1"/>
    <col min="3330" max="3330" width="30.5703125" style="2" customWidth="1"/>
    <col min="3331" max="3331" width="33.85546875" style="2" customWidth="1"/>
    <col min="3332" max="3332" width="5.140625" style="2" customWidth="1"/>
    <col min="3333" max="3334" width="17.5703125" style="2" customWidth="1"/>
    <col min="3335" max="3578" width="9.140625" style="2"/>
    <col min="3579" max="3579" width="3.7109375" style="2" customWidth="1"/>
    <col min="3580" max="3580" width="96.85546875" style="2" customWidth="1"/>
    <col min="3581" max="3581" width="30.85546875" style="2" customWidth="1"/>
    <col min="3582" max="3582" width="12.5703125" style="2" customWidth="1"/>
    <col min="3583" max="3583" width="5.140625" style="2" customWidth="1"/>
    <col min="3584" max="3584" width="9.140625" style="2"/>
    <col min="3585" max="3585" width="4.85546875" style="2" customWidth="1"/>
    <col min="3586" max="3586" width="30.5703125" style="2" customWidth="1"/>
    <col min="3587" max="3587" width="33.85546875" style="2" customWidth="1"/>
    <col min="3588" max="3588" width="5.140625" style="2" customWidth="1"/>
    <col min="3589" max="3590" width="17.5703125" style="2" customWidth="1"/>
    <col min="3591" max="3834" width="9.140625" style="2"/>
    <col min="3835" max="3835" width="3.7109375" style="2" customWidth="1"/>
    <col min="3836" max="3836" width="96.85546875" style="2" customWidth="1"/>
    <col min="3837" max="3837" width="30.85546875" style="2" customWidth="1"/>
    <col min="3838" max="3838" width="12.5703125" style="2" customWidth="1"/>
    <col min="3839" max="3839" width="5.140625" style="2" customWidth="1"/>
    <col min="3840" max="3840" width="9.140625" style="2"/>
    <col min="3841" max="3841" width="4.85546875" style="2" customWidth="1"/>
    <col min="3842" max="3842" width="30.5703125" style="2" customWidth="1"/>
    <col min="3843" max="3843" width="33.85546875" style="2" customWidth="1"/>
    <col min="3844" max="3844" width="5.140625" style="2" customWidth="1"/>
    <col min="3845" max="3846" width="17.5703125" style="2" customWidth="1"/>
    <col min="3847" max="4090" width="9.140625" style="2"/>
    <col min="4091" max="4091" width="3.7109375" style="2" customWidth="1"/>
    <col min="4092" max="4092" width="96.85546875" style="2" customWidth="1"/>
    <col min="4093" max="4093" width="30.85546875" style="2" customWidth="1"/>
    <col min="4094" max="4094" width="12.5703125" style="2" customWidth="1"/>
    <col min="4095" max="4095" width="5.140625" style="2" customWidth="1"/>
    <col min="4096" max="4096" width="9.140625" style="2"/>
    <col min="4097" max="4097" width="4.85546875" style="2" customWidth="1"/>
    <col min="4098" max="4098" width="30.5703125" style="2" customWidth="1"/>
    <col min="4099" max="4099" width="33.85546875" style="2" customWidth="1"/>
    <col min="4100" max="4100" width="5.140625" style="2" customWidth="1"/>
    <col min="4101" max="4102" width="17.5703125" style="2" customWidth="1"/>
    <col min="4103" max="4346" width="9.140625" style="2"/>
    <col min="4347" max="4347" width="3.7109375" style="2" customWidth="1"/>
    <col min="4348" max="4348" width="96.85546875" style="2" customWidth="1"/>
    <col min="4349" max="4349" width="30.85546875" style="2" customWidth="1"/>
    <col min="4350" max="4350" width="12.5703125" style="2" customWidth="1"/>
    <col min="4351" max="4351" width="5.140625" style="2" customWidth="1"/>
    <col min="4352" max="4352" width="9.140625" style="2"/>
    <col min="4353" max="4353" width="4.85546875" style="2" customWidth="1"/>
    <col min="4354" max="4354" width="30.5703125" style="2" customWidth="1"/>
    <col min="4355" max="4355" width="33.85546875" style="2" customWidth="1"/>
    <col min="4356" max="4356" width="5.140625" style="2" customWidth="1"/>
    <col min="4357" max="4358" width="17.5703125" style="2" customWidth="1"/>
    <col min="4359" max="4602" width="9.140625" style="2"/>
    <col min="4603" max="4603" width="3.7109375" style="2" customWidth="1"/>
    <col min="4604" max="4604" width="96.85546875" style="2" customWidth="1"/>
    <col min="4605" max="4605" width="30.85546875" style="2" customWidth="1"/>
    <col min="4606" max="4606" width="12.5703125" style="2" customWidth="1"/>
    <col min="4607" max="4607" width="5.140625" style="2" customWidth="1"/>
    <col min="4608" max="4608" width="9.140625" style="2"/>
    <col min="4609" max="4609" width="4.85546875" style="2" customWidth="1"/>
    <col min="4610" max="4610" width="30.5703125" style="2" customWidth="1"/>
    <col min="4611" max="4611" width="33.85546875" style="2" customWidth="1"/>
    <col min="4612" max="4612" width="5.140625" style="2" customWidth="1"/>
    <col min="4613" max="4614" width="17.5703125" style="2" customWidth="1"/>
    <col min="4615" max="4858" width="9.140625" style="2"/>
    <col min="4859" max="4859" width="3.7109375" style="2" customWidth="1"/>
    <col min="4860" max="4860" width="96.85546875" style="2" customWidth="1"/>
    <col min="4861" max="4861" width="30.85546875" style="2" customWidth="1"/>
    <col min="4862" max="4862" width="12.5703125" style="2" customWidth="1"/>
    <col min="4863" max="4863" width="5.140625" style="2" customWidth="1"/>
    <col min="4864" max="4864" width="9.140625" style="2"/>
    <col min="4865" max="4865" width="4.85546875" style="2" customWidth="1"/>
    <col min="4866" max="4866" width="30.5703125" style="2" customWidth="1"/>
    <col min="4867" max="4867" width="33.85546875" style="2" customWidth="1"/>
    <col min="4868" max="4868" width="5.140625" style="2" customWidth="1"/>
    <col min="4869" max="4870" width="17.5703125" style="2" customWidth="1"/>
    <col min="4871" max="5114" width="9.140625" style="2"/>
    <col min="5115" max="5115" width="3.7109375" style="2" customWidth="1"/>
    <col min="5116" max="5116" width="96.85546875" style="2" customWidth="1"/>
    <col min="5117" max="5117" width="30.85546875" style="2" customWidth="1"/>
    <col min="5118" max="5118" width="12.5703125" style="2" customWidth="1"/>
    <col min="5119" max="5119" width="5.140625" style="2" customWidth="1"/>
    <col min="5120" max="5120" width="9.140625" style="2"/>
    <col min="5121" max="5121" width="4.85546875" style="2" customWidth="1"/>
    <col min="5122" max="5122" width="30.5703125" style="2" customWidth="1"/>
    <col min="5123" max="5123" width="33.85546875" style="2" customWidth="1"/>
    <col min="5124" max="5124" width="5.140625" style="2" customWidth="1"/>
    <col min="5125" max="5126" width="17.5703125" style="2" customWidth="1"/>
    <col min="5127" max="5370" width="9.140625" style="2"/>
    <col min="5371" max="5371" width="3.7109375" style="2" customWidth="1"/>
    <col min="5372" max="5372" width="96.85546875" style="2" customWidth="1"/>
    <col min="5373" max="5373" width="30.85546875" style="2" customWidth="1"/>
    <col min="5374" max="5374" width="12.5703125" style="2" customWidth="1"/>
    <col min="5375" max="5375" width="5.140625" style="2" customWidth="1"/>
    <col min="5376" max="5376" width="9.140625" style="2"/>
    <col min="5377" max="5377" width="4.85546875" style="2" customWidth="1"/>
    <col min="5378" max="5378" width="30.5703125" style="2" customWidth="1"/>
    <col min="5379" max="5379" width="33.85546875" style="2" customWidth="1"/>
    <col min="5380" max="5380" width="5.140625" style="2" customWidth="1"/>
    <col min="5381" max="5382" width="17.5703125" style="2" customWidth="1"/>
    <col min="5383" max="5626" width="9.140625" style="2"/>
    <col min="5627" max="5627" width="3.7109375" style="2" customWidth="1"/>
    <col min="5628" max="5628" width="96.85546875" style="2" customWidth="1"/>
    <col min="5629" max="5629" width="30.85546875" style="2" customWidth="1"/>
    <col min="5630" max="5630" width="12.5703125" style="2" customWidth="1"/>
    <col min="5631" max="5631" width="5.140625" style="2" customWidth="1"/>
    <col min="5632" max="5632" width="9.140625" style="2"/>
    <col min="5633" max="5633" width="4.85546875" style="2" customWidth="1"/>
    <col min="5634" max="5634" width="30.5703125" style="2" customWidth="1"/>
    <col min="5635" max="5635" width="33.85546875" style="2" customWidth="1"/>
    <col min="5636" max="5636" width="5.140625" style="2" customWidth="1"/>
    <col min="5637" max="5638" width="17.5703125" style="2" customWidth="1"/>
    <col min="5639" max="5882" width="9.140625" style="2"/>
    <col min="5883" max="5883" width="3.7109375" style="2" customWidth="1"/>
    <col min="5884" max="5884" width="96.85546875" style="2" customWidth="1"/>
    <col min="5885" max="5885" width="30.85546875" style="2" customWidth="1"/>
    <col min="5886" max="5886" width="12.5703125" style="2" customWidth="1"/>
    <col min="5887" max="5887" width="5.140625" style="2" customWidth="1"/>
    <col min="5888" max="5888" width="9.140625" style="2"/>
    <col min="5889" max="5889" width="4.85546875" style="2" customWidth="1"/>
    <col min="5890" max="5890" width="30.5703125" style="2" customWidth="1"/>
    <col min="5891" max="5891" width="33.85546875" style="2" customWidth="1"/>
    <col min="5892" max="5892" width="5.140625" style="2" customWidth="1"/>
    <col min="5893" max="5894" width="17.5703125" style="2" customWidth="1"/>
    <col min="5895" max="6138" width="9.140625" style="2"/>
    <col min="6139" max="6139" width="3.7109375" style="2" customWidth="1"/>
    <col min="6140" max="6140" width="96.85546875" style="2" customWidth="1"/>
    <col min="6141" max="6141" width="30.85546875" style="2" customWidth="1"/>
    <col min="6142" max="6142" width="12.5703125" style="2" customWidth="1"/>
    <col min="6143" max="6143" width="5.140625" style="2" customWidth="1"/>
    <col min="6144" max="6144" width="9.140625" style="2"/>
    <col min="6145" max="6145" width="4.85546875" style="2" customWidth="1"/>
    <col min="6146" max="6146" width="30.5703125" style="2" customWidth="1"/>
    <col min="6147" max="6147" width="33.85546875" style="2" customWidth="1"/>
    <col min="6148" max="6148" width="5.140625" style="2" customWidth="1"/>
    <col min="6149" max="6150" width="17.5703125" style="2" customWidth="1"/>
    <col min="6151" max="6394" width="9.140625" style="2"/>
    <col min="6395" max="6395" width="3.7109375" style="2" customWidth="1"/>
    <col min="6396" max="6396" width="96.85546875" style="2" customWidth="1"/>
    <col min="6397" max="6397" width="30.85546875" style="2" customWidth="1"/>
    <col min="6398" max="6398" width="12.5703125" style="2" customWidth="1"/>
    <col min="6399" max="6399" width="5.140625" style="2" customWidth="1"/>
    <col min="6400" max="6400" width="9.140625" style="2"/>
    <col min="6401" max="6401" width="4.85546875" style="2" customWidth="1"/>
    <col min="6402" max="6402" width="30.5703125" style="2" customWidth="1"/>
    <col min="6403" max="6403" width="33.85546875" style="2" customWidth="1"/>
    <col min="6404" max="6404" width="5.140625" style="2" customWidth="1"/>
    <col min="6405" max="6406" width="17.5703125" style="2" customWidth="1"/>
    <col min="6407" max="6650" width="9.140625" style="2"/>
    <col min="6651" max="6651" width="3.7109375" style="2" customWidth="1"/>
    <col min="6652" max="6652" width="96.85546875" style="2" customWidth="1"/>
    <col min="6653" max="6653" width="30.85546875" style="2" customWidth="1"/>
    <col min="6654" max="6654" width="12.5703125" style="2" customWidth="1"/>
    <col min="6655" max="6655" width="5.140625" style="2" customWidth="1"/>
    <col min="6656" max="6656" width="9.140625" style="2"/>
    <col min="6657" max="6657" width="4.85546875" style="2" customWidth="1"/>
    <col min="6658" max="6658" width="30.5703125" style="2" customWidth="1"/>
    <col min="6659" max="6659" width="33.85546875" style="2" customWidth="1"/>
    <col min="6660" max="6660" width="5.140625" style="2" customWidth="1"/>
    <col min="6661" max="6662" width="17.5703125" style="2" customWidth="1"/>
    <col min="6663" max="6906" width="9.140625" style="2"/>
    <col min="6907" max="6907" width="3.7109375" style="2" customWidth="1"/>
    <col min="6908" max="6908" width="96.85546875" style="2" customWidth="1"/>
    <col min="6909" max="6909" width="30.85546875" style="2" customWidth="1"/>
    <col min="6910" max="6910" width="12.5703125" style="2" customWidth="1"/>
    <col min="6911" max="6911" width="5.140625" style="2" customWidth="1"/>
    <col min="6912" max="6912" width="9.140625" style="2"/>
    <col min="6913" max="6913" width="4.85546875" style="2" customWidth="1"/>
    <col min="6914" max="6914" width="30.5703125" style="2" customWidth="1"/>
    <col min="6915" max="6915" width="33.85546875" style="2" customWidth="1"/>
    <col min="6916" max="6916" width="5.140625" style="2" customWidth="1"/>
    <col min="6917" max="6918" width="17.5703125" style="2" customWidth="1"/>
    <col min="6919" max="7162" width="9.140625" style="2"/>
    <col min="7163" max="7163" width="3.7109375" style="2" customWidth="1"/>
    <col min="7164" max="7164" width="96.85546875" style="2" customWidth="1"/>
    <col min="7165" max="7165" width="30.85546875" style="2" customWidth="1"/>
    <col min="7166" max="7166" width="12.5703125" style="2" customWidth="1"/>
    <col min="7167" max="7167" width="5.140625" style="2" customWidth="1"/>
    <col min="7168" max="7168" width="9.140625" style="2"/>
    <col min="7169" max="7169" width="4.85546875" style="2" customWidth="1"/>
    <col min="7170" max="7170" width="30.5703125" style="2" customWidth="1"/>
    <col min="7171" max="7171" width="33.85546875" style="2" customWidth="1"/>
    <col min="7172" max="7172" width="5.140625" style="2" customWidth="1"/>
    <col min="7173" max="7174" width="17.5703125" style="2" customWidth="1"/>
    <col min="7175" max="7418" width="9.140625" style="2"/>
    <col min="7419" max="7419" width="3.7109375" style="2" customWidth="1"/>
    <col min="7420" max="7420" width="96.85546875" style="2" customWidth="1"/>
    <col min="7421" max="7421" width="30.85546875" style="2" customWidth="1"/>
    <col min="7422" max="7422" width="12.5703125" style="2" customWidth="1"/>
    <col min="7423" max="7423" width="5.140625" style="2" customWidth="1"/>
    <col min="7424" max="7424" width="9.140625" style="2"/>
    <col min="7425" max="7425" width="4.85546875" style="2" customWidth="1"/>
    <col min="7426" max="7426" width="30.5703125" style="2" customWidth="1"/>
    <col min="7427" max="7427" width="33.85546875" style="2" customWidth="1"/>
    <col min="7428" max="7428" width="5.140625" style="2" customWidth="1"/>
    <col min="7429" max="7430" width="17.5703125" style="2" customWidth="1"/>
    <col min="7431" max="7674" width="9.140625" style="2"/>
    <col min="7675" max="7675" width="3.7109375" style="2" customWidth="1"/>
    <col min="7676" max="7676" width="96.85546875" style="2" customWidth="1"/>
    <col min="7677" max="7677" width="30.85546875" style="2" customWidth="1"/>
    <col min="7678" max="7678" width="12.5703125" style="2" customWidth="1"/>
    <col min="7679" max="7679" width="5.140625" style="2" customWidth="1"/>
    <col min="7680" max="7680" width="9.140625" style="2"/>
    <col min="7681" max="7681" width="4.85546875" style="2" customWidth="1"/>
    <col min="7682" max="7682" width="30.5703125" style="2" customWidth="1"/>
    <col min="7683" max="7683" width="33.85546875" style="2" customWidth="1"/>
    <col min="7684" max="7684" width="5.140625" style="2" customWidth="1"/>
    <col min="7685" max="7686" width="17.5703125" style="2" customWidth="1"/>
    <col min="7687" max="7930" width="9.140625" style="2"/>
    <col min="7931" max="7931" width="3.7109375" style="2" customWidth="1"/>
    <col min="7932" max="7932" width="96.85546875" style="2" customWidth="1"/>
    <col min="7933" max="7933" width="30.85546875" style="2" customWidth="1"/>
    <col min="7934" max="7934" width="12.5703125" style="2" customWidth="1"/>
    <col min="7935" max="7935" width="5.140625" style="2" customWidth="1"/>
    <col min="7936" max="7936" width="9.140625" style="2"/>
    <col min="7937" max="7937" width="4.85546875" style="2" customWidth="1"/>
    <col min="7938" max="7938" width="30.5703125" style="2" customWidth="1"/>
    <col min="7939" max="7939" width="33.85546875" style="2" customWidth="1"/>
    <col min="7940" max="7940" width="5.140625" style="2" customWidth="1"/>
    <col min="7941" max="7942" width="17.5703125" style="2" customWidth="1"/>
    <col min="7943" max="8186" width="9.140625" style="2"/>
    <col min="8187" max="8187" width="3.7109375" style="2" customWidth="1"/>
    <col min="8188" max="8188" width="96.85546875" style="2" customWidth="1"/>
    <col min="8189" max="8189" width="30.85546875" style="2" customWidth="1"/>
    <col min="8190" max="8190" width="12.5703125" style="2" customWidth="1"/>
    <col min="8191" max="8191" width="5.140625" style="2" customWidth="1"/>
    <col min="8192" max="8192" width="9.140625" style="2"/>
    <col min="8193" max="8193" width="4.85546875" style="2" customWidth="1"/>
    <col min="8194" max="8194" width="30.5703125" style="2" customWidth="1"/>
    <col min="8195" max="8195" width="33.85546875" style="2" customWidth="1"/>
    <col min="8196" max="8196" width="5.140625" style="2" customWidth="1"/>
    <col min="8197" max="8198" width="17.5703125" style="2" customWidth="1"/>
    <col min="8199" max="8442" width="9.140625" style="2"/>
    <col min="8443" max="8443" width="3.7109375" style="2" customWidth="1"/>
    <col min="8444" max="8444" width="96.85546875" style="2" customWidth="1"/>
    <col min="8445" max="8445" width="30.85546875" style="2" customWidth="1"/>
    <col min="8446" max="8446" width="12.5703125" style="2" customWidth="1"/>
    <col min="8447" max="8447" width="5.140625" style="2" customWidth="1"/>
    <col min="8448" max="8448" width="9.140625" style="2"/>
    <col min="8449" max="8449" width="4.85546875" style="2" customWidth="1"/>
    <col min="8450" max="8450" width="30.5703125" style="2" customWidth="1"/>
    <col min="8451" max="8451" width="33.85546875" style="2" customWidth="1"/>
    <col min="8452" max="8452" width="5.140625" style="2" customWidth="1"/>
    <col min="8453" max="8454" width="17.5703125" style="2" customWidth="1"/>
    <col min="8455" max="8698" width="9.140625" style="2"/>
    <col min="8699" max="8699" width="3.7109375" style="2" customWidth="1"/>
    <col min="8700" max="8700" width="96.85546875" style="2" customWidth="1"/>
    <col min="8701" max="8701" width="30.85546875" style="2" customWidth="1"/>
    <col min="8702" max="8702" width="12.5703125" style="2" customWidth="1"/>
    <col min="8703" max="8703" width="5.140625" style="2" customWidth="1"/>
    <col min="8704" max="8704" width="9.140625" style="2"/>
    <col min="8705" max="8705" width="4.85546875" style="2" customWidth="1"/>
    <col min="8706" max="8706" width="30.5703125" style="2" customWidth="1"/>
    <col min="8707" max="8707" width="33.85546875" style="2" customWidth="1"/>
    <col min="8708" max="8708" width="5.140625" style="2" customWidth="1"/>
    <col min="8709" max="8710" width="17.5703125" style="2" customWidth="1"/>
    <col min="8711" max="8954" width="9.140625" style="2"/>
    <col min="8955" max="8955" width="3.7109375" style="2" customWidth="1"/>
    <col min="8956" max="8956" width="96.85546875" style="2" customWidth="1"/>
    <col min="8957" max="8957" width="30.85546875" style="2" customWidth="1"/>
    <col min="8958" max="8958" width="12.5703125" style="2" customWidth="1"/>
    <col min="8959" max="8959" width="5.140625" style="2" customWidth="1"/>
    <col min="8960" max="8960" width="9.140625" style="2"/>
    <col min="8961" max="8961" width="4.85546875" style="2" customWidth="1"/>
    <col min="8962" max="8962" width="30.5703125" style="2" customWidth="1"/>
    <col min="8963" max="8963" width="33.85546875" style="2" customWidth="1"/>
    <col min="8964" max="8964" width="5.140625" style="2" customWidth="1"/>
    <col min="8965" max="8966" width="17.5703125" style="2" customWidth="1"/>
    <col min="8967" max="9210" width="9.140625" style="2"/>
    <col min="9211" max="9211" width="3.7109375" style="2" customWidth="1"/>
    <col min="9212" max="9212" width="96.85546875" style="2" customWidth="1"/>
    <col min="9213" max="9213" width="30.85546875" style="2" customWidth="1"/>
    <col min="9214" max="9214" width="12.5703125" style="2" customWidth="1"/>
    <col min="9215" max="9215" width="5.140625" style="2" customWidth="1"/>
    <col min="9216" max="9216" width="9.140625" style="2"/>
    <col min="9217" max="9217" width="4.85546875" style="2" customWidth="1"/>
    <col min="9218" max="9218" width="30.5703125" style="2" customWidth="1"/>
    <col min="9219" max="9219" width="33.85546875" style="2" customWidth="1"/>
    <col min="9220" max="9220" width="5.140625" style="2" customWidth="1"/>
    <col min="9221" max="9222" width="17.5703125" style="2" customWidth="1"/>
    <col min="9223" max="9466" width="9.140625" style="2"/>
    <col min="9467" max="9467" width="3.7109375" style="2" customWidth="1"/>
    <col min="9468" max="9468" width="96.85546875" style="2" customWidth="1"/>
    <col min="9469" max="9469" width="30.85546875" style="2" customWidth="1"/>
    <col min="9470" max="9470" width="12.5703125" style="2" customWidth="1"/>
    <col min="9471" max="9471" width="5.140625" style="2" customWidth="1"/>
    <col min="9472" max="9472" width="9.140625" style="2"/>
    <col min="9473" max="9473" width="4.85546875" style="2" customWidth="1"/>
    <col min="9474" max="9474" width="30.5703125" style="2" customWidth="1"/>
    <col min="9475" max="9475" width="33.85546875" style="2" customWidth="1"/>
    <col min="9476" max="9476" width="5.140625" style="2" customWidth="1"/>
    <col min="9477" max="9478" width="17.5703125" style="2" customWidth="1"/>
    <col min="9479" max="9722" width="9.140625" style="2"/>
    <col min="9723" max="9723" width="3.7109375" style="2" customWidth="1"/>
    <col min="9724" max="9724" width="96.85546875" style="2" customWidth="1"/>
    <col min="9725" max="9725" width="30.85546875" style="2" customWidth="1"/>
    <col min="9726" max="9726" width="12.5703125" style="2" customWidth="1"/>
    <col min="9727" max="9727" width="5.140625" style="2" customWidth="1"/>
    <col min="9728" max="9728" width="9.140625" style="2"/>
    <col min="9729" max="9729" width="4.85546875" style="2" customWidth="1"/>
    <col min="9730" max="9730" width="30.5703125" style="2" customWidth="1"/>
    <col min="9731" max="9731" width="33.85546875" style="2" customWidth="1"/>
    <col min="9732" max="9732" width="5.140625" style="2" customWidth="1"/>
    <col min="9733" max="9734" width="17.5703125" style="2" customWidth="1"/>
    <col min="9735" max="9978" width="9.140625" style="2"/>
    <col min="9979" max="9979" width="3.7109375" style="2" customWidth="1"/>
    <col min="9980" max="9980" width="96.85546875" style="2" customWidth="1"/>
    <col min="9981" max="9981" width="30.85546875" style="2" customWidth="1"/>
    <col min="9982" max="9982" width="12.5703125" style="2" customWidth="1"/>
    <col min="9983" max="9983" width="5.140625" style="2" customWidth="1"/>
    <col min="9984" max="9984" width="9.140625" style="2"/>
    <col min="9985" max="9985" width="4.85546875" style="2" customWidth="1"/>
    <col min="9986" max="9986" width="30.5703125" style="2" customWidth="1"/>
    <col min="9987" max="9987" width="33.85546875" style="2" customWidth="1"/>
    <col min="9988" max="9988" width="5.140625" style="2" customWidth="1"/>
    <col min="9989" max="9990" width="17.5703125" style="2" customWidth="1"/>
    <col min="9991" max="10234" width="9.140625" style="2"/>
    <col min="10235" max="10235" width="3.7109375" style="2" customWidth="1"/>
    <col min="10236" max="10236" width="96.85546875" style="2" customWidth="1"/>
    <col min="10237" max="10237" width="30.85546875" style="2" customWidth="1"/>
    <col min="10238" max="10238" width="12.5703125" style="2" customWidth="1"/>
    <col min="10239" max="10239" width="5.140625" style="2" customWidth="1"/>
    <col min="10240" max="10240" width="9.140625" style="2"/>
    <col min="10241" max="10241" width="4.85546875" style="2" customWidth="1"/>
    <col min="10242" max="10242" width="30.5703125" style="2" customWidth="1"/>
    <col min="10243" max="10243" width="33.85546875" style="2" customWidth="1"/>
    <col min="10244" max="10244" width="5.140625" style="2" customWidth="1"/>
    <col min="10245" max="10246" width="17.5703125" style="2" customWidth="1"/>
    <col min="10247" max="10490" width="9.140625" style="2"/>
    <col min="10491" max="10491" width="3.7109375" style="2" customWidth="1"/>
    <col min="10492" max="10492" width="96.85546875" style="2" customWidth="1"/>
    <col min="10493" max="10493" width="30.85546875" style="2" customWidth="1"/>
    <col min="10494" max="10494" width="12.5703125" style="2" customWidth="1"/>
    <col min="10495" max="10495" width="5.140625" style="2" customWidth="1"/>
    <col min="10496" max="10496" width="9.140625" style="2"/>
    <col min="10497" max="10497" width="4.85546875" style="2" customWidth="1"/>
    <col min="10498" max="10498" width="30.5703125" style="2" customWidth="1"/>
    <col min="10499" max="10499" width="33.85546875" style="2" customWidth="1"/>
    <col min="10500" max="10500" width="5.140625" style="2" customWidth="1"/>
    <col min="10501" max="10502" width="17.5703125" style="2" customWidth="1"/>
    <col min="10503" max="10746" width="9.140625" style="2"/>
    <col min="10747" max="10747" width="3.7109375" style="2" customWidth="1"/>
    <col min="10748" max="10748" width="96.85546875" style="2" customWidth="1"/>
    <col min="10749" max="10749" width="30.85546875" style="2" customWidth="1"/>
    <col min="10750" max="10750" width="12.5703125" style="2" customWidth="1"/>
    <col min="10751" max="10751" width="5.140625" style="2" customWidth="1"/>
    <col min="10752" max="10752" width="9.140625" style="2"/>
    <col min="10753" max="10753" width="4.85546875" style="2" customWidth="1"/>
    <col min="10754" max="10754" width="30.5703125" style="2" customWidth="1"/>
    <col min="10755" max="10755" width="33.85546875" style="2" customWidth="1"/>
    <col min="10756" max="10756" width="5.140625" style="2" customWidth="1"/>
    <col min="10757" max="10758" width="17.5703125" style="2" customWidth="1"/>
    <col min="10759" max="11002" width="9.140625" style="2"/>
    <col min="11003" max="11003" width="3.7109375" style="2" customWidth="1"/>
    <col min="11004" max="11004" width="96.85546875" style="2" customWidth="1"/>
    <col min="11005" max="11005" width="30.85546875" style="2" customWidth="1"/>
    <col min="11006" max="11006" width="12.5703125" style="2" customWidth="1"/>
    <col min="11007" max="11007" width="5.140625" style="2" customWidth="1"/>
    <col min="11008" max="11008" width="9.140625" style="2"/>
    <col min="11009" max="11009" width="4.85546875" style="2" customWidth="1"/>
    <col min="11010" max="11010" width="30.5703125" style="2" customWidth="1"/>
    <col min="11011" max="11011" width="33.85546875" style="2" customWidth="1"/>
    <col min="11012" max="11012" width="5.140625" style="2" customWidth="1"/>
    <col min="11013" max="11014" width="17.5703125" style="2" customWidth="1"/>
    <col min="11015" max="11258" width="9.140625" style="2"/>
    <col min="11259" max="11259" width="3.7109375" style="2" customWidth="1"/>
    <col min="11260" max="11260" width="96.85546875" style="2" customWidth="1"/>
    <col min="11261" max="11261" width="30.85546875" style="2" customWidth="1"/>
    <col min="11262" max="11262" width="12.5703125" style="2" customWidth="1"/>
    <col min="11263" max="11263" width="5.140625" style="2" customWidth="1"/>
    <col min="11264" max="11264" width="9.140625" style="2"/>
    <col min="11265" max="11265" width="4.85546875" style="2" customWidth="1"/>
    <col min="11266" max="11266" width="30.5703125" style="2" customWidth="1"/>
    <col min="11267" max="11267" width="33.85546875" style="2" customWidth="1"/>
    <col min="11268" max="11268" width="5.140625" style="2" customWidth="1"/>
    <col min="11269" max="11270" width="17.5703125" style="2" customWidth="1"/>
    <col min="11271" max="11514" width="9.140625" style="2"/>
    <col min="11515" max="11515" width="3.7109375" style="2" customWidth="1"/>
    <col min="11516" max="11516" width="96.85546875" style="2" customWidth="1"/>
    <col min="11517" max="11517" width="30.85546875" style="2" customWidth="1"/>
    <col min="11518" max="11518" width="12.5703125" style="2" customWidth="1"/>
    <col min="11519" max="11519" width="5.140625" style="2" customWidth="1"/>
    <col min="11520" max="11520" width="9.140625" style="2"/>
    <col min="11521" max="11521" width="4.85546875" style="2" customWidth="1"/>
    <col min="11522" max="11522" width="30.5703125" style="2" customWidth="1"/>
    <col min="11523" max="11523" width="33.85546875" style="2" customWidth="1"/>
    <col min="11524" max="11524" width="5.140625" style="2" customWidth="1"/>
    <col min="11525" max="11526" width="17.5703125" style="2" customWidth="1"/>
    <col min="11527" max="11770" width="9.140625" style="2"/>
    <col min="11771" max="11771" width="3.7109375" style="2" customWidth="1"/>
    <col min="11772" max="11772" width="96.85546875" style="2" customWidth="1"/>
    <col min="11773" max="11773" width="30.85546875" style="2" customWidth="1"/>
    <col min="11774" max="11774" width="12.5703125" style="2" customWidth="1"/>
    <col min="11775" max="11775" width="5.140625" style="2" customWidth="1"/>
    <col min="11776" max="11776" width="9.140625" style="2"/>
    <col min="11777" max="11777" width="4.85546875" style="2" customWidth="1"/>
    <col min="11778" max="11778" width="30.5703125" style="2" customWidth="1"/>
    <col min="11779" max="11779" width="33.85546875" style="2" customWidth="1"/>
    <col min="11780" max="11780" width="5.140625" style="2" customWidth="1"/>
    <col min="11781" max="11782" width="17.5703125" style="2" customWidth="1"/>
    <col min="11783" max="12026" width="9.140625" style="2"/>
    <col min="12027" max="12027" width="3.7109375" style="2" customWidth="1"/>
    <col min="12028" max="12028" width="96.85546875" style="2" customWidth="1"/>
    <col min="12029" max="12029" width="30.85546875" style="2" customWidth="1"/>
    <col min="12030" max="12030" width="12.5703125" style="2" customWidth="1"/>
    <col min="12031" max="12031" width="5.140625" style="2" customWidth="1"/>
    <col min="12032" max="12032" width="9.140625" style="2"/>
    <col min="12033" max="12033" width="4.85546875" style="2" customWidth="1"/>
    <col min="12034" max="12034" width="30.5703125" style="2" customWidth="1"/>
    <col min="12035" max="12035" width="33.85546875" style="2" customWidth="1"/>
    <col min="12036" max="12036" width="5.140625" style="2" customWidth="1"/>
    <col min="12037" max="12038" width="17.5703125" style="2" customWidth="1"/>
    <col min="12039" max="12282" width="9.140625" style="2"/>
    <col min="12283" max="12283" width="3.7109375" style="2" customWidth="1"/>
    <col min="12284" max="12284" width="96.85546875" style="2" customWidth="1"/>
    <col min="12285" max="12285" width="30.85546875" style="2" customWidth="1"/>
    <col min="12286" max="12286" width="12.5703125" style="2" customWidth="1"/>
    <col min="12287" max="12287" width="5.140625" style="2" customWidth="1"/>
    <col min="12288" max="12288" width="9.140625" style="2"/>
    <col min="12289" max="12289" width="4.85546875" style="2" customWidth="1"/>
    <col min="12290" max="12290" width="30.5703125" style="2" customWidth="1"/>
    <col min="12291" max="12291" width="33.85546875" style="2" customWidth="1"/>
    <col min="12292" max="12292" width="5.140625" style="2" customWidth="1"/>
    <col min="12293" max="12294" width="17.5703125" style="2" customWidth="1"/>
    <col min="12295" max="12538" width="9.140625" style="2"/>
    <col min="12539" max="12539" width="3.7109375" style="2" customWidth="1"/>
    <col min="12540" max="12540" width="96.85546875" style="2" customWidth="1"/>
    <col min="12541" max="12541" width="30.85546875" style="2" customWidth="1"/>
    <col min="12542" max="12542" width="12.5703125" style="2" customWidth="1"/>
    <col min="12543" max="12543" width="5.140625" style="2" customWidth="1"/>
    <col min="12544" max="12544" width="9.140625" style="2"/>
    <col min="12545" max="12545" width="4.85546875" style="2" customWidth="1"/>
    <col min="12546" max="12546" width="30.5703125" style="2" customWidth="1"/>
    <col min="12547" max="12547" width="33.85546875" style="2" customWidth="1"/>
    <col min="12548" max="12548" width="5.140625" style="2" customWidth="1"/>
    <col min="12549" max="12550" width="17.5703125" style="2" customWidth="1"/>
    <col min="12551" max="12794" width="9.140625" style="2"/>
    <col min="12795" max="12795" width="3.7109375" style="2" customWidth="1"/>
    <col min="12796" max="12796" width="96.85546875" style="2" customWidth="1"/>
    <col min="12797" max="12797" width="30.85546875" style="2" customWidth="1"/>
    <col min="12798" max="12798" width="12.5703125" style="2" customWidth="1"/>
    <col min="12799" max="12799" width="5.140625" style="2" customWidth="1"/>
    <col min="12800" max="12800" width="9.140625" style="2"/>
    <col min="12801" max="12801" width="4.85546875" style="2" customWidth="1"/>
    <col min="12802" max="12802" width="30.5703125" style="2" customWidth="1"/>
    <col min="12803" max="12803" width="33.85546875" style="2" customWidth="1"/>
    <col min="12804" max="12804" width="5.140625" style="2" customWidth="1"/>
    <col min="12805" max="12806" width="17.5703125" style="2" customWidth="1"/>
    <col min="12807" max="13050" width="9.140625" style="2"/>
    <col min="13051" max="13051" width="3.7109375" style="2" customWidth="1"/>
    <col min="13052" max="13052" width="96.85546875" style="2" customWidth="1"/>
    <col min="13053" max="13053" width="30.85546875" style="2" customWidth="1"/>
    <col min="13054" max="13054" width="12.5703125" style="2" customWidth="1"/>
    <col min="13055" max="13055" width="5.140625" style="2" customWidth="1"/>
    <col min="13056" max="13056" width="9.140625" style="2"/>
    <col min="13057" max="13057" width="4.85546875" style="2" customWidth="1"/>
    <col min="13058" max="13058" width="30.5703125" style="2" customWidth="1"/>
    <col min="13059" max="13059" width="33.85546875" style="2" customWidth="1"/>
    <col min="13060" max="13060" width="5.140625" style="2" customWidth="1"/>
    <col min="13061" max="13062" width="17.5703125" style="2" customWidth="1"/>
    <col min="13063" max="13306" width="9.140625" style="2"/>
    <col min="13307" max="13307" width="3.7109375" style="2" customWidth="1"/>
    <col min="13308" max="13308" width="96.85546875" style="2" customWidth="1"/>
    <col min="13309" max="13309" width="30.85546875" style="2" customWidth="1"/>
    <col min="13310" max="13310" width="12.5703125" style="2" customWidth="1"/>
    <col min="13311" max="13311" width="5.140625" style="2" customWidth="1"/>
    <col min="13312" max="13312" width="9.140625" style="2"/>
    <col min="13313" max="13313" width="4.85546875" style="2" customWidth="1"/>
    <col min="13314" max="13314" width="30.5703125" style="2" customWidth="1"/>
    <col min="13315" max="13315" width="33.85546875" style="2" customWidth="1"/>
    <col min="13316" max="13316" width="5.140625" style="2" customWidth="1"/>
    <col min="13317" max="13318" width="17.5703125" style="2" customWidth="1"/>
    <col min="13319" max="13562" width="9.140625" style="2"/>
    <col min="13563" max="13563" width="3.7109375" style="2" customWidth="1"/>
    <col min="13564" max="13564" width="96.85546875" style="2" customWidth="1"/>
    <col min="13565" max="13565" width="30.85546875" style="2" customWidth="1"/>
    <col min="13566" max="13566" width="12.5703125" style="2" customWidth="1"/>
    <col min="13567" max="13567" width="5.140625" style="2" customWidth="1"/>
    <col min="13568" max="13568" width="9.140625" style="2"/>
    <col min="13569" max="13569" width="4.85546875" style="2" customWidth="1"/>
    <col min="13570" max="13570" width="30.5703125" style="2" customWidth="1"/>
    <col min="13571" max="13571" width="33.85546875" style="2" customWidth="1"/>
    <col min="13572" max="13572" width="5.140625" style="2" customWidth="1"/>
    <col min="13573" max="13574" width="17.5703125" style="2" customWidth="1"/>
    <col min="13575" max="13818" width="9.140625" style="2"/>
    <col min="13819" max="13819" width="3.7109375" style="2" customWidth="1"/>
    <col min="13820" max="13820" width="96.85546875" style="2" customWidth="1"/>
    <col min="13821" max="13821" width="30.85546875" style="2" customWidth="1"/>
    <col min="13822" max="13822" width="12.5703125" style="2" customWidth="1"/>
    <col min="13823" max="13823" width="5.140625" style="2" customWidth="1"/>
    <col min="13824" max="13824" width="9.140625" style="2"/>
    <col min="13825" max="13825" width="4.85546875" style="2" customWidth="1"/>
    <col min="13826" max="13826" width="30.5703125" style="2" customWidth="1"/>
    <col min="13827" max="13827" width="33.85546875" style="2" customWidth="1"/>
    <col min="13828" max="13828" width="5.140625" style="2" customWidth="1"/>
    <col min="13829" max="13830" width="17.5703125" style="2" customWidth="1"/>
    <col min="13831" max="14074" width="9.140625" style="2"/>
    <col min="14075" max="14075" width="3.7109375" style="2" customWidth="1"/>
    <col min="14076" max="14076" width="96.85546875" style="2" customWidth="1"/>
    <col min="14077" max="14077" width="30.85546875" style="2" customWidth="1"/>
    <col min="14078" max="14078" width="12.5703125" style="2" customWidth="1"/>
    <col min="14079" max="14079" width="5.140625" style="2" customWidth="1"/>
    <col min="14080" max="14080" width="9.140625" style="2"/>
    <col min="14081" max="14081" width="4.85546875" style="2" customWidth="1"/>
    <col min="14082" max="14082" width="30.5703125" style="2" customWidth="1"/>
    <col min="14083" max="14083" width="33.85546875" style="2" customWidth="1"/>
    <col min="14084" max="14084" width="5.140625" style="2" customWidth="1"/>
    <col min="14085" max="14086" width="17.5703125" style="2" customWidth="1"/>
    <col min="14087" max="14330" width="9.140625" style="2"/>
    <col min="14331" max="14331" width="3.7109375" style="2" customWidth="1"/>
    <col min="14332" max="14332" width="96.85546875" style="2" customWidth="1"/>
    <col min="14333" max="14333" width="30.85546875" style="2" customWidth="1"/>
    <col min="14334" max="14334" width="12.5703125" style="2" customWidth="1"/>
    <col min="14335" max="14335" width="5.140625" style="2" customWidth="1"/>
    <col min="14336" max="14336" width="9.140625" style="2"/>
    <col min="14337" max="14337" width="4.85546875" style="2" customWidth="1"/>
    <col min="14338" max="14338" width="30.5703125" style="2" customWidth="1"/>
    <col min="14339" max="14339" width="33.85546875" style="2" customWidth="1"/>
    <col min="14340" max="14340" width="5.140625" style="2" customWidth="1"/>
    <col min="14341" max="14342" width="17.5703125" style="2" customWidth="1"/>
    <col min="14343" max="14586" width="9.140625" style="2"/>
    <col min="14587" max="14587" width="3.7109375" style="2" customWidth="1"/>
    <col min="14588" max="14588" width="96.85546875" style="2" customWidth="1"/>
    <col min="14589" max="14589" width="30.85546875" style="2" customWidth="1"/>
    <col min="14590" max="14590" width="12.5703125" style="2" customWidth="1"/>
    <col min="14591" max="14591" width="5.140625" style="2" customWidth="1"/>
    <col min="14592" max="14592" width="9.140625" style="2"/>
    <col min="14593" max="14593" width="4.85546875" style="2" customWidth="1"/>
    <col min="14594" max="14594" width="30.5703125" style="2" customWidth="1"/>
    <col min="14595" max="14595" width="33.85546875" style="2" customWidth="1"/>
    <col min="14596" max="14596" width="5.140625" style="2" customWidth="1"/>
    <col min="14597" max="14598" width="17.5703125" style="2" customWidth="1"/>
    <col min="14599" max="14842" width="9.140625" style="2"/>
    <col min="14843" max="14843" width="3.7109375" style="2" customWidth="1"/>
    <col min="14844" max="14844" width="96.85546875" style="2" customWidth="1"/>
    <col min="14845" max="14845" width="30.85546875" style="2" customWidth="1"/>
    <col min="14846" max="14846" width="12.5703125" style="2" customWidth="1"/>
    <col min="14847" max="14847" width="5.140625" style="2" customWidth="1"/>
    <col min="14848" max="14848" width="9.140625" style="2"/>
    <col min="14849" max="14849" width="4.85546875" style="2" customWidth="1"/>
    <col min="14850" max="14850" width="30.5703125" style="2" customWidth="1"/>
    <col min="14851" max="14851" width="33.85546875" style="2" customWidth="1"/>
    <col min="14852" max="14852" width="5.140625" style="2" customWidth="1"/>
    <col min="14853" max="14854" width="17.5703125" style="2" customWidth="1"/>
    <col min="14855" max="15098" width="9.140625" style="2"/>
    <col min="15099" max="15099" width="3.7109375" style="2" customWidth="1"/>
    <col min="15100" max="15100" width="96.85546875" style="2" customWidth="1"/>
    <col min="15101" max="15101" width="30.85546875" style="2" customWidth="1"/>
    <col min="15102" max="15102" width="12.5703125" style="2" customWidth="1"/>
    <col min="15103" max="15103" width="5.140625" style="2" customWidth="1"/>
    <col min="15104" max="15104" width="9.140625" style="2"/>
    <col min="15105" max="15105" width="4.85546875" style="2" customWidth="1"/>
    <col min="15106" max="15106" width="30.5703125" style="2" customWidth="1"/>
    <col min="15107" max="15107" width="33.85546875" style="2" customWidth="1"/>
    <col min="15108" max="15108" width="5.140625" style="2" customWidth="1"/>
    <col min="15109" max="15110" width="17.5703125" style="2" customWidth="1"/>
    <col min="15111" max="15354" width="9.140625" style="2"/>
    <col min="15355" max="15355" width="3.7109375" style="2" customWidth="1"/>
    <col min="15356" max="15356" width="96.85546875" style="2" customWidth="1"/>
    <col min="15357" max="15357" width="30.85546875" style="2" customWidth="1"/>
    <col min="15358" max="15358" width="12.5703125" style="2" customWidth="1"/>
    <col min="15359" max="15359" width="5.140625" style="2" customWidth="1"/>
    <col min="15360" max="15360" width="9.140625" style="2"/>
    <col min="15361" max="15361" width="4.85546875" style="2" customWidth="1"/>
    <col min="15362" max="15362" width="30.5703125" style="2" customWidth="1"/>
    <col min="15363" max="15363" width="33.85546875" style="2" customWidth="1"/>
    <col min="15364" max="15364" width="5.140625" style="2" customWidth="1"/>
    <col min="15365" max="15366" width="17.5703125" style="2" customWidth="1"/>
    <col min="15367" max="15610" width="9.140625" style="2"/>
    <col min="15611" max="15611" width="3.7109375" style="2" customWidth="1"/>
    <col min="15612" max="15612" width="96.85546875" style="2" customWidth="1"/>
    <col min="15613" max="15613" width="30.85546875" style="2" customWidth="1"/>
    <col min="15614" max="15614" width="12.5703125" style="2" customWidth="1"/>
    <col min="15615" max="15615" width="5.140625" style="2" customWidth="1"/>
    <col min="15616" max="15616" width="9.140625" style="2"/>
    <col min="15617" max="15617" width="4.85546875" style="2" customWidth="1"/>
    <col min="15618" max="15618" width="30.5703125" style="2" customWidth="1"/>
    <col min="15619" max="15619" width="33.85546875" style="2" customWidth="1"/>
    <col min="15620" max="15620" width="5.140625" style="2" customWidth="1"/>
    <col min="15621" max="15622" width="17.5703125" style="2" customWidth="1"/>
    <col min="15623" max="15866" width="9.140625" style="2"/>
    <col min="15867" max="15867" width="3.7109375" style="2" customWidth="1"/>
    <col min="15868" max="15868" width="96.85546875" style="2" customWidth="1"/>
    <col min="15869" max="15869" width="30.85546875" style="2" customWidth="1"/>
    <col min="15870" max="15870" width="12.5703125" style="2" customWidth="1"/>
    <col min="15871" max="15871" width="5.140625" style="2" customWidth="1"/>
    <col min="15872" max="15872" width="9.140625" style="2"/>
    <col min="15873" max="15873" width="4.85546875" style="2" customWidth="1"/>
    <col min="15874" max="15874" width="30.5703125" style="2" customWidth="1"/>
    <col min="15875" max="15875" width="33.85546875" style="2" customWidth="1"/>
    <col min="15876" max="15876" width="5.140625" style="2" customWidth="1"/>
    <col min="15877" max="15878" width="17.5703125" style="2" customWidth="1"/>
    <col min="15879" max="16122" width="9.140625" style="2"/>
    <col min="16123" max="16123" width="3.7109375" style="2" customWidth="1"/>
    <col min="16124" max="16124" width="96.85546875" style="2" customWidth="1"/>
    <col min="16125" max="16125" width="30.85546875" style="2" customWidth="1"/>
    <col min="16126" max="16126" width="12.5703125" style="2" customWidth="1"/>
    <col min="16127" max="16127" width="5.140625" style="2" customWidth="1"/>
    <col min="16128" max="16128" width="9.140625" style="2"/>
    <col min="16129" max="16129" width="4.85546875" style="2" customWidth="1"/>
    <col min="16130" max="16130" width="30.5703125" style="2" customWidth="1"/>
    <col min="16131" max="16131" width="33.85546875" style="2" customWidth="1"/>
    <col min="16132" max="16132" width="5.140625" style="2" customWidth="1"/>
    <col min="16133" max="16134" width="17.5703125" style="2" customWidth="1"/>
    <col min="16135" max="16384" width="9.140625" style="2"/>
  </cols>
  <sheetData>
    <row r="1" spans="1:4" ht="48" customHeight="1" x14ac:dyDescent="0.2">
      <c r="A1" s="3"/>
      <c r="B1" s="163" t="s">
        <v>227</v>
      </c>
      <c r="C1" s="163"/>
      <c r="D1" s="163"/>
    </row>
    <row r="2" spans="1:4" x14ac:dyDescent="0.2">
      <c r="A2" s="3"/>
      <c r="B2" s="4" t="s">
        <v>1</v>
      </c>
      <c r="C2" s="5">
        <v>45317</v>
      </c>
    </row>
    <row r="3" spans="1:4" x14ac:dyDescent="0.2">
      <c r="A3" s="3"/>
      <c r="B3" s="117" t="s">
        <v>2</v>
      </c>
      <c r="C3" s="7"/>
    </row>
    <row r="4" spans="1:4" ht="25.5" x14ac:dyDescent="0.2">
      <c r="A4" s="8"/>
      <c r="B4" s="9" t="str">
        <f>[10]И1!D13</f>
        <v>Субъект Российской Федерации</v>
      </c>
      <c r="C4" s="10" t="str">
        <f>[10]И1!E13</f>
        <v>Новосибирская область</v>
      </c>
      <c r="D4" s="9"/>
    </row>
    <row r="5" spans="1:4" ht="48.6" customHeight="1" x14ac:dyDescent="0.2">
      <c r="A5" s="8"/>
      <c r="B5" s="9" t="str">
        <f>[10]И1!D14</f>
        <v>Тип муниципального образования (выберите из списка)</v>
      </c>
      <c r="C5" s="10" t="str">
        <f>[10]И1!E14</f>
        <v>станция Евсино, Искитимский муниципальный район</v>
      </c>
      <c r="D5" s="9"/>
    </row>
    <row r="6" spans="1:4" x14ac:dyDescent="0.2">
      <c r="A6" s="8"/>
      <c r="B6" s="9" t="str">
        <f>IF([10]И1!E15="","",[10]И1!D15)</f>
        <v/>
      </c>
      <c r="C6" s="7" t="str">
        <f>IF([10]И1!E15="","",[10]И1!E15)</f>
        <v/>
      </c>
      <c r="D6" s="9"/>
    </row>
    <row r="7" spans="1:4" x14ac:dyDescent="0.2">
      <c r="A7" s="8"/>
      <c r="B7" s="9" t="str">
        <f>[10]И1!D16</f>
        <v>Код ОКТМО</v>
      </c>
      <c r="C7" s="11" t="str">
        <f>[10]И1!E16</f>
        <v xml:space="preserve"> (50615413101)</v>
      </c>
      <c r="D7" s="9"/>
    </row>
    <row r="8" spans="1:4" x14ac:dyDescent="0.2">
      <c r="A8" s="8"/>
      <c r="B8" s="12" t="str">
        <f>[10]И1!D17</f>
        <v>Система теплоснабжения</v>
      </c>
      <c r="C8" s="13">
        <f>[10]И1!E17</f>
        <v>0</v>
      </c>
      <c r="D8" s="9"/>
    </row>
    <row r="9" spans="1:4" x14ac:dyDescent="0.2">
      <c r="A9" s="8"/>
      <c r="B9" s="9" t="str">
        <f>[10]И1!D8</f>
        <v>Период регулирования (i)-й</v>
      </c>
      <c r="C9" s="14">
        <f>[10]И1!E8</f>
        <v>2024</v>
      </c>
      <c r="D9" s="9"/>
    </row>
    <row r="10" spans="1:4" x14ac:dyDescent="0.2">
      <c r="A10" s="8"/>
      <c r="B10" s="9" t="str">
        <f>[10]И1!D9</f>
        <v>Период регулирования (i-1)-й</v>
      </c>
      <c r="C10" s="14">
        <f>[10]И1!E9</f>
        <v>2023</v>
      </c>
      <c r="D10" s="9"/>
    </row>
    <row r="11" spans="1:4" x14ac:dyDescent="0.2">
      <c r="A11" s="8"/>
      <c r="B11" s="9" t="str">
        <f>[10]И1!D10</f>
        <v>Период регулирования (i-2)-й</v>
      </c>
      <c r="C11" s="14">
        <f>[10]И1!E10</f>
        <v>2022</v>
      </c>
      <c r="D11" s="9"/>
    </row>
    <row r="12" spans="1:4" x14ac:dyDescent="0.2">
      <c r="A12" s="8"/>
      <c r="B12" s="9" t="str">
        <f>[10]И1!D11</f>
        <v>Базовый год (б)</v>
      </c>
      <c r="C12" s="14">
        <f>[10]И1!E11</f>
        <v>2019</v>
      </c>
      <c r="D12" s="9"/>
    </row>
    <row r="13" spans="1:4" x14ac:dyDescent="0.2">
      <c r="A13" s="8"/>
      <c r="B13" s="9" t="str">
        <f>[10]И1!D18</f>
        <v>Вид топлива, использование которого преобладает в системе теплоснабжения</v>
      </c>
      <c r="C13" s="15" t="str">
        <f>[10]И1!E18</f>
        <v>Газ</v>
      </c>
      <c r="D13" s="9"/>
    </row>
    <row r="14" spans="1:4" ht="26.25" customHeight="1" thickBot="1" x14ac:dyDescent="0.25">
      <c r="A14" s="167" t="s">
        <v>3</v>
      </c>
      <c r="B14" s="167"/>
      <c r="C14" s="167"/>
    </row>
    <row r="15" spans="1:4" x14ac:dyDescent="0.2">
      <c r="A15" s="16" t="s">
        <v>4</v>
      </c>
      <c r="B15" s="30" t="s">
        <v>5</v>
      </c>
      <c r="C15" s="118" t="s">
        <v>6</v>
      </c>
    </row>
    <row r="16" spans="1:4" x14ac:dyDescent="0.2">
      <c r="A16" s="19">
        <v>1</v>
      </c>
      <c r="B16" s="119">
        <v>2</v>
      </c>
      <c r="C16" s="120">
        <v>3</v>
      </c>
    </row>
    <row r="17" spans="1:4" x14ac:dyDescent="0.2">
      <c r="A17" s="22">
        <v>1</v>
      </c>
      <c r="B17" s="23" t="s">
        <v>7</v>
      </c>
      <c r="C17" s="24">
        <f>SUM(C18:C23)</f>
        <v>2939.204068798766</v>
      </c>
    </row>
    <row r="18" spans="1:4" ht="42.75" x14ac:dyDescent="0.2">
      <c r="A18" s="22" t="s">
        <v>8</v>
      </c>
      <c r="B18" s="25" t="s">
        <v>9</v>
      </c>
      <c r="C18" s="26">
        <f>[10]С1!F12</f>
        <v>994.35037159416254</v>
      </c>
    </row>
    <row r="19" spans="1:4" ht="42.75" x14ac:dyDescent="0.2">
      <c r="A19" s="22" t="s">
        <v>10</v>
      </c>
      <c r="B19" s="25" t="s">
        <v>11</v>
      </c>
      <c r="C19" s="26">
        <f>[10]С2!F12</f>
        <v>1338.5714783459885</v>
      </c>
    </row>
    <row r="20" spans="1:4" ht="30" x14ac:dyDescent="0.2">
      <c r="A20" s="22" t="s">
        <v>12</v>
      </c>
      <c r="B20" s="25" t="s">
        <v>13</v>
      </c>
      <c r="C20" s="26">
        <f>[10]С3!F12</f>
        <v>317.98065232680995</v>
      </c>
    </row>
    <row r="21" spans="1:4" ht="42.75" x14ac:dyDescent="0.2">
      <c r="A21" s="22" t="s">
        <v>14</v>
      </c>
      <c r="B21" s="25" t="s">
        <v>228</v>
      </c>
      <c r="C21" s="26">
        <f>[10]С4!F12</f>
        <v>230.67011420241766</v>
      </c>
    </row>
    <row r="22" spans="1:4" ht="33" customHeight="1" x14ac:dyDescent="0.2">
      <c r="A22" s="22" t="s">
        <v>16</v>
      </c>
      <c r="B22" s="25" t="s">
        <v>229</v>
      </c>
      <c r="C22" s="26">
        <f>[10]С5!F12</f>
        <v>57.631452329387571</v>
      </c>
    </row>
    <row r="23" spans="1:4" ht="45.75" customHeight="1" thickBot="1" x14ac:dyDescent="0.25">
      <c r="A23" s="27" t="s">
        <v>18</v>
      </c>
      <c r="B23" s="140" t="s">
        <v>230</v>
      </c>
      <c r="C23" s="28">
        <f>[10]С6!F12</f>
        <v>0</v>
      </c>
    </row>
    <row r="24" spans="1:4" ht="13.5" thickBot="1" x14ac:dyDescent="0.25">
      <c r="A24" s="3"/>
      <c r="C24" s="7"/>
    </row>
    <row r="25" spans="1:4" x14ac:dyDescent="0.2">
      <c r="A25" s="16" t="s">
        <v>4</v>
      </c>
      <c r="B25" s="29" t="s">
        <v>5</v>
      </c>
      <c r="C25" s="30" t="s">
        <v>6</v>
      </c>
      <c r="D25" s="143" t="s">
        <v>259</v>
      </c>
    </row>
    <row r="26" spans="1:4" x14ac:dyDescent="0.2">
      <c r="A26" s="19">
        <v>1</v>
      </c>
      <c r="B26" s="31">
        <v>2</v>
      </c>
      <c r="C26" s="32">
        <v>3</v>
      </c>
      <c r="D26" s="144">
        <v>4</v>
      </c>
    </row>
    <row r="27" spans="1:4" ht="30" customHeight="1" x14ac:dyDescent="0.2">
      <c r="A27" s="22">
        <v>1</v>
      </c>
      <c r="B27" s="164" t="s">
        <v>20</v>
      </c>
      <c r="C27" s="164"/>
      <c r="D27" s="169"/>
    </row>
    <row r="28" spans="1:4" ht="25.5" x14ac:dyDescent="0.2">
      <c r="A28" s="22" t="s">
        <v>8</v>
      </c>
      <c r="B28" s="33" t="s">
        <v>231</v>
      </c>
      <c r="C28" s="34">
        <f>[10]С1.1!E16</f>
        <v>7900</v>
      </c>
      <c r="D28" s="145" t="str">
        <f>[10]С1.1!F16</f>
        <v>Приказ ФАС России от 02.06.2021 №545/21</v>
      </c>
    </row>
    <row r="29" spans="1:4" ht="102" x14ac:dyDescent="0.2">
      <c r="A29" s="22" t="s">
        <v>10</v>
      </c>
      <c r="B29" s="33" t="s">
        <v>232</v>
      </c>
      <c r="C29" s="34">
        <f>[10]С1.1!E32</f>
        <v>5751.37</v>
      </c>
      <c r="D29" s="145" t="str">
        <f>IF([10]С1.1!E24=[10]С1.1!I9,[10]С1.1!I9,IF([10]С1.1!E24=[10]С1.1!I10,[10]С1.1!I10,IF([10]С1.1!E24=[10]С1.1!I11,[10]С1.3!G9,IF([10]С1.1!E24=[10]С1.1!I12,[10]С1.1!F30,IF([10]С1.1!E24=[10]С1.1!I13,[10]С1.1!F31,"")))))</f>
        <v>цены (тарифы), подлежащие государственному регулированию, действовавшие на день окончания (i-2)-го расчетного периода в системе теплоснабжения</v>
      </c>
    </row>
    <row r="30" spans="1:4" ht="38.25" x14ac:dyDescent="0.2">
      <c r="A30" s="22" t="s">
        <v>233</v>
      </c>
      <c r="B30" s="33" t="s">
        <v>234</v>
      </c>
      <c r="C30" s="85" t="str">
        <f>[10]С1.1!E25</f>
        <v>ООО "Газпром газораспределение Томск"</v>
      </c>
      <c r="D30" s="145">
        <f>[10]С1.1!F25</f>
        <v>0</v>
      </c>
    </row>
    <row r="31" spans="1:4" ht="38.25" x14ac:dyDescent="0.2">
      <c r="A31" s="22" t="s">
        <v>235</v>
      </c>
      <c r="B31" s="33" t="str">
        <f>[10]С1.1!D26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4">
        <f>[10]С1.1!E26</f>
        <v>4699.5</v>
      </c>
      <c r="D31" s="145" t="str">
        <f>[10]С1.1!F26</f>
        <v>Приказ ФАС России от 02.06.2021 №545/21</v>
      </c>
    </row>
    <row r="32" spans="1:4" ht="25.5" x14ac:dyDescent="0.2">
      <c r="A32" s="22" t="s">
        <v>236</v>
      </c>
      <c r="B32" s="33" t="str">
        <f>[10]С1.1!D27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4">
        <f>[10]С1.1!E27</f>
        <v>795.43</v>
      </c>
      <c r="D32" s="145" t="str">
        <f>[10]С1.1!F27</f>
        <v>Приказ ФАС России от 13.01.2020 №15/20</v>
      </c>
    </row>
    <row r="33" spans="1:4" ht="25.5" x14ac:dyDescent="0.2">
      <c r="A33" s="22" t="s">
        <v>237</v>
      </c>
      <c r="B33" s="33" t="str">
        <f>[10]С1.1!D28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4">
        <f>[10]С1.1!E28</f>
        <v>136.54</v>
      </c>
      <c r="D33" s="145" t="str">
        <f>[10]С1.1!F28</f>
        <v>Приказ ФАС России от 27.05.2016 №682/16</v>
      </c>
    </row>
    <row r="34" spans="1:4" ht="51" x14ac:dyDescent="0.2">
      <c r="A34" s="22" t="s">
        <v>238</v>
      </c>
      <c r="B34" s="33" t="str">
        <f>[10]С1.1!D29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4">
        <f>[10]С1.1!E29</f>
        <v>119.9</v>
      </c>
      <c r="D34" s="145" t="str">
        <f>[10]С1.1!F29</f>
        <v>Приказ департамента по тарифам Новосибирской области от 22.12.2020 №650-Г</v>
      </c>
    </row>
    <row r="35" spans="1:4" ht="369.75" x14ac:dyDescent="0.2">
      <c r="A35" s="22" t="s">
        <v>12</v>
      </c>
      <c r="B35" s="33" t="s">
        <v>23</v>
      </c>
      <c r="C35" s="35">
        <f>[10]С1.1!E20</f>
        <v>8.5000000000000006E-2</v>
      </c>
      <c r="D35" s="145" t="str">
        <f>[10]С1.1!F20</f>
        <v xml:space="preserve"> Прогноз социально-экономического развития Российской Федерации на 2023 год и на плановый период 2024 и 2025 годов (размещен на официальном сайте Министерства экономического развития Российской Федерации (далее − Минэкономразвития России) 28.09.2022): файл в формате PDF, таблица «Прогнозируемые изменения цен (тарифов) на продукцию (услуги) компаний инфраструктурного сектора на 2023-2025 гг.,%, показатель «Газ – индексация оптовых цен для всех категорий потребителей, исключая население»
с 1 июля 2022 - 5%, 
с 1 декабря 2022 - 8,5%</v>
      </c>
    </row>
    <row r="36" spans="1:4" ht="306" x14ac:dyDescent="0.2">
      <c r="A36" s="22" t="s">
        <v>14</v>
      </c>
      <c r="B36" s="33" t="s">
        <v>24</v>
      </c>
      <c r="C36" s="35">
        <f>[10]С1.1!E21</f>
        <v>0.112</v>
      </c>
      <c r="D36" s="145" t="str">
        <f>[10]С1.1!F21</f>
        <v xml:space="preserve">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PDF, таблица «Прогнозируемые изменения цен (тарифов) на продукцию (услуги) компаний инфраструктурного сектора на 2023-2025 гг.,%, показатель «Газ – индексация оптовых цен для всех категорий потребителей, исключая население»
</v>
      </c>
    </row>
    <row r="37" spans="1:4" ht="30" x14ac:dyDescent="0.2">
      <c r="A37" s="22" t="s">
        <v>16</v>
      </c>
      <c r="B37" s="36" t="s">
        <v>239</v>
      </c>
      <c r="C37" s="121">
        <f>[10]С1!F13</f>
        <v>156.1</v>
      </c>
      <c r="D37" s="145" t="s">
        <v>260</v>
      </c>
    </row>
    <row r="38" spans="1:4" x14ac:dyDescent="0.2">
      <c r="A38" s="22" t="s">
        <v>18</v>
      </c>
      <c r="B38" s="36" t="s">
        <v>26</v>
      </c>
      <c r="C38" s="38">
        <f>[10]С1!F16</f>
        <v>7000</v>
      </c>
      <c r="D38" s="147" t="s">
        <v>261</v>
      </c>
    </row>
    <row r="39" spans="1:4" ht="14.25" x14ac:dyDescent="0.2">
      <c r="A39" s="122" t="s">
        <v>27</v>
      </c>
      <c r="B39" s="39" t="s">
        <v>240</v>
      </c>
      <c r="C39" s="40">
        <f>[10]С1!F17</f>
        <v>1.1285714285714286</v>
      </c>
      <c r="D39" s="145"/>
    </row>
    <row r="40" spans="1:4" ht="15.75" x14ac:dyDescent="0.2">
      <c r="A40" s="123" t="s">
        <v>29</v>
      </c>
      <c r="B40" s="42" t="s">
        <v>30</v>
      </c>
      <c r="C40" s="40">
        <f>[10]С1!F20</f>
        <v>22.307053372799995</v>
      </c>
      <c r="D40" s="145"/>
    </row>
    <row r="41" spans="1:4" ht="15.75" x14ac:dyDescent="0.2">
      <c r="A41" s="123" t="s">
        <v>31</v>
      </c>
      <c r="B41" s="43" t="s">
        <v>32</v>
      </c>
      <c r="C41" s="40">
        <f>[10]С1!F21</f>
        <v>21.531904799999996</v>
      </c>
      <c r="D41" s="145"/>
    </row>
    <row r="42" spans="1:4" ht="14.25" x14ac:dyDescent="0.2">
      <c r="A42" s="123" t="s">
        <v>33</v>
      </c>
      <c r="B42" s="44" t="s">
        <v>34</v>
      </c>
      <c r="C42" s="40">
        <f>[10]С1!F22</f>
        <v>1.036</v>
      </c>
      <c r="D42" s="145" t="s">
        <v>262</v>
      </c>
    </row>
    <row r="43" spans="1:4" ht="53.25" thickBot="1" x14ac:dyDescent="0.25">
      <c r="A43" s="27" t="s">
        <v>35</v>
      </c>
      <c r="B43" s="45" t="s">
        <v>36</v>
      </c>
      <c r="C43" s="46" t="str">
        <f>[10]С1!F23</f>
        <v>-</v>
      </c>
      <c r="D43" s="148" t="s">
        <v>263</v>
      </c>
    </row>
    <row r="44" spans="1:4" ht="13.5" thickBot="1" x14ac:dyDescent="0.25">
      <c r="A44" s="47"/>
      <c r="B44" s="75"/>
      <c r="C44" s="15"/>
      <c r="D44" s="160"/>
    </row>
    <row r="45" spans="1:4" ht="30" customHeight="1" x14ac:dyDescent="0.2">
      <c r="A45" s="50" t="s">
        <v>37</v>
      </c>
      <c r="B45" s="165" t="s">
        <v>38</v>
      </c>
      <c r="C45" s="165"/>
      <c r="D45" s="170"/>
    </row>
    <row r="46" spans="1:4" ht="25.5" x14ac:dyDescent="0.2">
      <c r="A46" s="22" t="s">
        <v>39</v>
      </c>
      <c r="B46" s="36" t="s">
        <v>40</v>
      </c>
      <c r="C46" s="51" t="str">
        <f>[10]С2.1!E12</f>
        <v>V</v>
      </c>
      <c r="D46" s="145" t="s">
        <v>264</v>
      </c>
    </row>
    <row r="47" spans="1:4" ht="331.5" x14ac:dyDescent="0.2">
      <c r="A47" s="22" t="s">
        <v>41</v>
      </c>
      <c r="B47" s="33" t="s">
        <v>42</v>
      </c>
      <c r="C47" s="51" t="str">
        <f>[10]С2.1!E13</f>
        <v>6 и менее баллов</v>
      </c>
      <c r="D47" s="145" t="str">
        <f>[10]С2.1!F13</f>
        <v xml:space="preserve"> Приложение А (обязательное) "Общее сейсмическое районирование территории Российской Федерации ОСР-2015. Список населенных пунктов Российской Федерации, расположенных в сейсмических районах, с указанием расчетной сейсмической интенсивности в баллах шкалы MSK-64 для средних грунтовых условий и трех степеней сейсмической опасности - A (10%), B (5%), C (1%) в течение 50 лет" к своду правил "СП 14.13330.2018 Строительство в сейсмических районах. Актуализир. редакция СНиП II-7-81".</v>
      </c>
    </row>
    <row r="48" spans="1:4" ht="204" x14ac:dyDescent="0.2">
      <c r="A48" s="22" t="s">
        <v>43</v>
      </c>
      <c r="B48" s="33" t="s">
        <v>241</v>
      </c>
      <c r="C48" s="51" t="str">
        <f>[10]С2.1!E14</f>
        <v>от 200 до 500</v>
      </c>
      <c r="D48" s="145" t="str">
        <f>[10]С2.1!F14</f>
        <v>Карта Российской Федерации в масштабе, позволяющем определить расстояние на транспортировку основных средств котельной, определяется как расстояние от границы системы теплоснабжения до границы ближайшего административного центра субъекта РФ с железнодорожным сообщением</v>
      </c>
    </row>
    <row r="49" spans="1:4" ht="25.5" x14ac:dyDescent="0.2">
      <c r="A49" s="22" t="s">
        <v>45</v>
      </c>
      <c r="B49" s="33" t="s">
        <v>242</v>
      </c>
      <c r="C49" s="52" t="str">
        <f>[10]С2.1!E15</f>
        <v>нет</v>
      </c>
      <c r="D49" s="145">
        <f>[10]С2.1!F15</f>
        <v>0</v>
      </c>
    </row>
    <row r="50" spans="1:4" ht="30" x14ac:dyDescent="0.2">
      <c r="A50" s="22" t="s">
        <v>47</v>
      </c>
      <c r="B50" s="33" t="s">
        <v>48</v>
      </c>
      <c r="C50" s="34">
        <f>[10]С2!F18</f>
        <v>35106.652004551666</v>
      </c>
      <c r="D50" s="145"/>
    </row>
    <row r="51" spans="1:4" ht="30" x14ac:dyDescent="0.2">
      <c r="A51" s="22" t="s">
        <v>49</v>
      </c>
      <c r="B51" s="53" t="s">
        <v>50</v>
      </c>
      <c r="C51" s="34">
        <f>IF([10]С2!F19&gt;0,[10]С2!F19,[10]С2!F20)</f>
        <v>23441.524932855718</v>
      </c>
      <c r="D51" s="145"/>
    </row>
    <row r="52" spans="1:4" ht="140.25" x14ac:dyDescent="0.2">
      <c r="A52" s="22" t="s">
        <v>51</v>
      </c>
      <c r="B52" s="54" t="s">
        <v>52</v>
      </c>
      <c r="C52" s="34">
        <f>[10]С2.1!E20</f>
        <v>-38</v>
      </c>
      <c r="D52" s="145" t="str">
        <f>CONCATENATE([10]С2.1!F20,"  ",[10]С2.1!F21)</f>
        <v>Свод правил СП 131.13330.2020 "СНиП 23-01-99* Строительная климатология" "Температура воздуха наиболее холодной пятидневки с обеспеченностью 0,92"  Значение принято по ближайшему населенному пункту</v>
      </c>
    </row>
    <row r="53" spans="1:4" ht="25.5" x14ac:dyDescent="0.2">
      <c r="A53" s="22" t="s">
        <v>53</v>
      </c>
      <c r="B53" s="54" t="s">
        <v>54</v>
      </c>
      <c r="C53" s="34" t="str">
        <f>[10]С2.1!E23</f>
        <v>нет</v>
      </c>
      <c r="D53" s="150" t="str">
        <f>IF([10]С2.1!F23="","",[10]С2.1!F23)</f>
        <v/>
      </c>
    </row>
    <row r="54" spans="1:4" ht="38.25" x14ac:dyDescent="0.2">
      <c r="A54" s="22" t="s">
        <v>55</v>
      </c>
      <c r="B54" s="55" t="s">
        <v>56</v>
      </c>
      <c r="C54" s="34">
        <f>[10]С2.2!E10</f>
        <v>1287</v>
      </c>
      <c r="D54" s="145" t="s">
        <v>265</v>
      </c>
    </row>
    <row r="55" spans="1:4" ht="25.5" x14ac:dyDescent="0.2">
      <c r="A55" s="22" t="s">
        <v>57</v>
      </c>
      <c r="B55" s="56" t="s">
        <v>58</v>
      </c>
      <c r="C55" s="34">
        <f>[10]С2.2!E12</f>
        <v>5.97</v>
      </c>
      <c r="D55" s="145" t="s">
        <v>266</v>
      </c>
    </row>
    <row r="56" spans="1:4" ht="52.5" x14ac:dyDescent="0.2">
      <c r="A56" s="22" t="s">
        <v>59</v>
      </c>
      <c r="B56" s="57" t="s">
        <v>60</v>
      </c>
      <c r="C56" s="34">
        <f>[10]С2.2!E13</f>
        <v>1</v>
      </c>
      <c r="D56" s="147" t="s">
        <v>261</v>
      </c>
    </row>
    <row r="57" spans="1:4" ht="27.75" x14ac:dyDescent="0.2">
      <c r="A57" s="22" t="s">
        <v>61</v>
      </c>
      <c r="B57" s="56" t="s">
        <v>62</v>
      </c>
      <c r="C57" s="34">
        <f>[10]С2.2!E14</f>
        <v>12104</v>
      </c>
      <c r="D57" s="145" t="s">
        <v>265</v>
      </c>
    </row>
    <row r="58" spans="1:4" ht="89.25" x14ac:dyDescent="0.2">
      <c r="A58" s="22" t="s">
        <v>63</v>
      </c>
      <c r="B58" s="57" t="s">
        <v>64</v>
      </c>
      <c r="C58" s="35">
        <f>[10]С2.2!E15</f>
        <v>4.8000000000000001E-2</v>
      </c>
      <c r="D58" s="145" t="s">
        <v>267</v>
      </c>
    </row>
    <row r="59" spans="1:4" ht="89.25" x14ac:dyDescent="0.2">
      <c r="A59" s="22" t="s">
        <v>65</v>
      </c>
      <c r="B59" s="57" t="s">
        <v>66</v>
      </c>
      <c r="C59" s="124">
        <f>[10]С2.2!E16</f>
        <v>1</v>
      </c>
      <c r="D59" s="145" t="s">
        <v>268</v>
      </c>
    </row>
    <row r="60" spans="1:4" ht="15.75" x14ac:dyDescent="0.2">
      <c r="A60" s="22" t="s">
        <v>67</v>
      </c>
      <c r="B60" s="58" t="s">
        <v>68</v>
      </c>
      <c r="C60" s="34">
        <f>[10]С2!F21</f>
        <v>1</v>
      </c>
      <c r="D60" s="145" t="s">
        <v>269</v>
      </c>
    </row>
    <row r="61" spans="1:4" ht="30" x14ac:dyDescent="0.2">
      <c r="A61" s="59" t="s">
        <v>69</v>
      </c>
      <c r="B61" s="33" t="s">
        <v>243</v>
      </c>
      <c r="C61" s="34">
        <f>[10]С2!F13</f>
        <v>105136.23090983224</v>
      </c>
      <c r="D61" s="145"/>
    </row>
    <row r="62" spans="1:4" ht="30" x14ac:dyDescent="0.2">
      <c r="A62" s="59" t="s">
        <v>71</v>
      </c>
      <c r="B62" s="60" t="s">
        <v>244</v>
      </c>
      <c r="C62" s="34">
        <f>[10]С2!F14</f>
        <v>64899</v>
      </c>
      <c r="D62" s="145" t="s">
        <v>260</v>
      </c>
    </row>
    <row r="63" spans="1:4" ht="15.75" x14ac:dyDescent="0.2">
      <c r="A63" s="59" t="s">
        <v>73</v>
      </c>
      <c r="B63" s="60" t="s">
        <v>74</v>
      </c>
      <c r="C63" s="40">
        <f>[10]С2!F15</f>
        <v>1.071</v>
      </c>
      <c r="D63" s="145" t="s">
        <v>270</v>
      </c>
    </row>
    <row r="64" spans="1:4" ht="15.75" x14ac:dyDescent="0.2">
      <c r="A64" s="59" t="s">
        <v>75</v>
      </c>
      <c r="B64" s="60" t="s">
        <v>76</v>
      </c>
      <c r="C64" s="125">
        <f>[10]С2!F16</f>
        <v>1</v>
      </c>
      <c r="D64" s="145" t="s">
        <v>269</v>
      </c>
    </row>
    <row r="65" spans="1:4" ht="17.25" x14ac:dyDescent="0.2">
      <c r="A65" s="59" t="s">
        <v>77</v>
      </c>
      <c r="B65" s="60" t="s">
        <v>78</v>
      </c>
      <c r="C65" s="126">
        <f>[10]С2!F17</f>
        <v>1.01</v>
      </c>
      <c r="D65" s="145" t="s">
        <v>271</v>
      </c>
    </row>
    <row r="66" spans="1:4" s="63" customFormat="1" ht="14.25" x14ac:dyDescent="0.2">
      <c r="A66" s="59" t="s">
        <v>79</v>
      </c>
      <c r="B66" s="61" t="s">
        <v>80</v>
      </c>
      <c r="C66" s="62">
        <f>[10]С2!F35</f>
        <v>10</v>
      </c>
      <c r="D66" s="145" t="s">
        <v>272</v>
      </c>
    </row>
    <row r="67" spans="1:4" ht="30" x14ac:dyDescent="0.2">
      <c r="A67" s="59" t="s">
        <v>81</v>
      </c>
      <c r="B67" s="64" t="s">
        <v>82</v>
      </c>
      <c r="C67" s="34">
        <f>[10]С2!F28</f>
        <v>331.04604307653443</v>
      </c>
      <c r="D67" s="145"/>
    </row>
    <row r="68" spans="1:4" ht="242.25" x14ac:dyDescent="0.2">
      <c r="A68" s="59" t="s">
        <v>83</v>
      </c>
      <c r="B68" s="53" t="s">
        <v>245</v>
      </c>
      <c r="C68" s="40">
        <f>[10]С2!F29</f>
        <v>0.44209422600000003</v>
      </c>
      <c r="D68" s="145" t="str">
        <f>[10]С2.4!F12</f>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
    </row>
    <row r="69" spans="1:4" ht="17.25" x14ac:dyDescent="0.2">
      <c r="A69" s="59" t="s">
        <v>85</v>
      </c>
      <c r="B69" s="58" t="s">
        <v>246</v>
      </c>
      <c r="C69" s="62">
        <f>[10]С2!F30</f>
        <v>500</v>
      </c>
      <c r="D69" s="145" t="s">
        <v>260</v>
      </c>
    </row>
    <row r="70" spans="1:4" ht="42.75" x14ac:dyDescent="0.2">
      <c r="A70" s="59" t="s">
        <v>87</v>
      </c>
      <c r="B70" s="33" t="s">
        <v>247</v>
      </c>
      <c r="C70" s="34">
        <f>[10]С2!F22</f>
        <v>39638.324046481182</v>
      </c>
      <c r="D70" s="145"/>
    </row>
    <row r="71" spans="1:4" ht="30" x14ac:dyDescent="0.2">
      <c r="A71" s="59" t="s">
        <v>89</v>
      </c>
      <c r="B71" s="60" t="s">
        <v>248</v>
      </c>
      <c r="C71" s="34">
        <f>[10]С2!F23</f>
        <v>21</v>
      </c>
      <c r="D71" s="145" t="s">
        <v>273</v>
      </c>
    </row>
    <row r="72" spans="1:4" ht="30" x14ac:dyDescent="0.2">
      <c r="A72" s="59" t="s">
        <v>91</v>
      </c>
      <c r="B72" s="53" t="s">
        <v>92</v>
      </c>
      <c r="C72" s="34">
        <f>[10]С2.1!E28</f>
        <v>14036.09995</v>
      </c>
      <c r="D72" s="145"/>
    </row>
    <row r="73" spans="1:4" ht="38.25" x14ac:dyDescent="0.2">
      <c r="A73" s="59" t="s">
        <v>93</v>
      </c>
      <c r="B73" s="65" t="s">
        <v>94</v>
      </c>
      <c r="C73" s="52">
        <f>[10]С2.3!E21</f>
        <v>0</v>
      </c>
      <c r="D73" s="145">
        <f>[10]С2.3!F21</f>
        <v>0</v>
      </c>
    </row>
    <row r="74" spans="1:4" ht="25.5" x14ac:dyDescent="0.2">
      <c r="A74" s="59" t="s">
        <v>95</v>
      </c>
      <c r="B74" s="66" t="s">
        <v>96</v>
      </c>
      <c r="C74" s="67">
        <f>[10]С2.3!E11</f>
        <v>5.45</v>
      </c>
      <c r="D74" s="145" t="s">
        <v>274</v>
      </c>
    </row>
    <row r="75" spans="1:4" ht="25.5" x14ac:dyDescent="0.2">
      <c r="A75" s="59" t="s">
        <v>97</v>
      </c>
      <c r="B75" s="66" t="s">
        <v>98</v>
      </c>
      <c r="C75" s="62">
        <f>[10]С2.3!E13</f>
        <v>300</v>
      </c>
      <c r="D75" s="145" t="s">
        <v>274</v>
      </c>
    </row>
    <row r="76" spans="1:4" ht="25.5" x14ac:dyDescent="0.2">
      <c r="A76" s="59" t="s">
        <v>99</v>
      </c>
      <c r="B76" s="65" t="s">
        <v>100</v>
      </c>
      <c r="C76" s="68">
        <f>IF([10]С2.3!E22&gt;0,[10]С2.3!E22,[10]С2.3!E14)</f>
        <v>61211</v>
      </c>
      <c r="D76" s="145" t="str">
        <f>IF(C76=[10]С2.3!E14,"Таблица ТЭП (IV)",[10]С2.3!F22)</f>
        <v>Таблица ТЭП (IV)</v>
      </c>
    </row>
    <row r="77" spans="1:4" ht="38.25" x14ac:dyDescent="0.2">
      <c r="A77" s="59" t="s">
        <v>101</v>
      </c>
      <c r="B77" s="65" t="s">
        <v>102</v>
      </c>
      <c r="C77" s="68">
        <f>IF([10]С2.3!E23&gt;0,[10]С2.3!E23,[10]С2.3!E15)</f>
        <v>45675</v>
      </c>
      <c r="D77" s="145" t="str">
        <f>IF(C77=[10]С2.3!E15,"Таблица ТЭП (IV)",[10]С2.3!F23)</f>
        <v>Таблица ТЭП (IV)</v>
      </c>
    </row>
    <row r="78" spans="1:4" ht="30" x14ac:dyDescent="0.2">
      <c r="A78" s="59" t="s">
        <v>103</v>
      </c>
      <c r="B78" s="53" t="s">
        <v>104</v>
      </c>
      <c r="C78" s="34">
        <f>[10]С2.1!E29</f>
        <v>9518.3274000000001</v>
      </c>
      <c r="D78" s="145"/>
    </row>
    <row r="79" spans="1:4" ht="38.25" x14ac:dyDescent="0.2">
      <c r="A79" s="59" t="s">
        <v>105</v>
      </c>
      <c r="B79" s="65" t="s">
        <v>106</v>
      </c>
      <c r="C79" s="52">
        <f>[10]С2.3!E25</f>
        <v>0</v>
      </c>
      <c r="D79" s="145">
        <f>[10]С2.3!F25</f>
        <v>0</v>
      </c>
    </row>
    <row r="80" spans="1:4" ht="25.5" x14ac:dyDescent="0.2">
      <c r="A80" s="59" t="s">
        <v>107</v>
      </c>
      <c r="B80" s="66" t="s">
        <v>108</v>
      </c>
      <c r="C80" s="67">
        <f>[10]С2.3!E12</f>
        <v>0.2</v>
      </c>
      <c r="D80" s="145" t="s">
        <v>274</v>
      </c>
    </row>
    <row r="81" spans="1:4" ht="25.5" x14ac:dyDescent="0.2">
      <c r="A81" s="59" t="s">
        <v>109</v>
      </c>
      <c r="B81" s="66" t="s">
        <v>98</v>
      </c>
      <c r="C81" s="62">
        <f>[10]С2.3!E13</f>
        <v>300</v>
      </c>
      <c r="D81" s="145" t="s">
        <v>274</v>
      </c>
    </row>
    <row r="82" spans="1:4" ht="25.5" x14ac:dyDescent="0.2">
      <c r="A82" s="59" t="s">
        <v>110</v>
      </c>
      <c r="B82" s="69" t="s">
        <v>111</v>
      </c>
      <c r="C82" s="68">
        <f>IF([10]С2.3!E26&gt;0,[10]С2.3!E26,[10]С2.3!E16)</f>
        <v>65637</v>
      </c>
      <c r="D82" s="145" t="str">
        <f>IF(C82=[10]С2.3!E16,"Таблица ТЭП (IV)",[10]С2.3!F26)</f>
        <v>Таблица ТЭП (IV)</v>
      </c>
    </row>
    <row r="83" spans="1:4" ht="38.25" x14ac:dyDescent="0.2">
      <c r="A83" s="59" t="s">
        <v>112</v>
      </c>
      <c r="B83" s="69" t="s">
        <v>113</v>
      </c>
      <c r="C83" s="68">
        <f>IF([10]С2.3!E27&gt;0,[10]С2.3!E27,[10]С2.3!E17)</f>
        <v>31684</v>
      </c>
      <c r="D83" s="145" t="str">
        <f>IF(C83=[10]С2.3!E17,"Таблица ТЭП (IV)",[10]С2.3!F27)</f>
        <v>Таблица ТЭП (IV)</v>
      </c>
    </row>
    <row r="84" spans="1:4" ht="30" x14ac:dyDescent="0.2">
      <c r="A84" s="59" t="s">
        <v>249</v>
      </c>
      <c r="B84" s="60" t="s">
        <v>250</v>
      </c>
      <c r="C84" s="68">
        <f>IF([10]С2.1!E19&gt;0,[10]С2.1!E19,[10]С2!F26)</f>
        <v>2892</v>
      </c>
      <c r="D84" s="145" t="str">
        <f>IF([10]С2.1!E19&gt;0,[10]С2.1!F19,"Таблица ТЭП (V)")</f>
        <v>Таблица ТЭП (V)</v>
      </c>
    </row>
    <row r="85" spans="1:4" ht="17.25" x14ac:dyDescent="0.2">
      <c r="A85" s="59" t="s">
        <v>114</v>
      </c>
      <c r="B85" s="33" t="s">
        <v>115</v>
      </c>
      <c r="C85" s="35">
        <f>[10]С2!F31</f>
        <v>9.5962865259740182E-2</v>
      </c>
      <c r="D85" s="151"/>
    </row>
    <row r="86" spans="1:4" ht="38.25" x14ac:dyDescent="0.2">
      <c r="A86" s="59" t="s">
        <v>116</v>
      </c>
      <c r="B86" s="53" t="s">
        <v>117</v>
      </c>
      <c r="C86" s="70">
        <f>[10]С2!F32</f>
        <v>8.4029304029304031E-2</v>
      </c>
      <c r="D86" s="145" t="str">
        <f>[10]С2.6!G11</f>
        <v>Информация с официального сайта Банка России</v>
      </c>
    </row>
    <row r="87" spans="1:4" ht="17.25" x14ac:dyDescent="0.2">
      <c r="A87" s="59" t="s">
        <v>118</v>
      </c>
      <c r="B87" s="71" t="s">
        <v>119</v>
      </c>
      <c r="C87" s="35">
        <f>[10]С2!F33</f>
        <v>0.13880000000000001</v>
      </c>
      <c r="D87" s="145" t="s">
        <v>272</v>
      </c>
    </row>
    <row r="88" spans="1:4" s="63" customFormat="1" ht="18" thickBot="1" x14ac:dyDescent="0.25">
      <c r="A88" s="72" t="s">
        <v>120</v>
      </c>
      <c r="B88" s="73" t="s">
        <v>121</v>
      </c>
      <c r="C88" s="74">
        <f>[10]С2!F34</f>
        <v>0.12640000000000001</v>
      </c>
      <c r="D88" s="148" t="s">
        <v>272</v>
      </c>
    </row>
    <row r="89" spans="1:4" ht="13.5" thickBot="1" x14ac:dyDescent="0.25">
      <c r="A89" s="47"/>
      <c r="B89" s="75"/>
      <c r="C89" s="15"/>
      <c r="D89" s="160"/>
    </row>
    <row r="90" spans="1:4" s="63" customFormat="1" ht="30" customHeight="1" x14ac:dyDescent="0.2">
      <c r="A90" s="76" t="s">
        <v>122</v>
      </c>
      <c r="B90" s="165" t="s">
        <v>123</v>
      </c>
      <c r="C90" s="165"/>
      <c r="D90" s="170"/>
    </row>
    <row r="91" spans="1:4" s="63" customFormat="1" ht="30" x14ac:dyDescent="0.2">
      <c r="A91" s="77" t="s">
        <v>124</v>
      </c>
      <c r="B91" s="33" t="s">
        <v>125</v>
      </c>
      <c r="C91" s="34">
        <f>[10]С3!F14</f>
        <v>4207.4782939208517</v>
      </c>
      <c r="D91" s="145"/>
    </row>
    <row r="92" spans="1:4" s="63" customFormat="1" ht="42.75" x14ac:dyDescent="0.2">
      <c r="A92" s="77" t="s">
        <v>126</v>
      </c>
      <c r="B92" s="53" t="s">
        <v>127</v>
      </c>
      <c r="C92" s="78">
        <f>[10]С3!F15</f>
        <v>0.2</v>
      </c>
      <c r="D92" s="145" t="str">
        <f>[10]С3.1!F12</f>
        <v xml:space="preserve">Налоговый кодекс Российской Федерации </v>
      </c>
    </row>
    <row r="93" spans="1:4" s="63" customFormat="1" ht="14.25" x14ac:dyDescent="0.2">
      <c r="A93" s="77" t="s">
        <v>128</v>
      </c>
      <c r="B93" s="79" t="s">
        <v>129</v>
      </c>
      <c r="C93" s="62">
        <f>[10]С3!F18</f>
        <v>15</v>
      </c>
      <c r="D93" s="145" t="s">
        <v>272</v>
      </c>
    </row>
    <row r="94" spans="1:4" s="63" customFormat="1" ht="17.25" x14ac:dyDescent="0.2">
      <c r="A94" s="77" t="s">
        <v>130</v>
      </c>
      <c r="B94" s="33" t="s">
        <v>131</v>
      </c>
      <c r="C94" s="34">
        <f>[10]С3!F19</f>
        <v>2638.2577020926874</v>
      </c>
      <c r="D94" s="145"/>
    </row>
    <row r="95" spans="1:4" s="63" customFormat="1" ht="55.5" x14ac:dyDescent="0.2">
      <c r="A95" s="77" t="s">
        <v>132</v>
      </c>
      <c r="B95" s="53" t="s">
        <v>133</v>
      </c>
      <c r="C95" s="80">
        <f>[10]С3!F20</f>
        <v>2.1999999999999999E-2</v>
      </c>
      <c r="D95" s="145" t="str">
        <f>[10]С3.1!F13</f>
        <v xml:space="preserve">Налоговый кодекс Российской Федерации </v>
      </c>
    </row>
    <row r="96" spans="1:4" s="63" customFormat="1" ht="14.25" x14ac:dyDescent="0.2">
      <c r="A96" s="77" t="s">
        <v>134</v>
      </c>
      <c r="B96" s="58" t="s">
        <v>80</v>
      </c>
      <c r="C96" s="62">
        <f>[10]С3!F21</f>
        <v>10</v>
      </c>
      <c r="D96" s="145" t="s">
        <v>272</v>
      </c>
    </row>
    <row r="97" spans="1:4" s="63" customFormat="1" ht="17.25" x14ac:dyDescent="0.2">
      <c r="A97" s="77" t="s">
        <v>135</v>
      </c>
      <c r="B97" s="33" t="s">
        <v>136</v>
      </c>
      <c r="C97" s="34">
        <f>[10]С3!F22</f>
        <v>0.99313812922960332</v>
      </c>
      <c r="D97" s="145"/>
    </row>
    <row r="98" spans="1:4" s="63" customFormat="1" ht="55.5" x14ac:dyDescent="0.2">
      <c r="A98" s="77" t="s">
        <v>137</v>
      </c>
      <c r="B98" s="53" t="s">
        <v>138</v>
      </c>
      <c r="C98" s="80">
        <f>[10]С3!F23</f>
        <v>3.0000000000000001E-3</v>
      </c>
      <c r="D98" s="145">
        <f>[10]С3.1!F14</f>
        <v>0</v>
      </c>
    </row>
    <row r="99" spans="1:4" s="63" customFormat="1" ht="30.75" thickBot="1" x14ac:dyDescent="0.25">
      <c r="A99" s="81" t="s">
        <v>139</v>
      </c>
      <c r="B99" s="82" t="s">
        <v>82</v>
      </c>
      <c r="C99" s="83">
        <f>[10]С3!F24</f>
        <v>331.04604307653443</v>
      </c>
      <c r="D99" s="148"/>
    </row>
    <row r="100" spans="1:4" ht="13.5" thickBot="1" x14ac:dyDescent="0.25">
      <c r="A100" s="47"/>
      <c r="B100" s="75"/>
      <c r="C100" s="15"/>
      <c r="D100" s="160"/>
    </row>
    <row r="101" spans="1:4" ht="30" customHeight="1" x14ac:dyDescent="0.2">
      <c r="A101" s="84" t="s">
        <v>141</v>
      </c>
      <c r="B101" s="165" t="s">
        <v>142</v>
      </c>
      <c r="C101" s="165"/>
      <c r="D101" s="170"/>
    </row>
    <row r="102" spans="1:4" ht="30" x14ac:dyDescent="0.2">
      <c r="A102" s="59" t="s">
        <v>143</v>
      </c>
      <c r="B102" s="33" t="s">
        <v>251</v>
      </c>
      <c r="C102" s="34">
        <f>[10]С4!F16</f>
        <v>832.33500000000004</v>
      </c>
      <c r="D102" s="145"/>
    </row>
    <row r="103" spans="1:4" ht="30" x14ac:dyDescent="0.2">
      <c r="A103" s="59" t="s">
        <v>145</v>
      </c>
      <c r="B103" s="58" t="s">
        <v>252</v>
      </c>
      <c r="C103" s="34">
        <f>[10]С4!F17</f>
        <v>43385</v>
      </c>
      <c r="D103" s="145" t="s">
        <v>260</v>
      </c>
    </row>
    <row r="104" spans="1:4" ht="17.25" x14ac:dyDescent="0.2">
      <c r="A104" s="59" t="s">
        <v>147</v>
      </c>
      <c r="B104" s="58" t="s">
        <v>148</v>
      </c>
      <c r="C104" s="40">
        <f>[10]С4!F18</f>
        <v>1.4999999999999999E-2</v>
      </c>
      <c r="D104" s="145" t="s">
        <v>260</v>
      </c>
    </row>
    <row r="105" spans="1:4" ht="30" x14ac:dyDescent="0.2">
      <c r="A105" s="59" t="s">
        <v>149</v>
      </c>
      <c r="B105" s="58" t="s">
        <v>150</v>
      </c>
      <c r="C105" s="34">
        <f>[10]С4!F19</f>
        <v>12104</v>
      </c>
      <c r="D105" s="145" t="s">
        <v>275</v>
      </c>
    </row>
    <row r="106" spans="1:4" ht="31.5" x14ac:dyDescent="0.2">
      <c r="A106" s="59" t="s">
        <v>151</v>
      </c>
      <c r="B106" s="58" t="s">
        <v>152</v>
      </c>
      <c r="C106" s="40">
        <f>[10]С4!F20</f>
        <v>1.4999999999999999E-2</v>
      </c>
      <c r="D106" s="145" t="s">
        <v>275</v>
      </c>
    </row>
    <row r="107" spans="1:4" ht="30" x14ac:dyDescent="0.2">
      <c r="A107" s="59" t="s">
        <v>153</v>
      </c>
      <c r="B107" s="33" t="s">
        <v>253</v>
      </c>
      <c r="C107" s="34">
        <f>[10]С4!F21</f>
        <v>1221.9019409821399</v>
      </c>
      <c r="D107" s="145"/>
    </row>
    <row r="108" spans="1:4" ht="45.6" customHeight="1" x14ac:dyDescent="0.2">
      <c r="A108" s="59" t="s">
        <v>155</v>
      </c>
      <c r="B108" s="53" t="s">
        <v>156</v>
      </c>
      <c r="C108" s="85" t="str">
        <f>IF([10]С4.2!F8="да",[10]С4.2!D21,[10]С4.2!D15)</f>
        <v>АО "Новосибирскэнергосбыт"</v>
      </c>
      <c r="D108" s="145"/>
    </row>
    <row r="109" spans="1:4" ht="68.25" customHeight="1" x14ac:dyDescent="0.2">
      <c r="A109" s="59" t="s">
        <v>157</v>
      </c>
      <c r="B109" s="53" t="s">
        <v>158</v>
      </c>
      <c r="C109" s="34">
        <f>[10]С4!F22</f>
        <v>3.6112641666666665</v>
      </c>
      <c r="D109" s="145" t="str">
        <f>IF([10]С4.2!F8="да",[10]С4.2!E21,[10]С4.2!E15)</f>
        <v>https://www.nskes.ru/dlya-biznesa/tarify-i-oplata/nereguliruemye-tseny/</v>
      </c>
    </row>
    <row r="110" spans="1:4" ht="30" x14ac:dyDescent="0.2">
      <c r="A110" s="59" t="s">
        <v>159</v>
      </c>
      <c r="B110" s="58" t="s">
        <v>254</v>
      </c>
      <c r="C110" s="62">
        <f>[10]С4!F23</f>
        <v>110</v>
      </c>
      <c r="D110" s="145" t="s">
        <v>273</v>
      </c>
    </row>
    <row r="111" spans="1:4" ht="14.25" x14ac:dyDescent="0.2">
      <c r="A111" s="59" t="s">
        <v>161</v>
      </c>
      <c r="B111" s="53" t="s">
        <v>162</v>
      </c>
      <c r="C111" s="34">
        <f>[10]С4!F24</f>
        <v>8497.1999999999989</v>
      </c>
      <c r="D111" s="145" t="s">
        <v>260</v>
      </c>
    </row>
    <row r="112" spans="1:4" ht="14.25" x14ac:dyDescent="0.2">
      <c r="A112" s="59" t="s">
        <v>163</v>
      </c>
      <c r="B112" s="58" t="s">
        <v>164</v>
      </c>
      <c r="C112" s="40">
        <f>[10]С4!F25</f>
        <v>0.36199999999999999</v>
      </c>
      <c r="D112" s="145" t="s">
        <v>276</v>
      </c>
    </row>
    <row r="113" spans="1:4" ht="17.25" x14ac:dyDescent="0.2">
      <c r="A113" s="59" t="s">
        <v>165</v>
      </c>
      <c r="B113" s="33" t="s">
        <v>166</v>
      </c>
      <c r="C113" s="34">
        <f>[10]С4!F26</f>
        <v>40.123830000000005</v>
      </c>
      <c r="D113" s="145"/>
    </row>
    <row r="114" spans="1:4" ht="25.5" x14ac:dyDescent="0.2">
      <c r="A114" s="59" t="s">
        <v>167</v>
      </c>
      <c r="B114" s="53" t="s">
        <v>94</v>
      </c>
      <c r="C114" s="85">
        <f>[10]С4.3!E16</f>
        <v>0</v>
      </c>
      <c r="D114" s="145">
        <f>[10]С4.3!F16</f>
        <v>0</v>
      </c>
    </row>
    <row r="115" spans="1:4" ht="25.5" x14ac:dyDescent="0.2">
      <c r="A115" s="59" t="s">
        <v>168</v>
      </c>
      <c r="B115" s="53" t="s">
        <v>169</v>
      </c>
      <c r="C115" s="34">
        <f>[10]С4.3!E17</f>
        <v>18.059999999999999</v>
      </c>
      <c r="D115" s="150">
        <f>[10]С4.3!F17</f>
        <v>0</v>
      </c>
    </row>
    <row r="116" spans="1:4" ht="38.25" x14ac:dyDescent="0.2">
      <c r="A116" s="59" t="s">
        <v>170</v>
      </c>
      <c r="B116" s="53" t="s">
        <v>106</v>
      </c>
      <c r="C116" s="85">
        <f>[10]С4.3!E18</f>
        <v>0</v>
      </c>
      <c r="D116" s="145">
        <f>[10]С4.3!F18</f>
        <v>0</v>
      </c>
    </row>
    <row r="117" spans="1:4" x14ac:dyDescent="0.2">
      <c r="A117" s="59" t="s">
        <v>171</v>
      </c>
      <c r="B117" s="53" t="s">
        <v>172</v>
      </c>
      <c r="C117" s="34">
        <f>[10]С4.3!E19</f>
        <v>71.67</v>
      </c>
      <c r="D117" s="150">
        <f>[10]С4.3!F19</f>
        <v>0</v>
      </c>
    </row>
    <row r="118" spans="1:4" x14ac:dyDescent="0.2">
      <c r="A118" s="59" t="s">
        <v>173</v>
      </c>
      <c r="B118" s="58" t="s">
        <v>174</v>
      </c>
      <c r="C118" s="62">
        <f>[10]С4.3!E11</f>
        <v>1871</v>
      </c>
      <c r="D118" s="145" t="s">
        <v>260</v>
      </c>
    </row>
    <row r="119" spans="1:4" x14ac:dyDescent="0.2">
      <c r="A119" s="59" t="s">
        <v>175</v>
      </c>
      <c r="B119" s="58" t="s">
        <v>176</v>
      </c>
      <c r="C119" s="52">
        <f>[10]С4.3!E12</f>
        <v>61</v>
      </c>
      <c r="D119" s="145" t="s">
        <v>260</v>
      </c>
    </row>
    <row r="120" spans="1:4" x14ac:dyDescent="0.2">
      <c r="A120" s="59" t="s">
        <v>177</v>
      </c>
      <c r="B120" s="58" t="s">
        <v>178</v>
      </c>
      <c r="C120" s="52">
        <f>[10]С4.3!E13</f>
        <v>73</v>
      </c>
      <c r="D120" s="145" t="s">
        <v>260</v>
      </c>
    </row>
    <row r="121" spans="1:4" ht="30" x14ac:dyDescent="0.2">
      <c r="A121" s="59" t="s">
        <v>179</v>
      </c>
      <c r="B121" s="33" t="s">
        <v>255</v>
      </c>
      <c r="C121" s="34">
        <f>[10]С4!F27</f>
        <v>904.62444244124072</v>
      </c>
      <c r="D121" s="145"/>
    </row>
    <row r="122" spans="1:4" ht="25.5" x14ac:dyDescent="0.2">
      <c r="A122" s="59" t="s">
        <v>181</v>
      </c>
      <c r="B122" s="53" t="s">
        <v>256</v>
      </c>
      <c r="C122" s="34">
        <f>[10]С4!F28</f>
        <v>694.79603874135228</v>
      </c>
      <c r="D122" s="150"/>
    </row>
    <row r="123" spans="1:4" ht="42.75" x14ac:dyDescent="0.2">
      <c r="A123" s="59" t="s">
        <v>183</v>
      </c>
      <c r="B123" s="53" t="s">
        <v>184</v>
      </c>
      <c r="C123" s="34">
        <f>[10]С4!F29</f>
        <v>209.82840369988838</v>
      </c>
      <c r="D123" s="145"/>
    </row>
    <row r="124" spans="1:4" ht="30.75" thickBot="1" x14ac:dyDescent="0.25">
      <c r="A124" s="72" t="s">
        <v>185</v>
      </c>
      <c r="B124" s="90" t="s">
        <v>186</v>
      </c>
      <c r="C124" s="83">
        <f>[10]С4!F30</f>
        <v>475.40681839948314</v>
      </c>
      <c r="D124" s="148"/>
    </row>
    <row r="125" spans="1:4" s="89" customFormat="1" ht="13.5" thickBot="1" x14ac:dyDescent="0.25">
      <c r="A125" s="47"/>
      <c r="B125" s="75"/>
      <c r="C125" s="15"/>
      <c r="D125" s="160"/>
    </row>
    <row r="126" spans="1:4" s="63" customFormat="1" ht="30" customHeight="1" x14ac:dyDescent="0.2">
      <c r="A126" s="76" t="s">
        <v>195</v>
      </c>
      <c r="B126" s="165" t="s">
        <v>196</v>
      </c>
      <c r="C126" s="165"/>
      <c r="D126" s="170"/>
    </row>
    <row r="127" spans="1:4" ht="30.6" customHeight="1" thickBot="1" x14ac:dyDescent="0.25">
      <c r="A127" s="27" t="s">
        <v>197</v>
      </c>
      <c r="B127" s="90" t="s">
        <v>198</v>
      </c>
      <c r="C127" s="83">
        <f>[10]С5!F17</f>
        <v>0.02</v>
      </c>
      <c r="D127" s="155" t="s">
        <v>261</v>
      </c>
    </row>
    <row r="128" spans="1:4" s="89" customFormat="1" ht="13.5" thickBot="1" x14ac:dyDescent="0.25">
      <c r="A128" s="47"/>
      <c r="B128" s="75"/>
      <c r="C128" s="15"/>
      <c r="D128" s="160"/>
    </row>
    <row r="129" spans="1:5" ht="42.75" customHeight="1" x14ac:dyDescent="0.2">
      <c r="A129" s="84" t="s">
        <v>199</v>
      </c>
      <c r="B129" s="165" t="s">
        <v>200</v>
      </c>
      <c r="C129" s="165"/>
      <c r="D129" s="170"/>
    </row>
    <row r="130" spans="1:5" ht="68.25" x14ac:dyDescent="0.2">
      <c r="A130" s="59" t="s">
        <v>201</v>
      </c>
      <c r="B130" s="91" t="s">
        <v>202</v>
      </c>
      <c r="C130" s="34" t="str">
        <f>IF([10]С6.1!E11="нет",[10]С6!F13,"")</f>
        <v/>
      </c>
      <c r="D130" s="145"/>
    </row>
    <row r="131" spans="1:5" ht="42.75" x14ac:dyDescent="0.2">
      <c r="A131" s="59" t="s">
        <v>204</v>
      </c>
      <c r="B131" s="86" t="s">
        <v>205</v>
      </c>
      <c r="C131" s="92" t="str">
        <f>IF([10]С6.1!E12="нет",[10]С6.1!E17,"")</f>
        <v/>
      </c>
      <c r="D131" s="145" t="str">
        <f>IF([10]С6.1!E12="нет",[10]С6.1!F17,"")</f>
        <v/>
      </c>
    </row>
    <row r="132" spans="1:5" ht="68.25" x14ac:dyDescent="0.2">
      <c r="A132" s="59" t="s">
        <v>206</v>
      </c>
      <c r="B132" s="91" t="s">
        <v>207</v>
      </c>
      <c r="C132" s="127" t="str">
        <f>IF([10]С6.1!E18="нет",[10]С6!F19,"")</f>
        <v/>
      </c>
      <c r="D132" s="147"/>
    </row>
    <row r="133" spans="1:5" ht="55.5" x14ac:dyDescent="0.2">
      <c r="A133" s="59" t="s">
        <v>208</v>
      </c>
      <c r="B133" s="86" t="s">
        <v>209</v>
      </c>
      <c r="C133" s="35" t="str">
        <f>IF([10]С6.1!E18="нет",[10]С6.1!E19,"")</f>
        <v/>
      </c>
      <c r="D133" s="145" t="str">
        <f>IF([10]С6.1!E18="нет",[10]С6.1!F19,"")</f>
        <v/>
      </c>
    </row>
    <row r="134" spans="1:5" ht="61.5" customHeight="1" x14ac:dyDescent="0.2">
      <c r="A134" s="59" t="s">
        <v>210</v>
      </c>
      <c r="B134" s="86" t="s">
        <v>257</v>
      </c>
      <c r="C134" s="35" t="str">
        <f>IF([10]С6.1!E18="нет",[10]С6.1!E22,"")</f>
        <v/>
      </c>
      <c r="D134" s="145" t="str">
        <f>IF([10]С6.1!E18="нет",[10]С6.1!F22,"")</f>
        <v/>
      </c>
    </row>
    <row r="135" spans="1:5" ht="69" thickBot="1" x14ac:dyDescent="0.25">
      <c r="A135" s="72" t="s">
        <v>212</v>
      </c>
      <c r="B135" s="98" t="s">
        <v>213</v>
      </c>
      <c r="C135" s="74" t="str">
        <f>IF([10]С6.1!E18="нет",[10]С6.1!E23,"")</f>
        <v/>
      </c>
      <c r="D135" s="148" t="str">
        <f>IF([10]С6.1!E18="нет",[10]С6.1!F23,"")</f>
        <v/>
      </c>
    </row>
    <row r="136" spans="1:5" s="89" customFormat="1" ht="13.5" thickBot="1" x14ac:dyDescent="0.25">
      <c r="A136" s="47"/>
      <c r="B136" s="75"/>
      <c r="C136" s="15"/>
      <c r="D136" s="160"/>
    </row>
    <row r="137" spans="1:5" ht="15.75" x14ac:dyDescent="0.2">
      <c r="A137" s="84" t="s">
        <v>214</v>
      </c>
      <c r="B137" s="99" t="s">
        <v>215</v>
      </c>
      <c r="C137" s="100">
        <f>[10]С2!F39</f>
        <v>21.531904799999996</v>
      </c>
      <c r="D137" s="157"/>
    </row>
    <row r="138" spans="1:5" ht="14.25" x14ac:dyDescent="0.2">
      <c r="A138" s="59" t="s">
        <v>216</v>
      </c>
      <c r="B138" s="58" t="s">
        <v>217</v>
      </c>
      <c r="C138" s="34">
        <f>[10]С2!F40</f>
        <v>7</v>
      </c>
      <c r="D138" s="145" t="s">
        <v>260</v>
      </c>
    </row>
    <row r="139" spans="1:5" ht="17.25" x14ac:dyDescent="0.2">
      <c r="A139" s="59" t="s">
        <v>218</v>
      </c>
      <c r="B139" s="58" t="s">
        <v>219</v>
      </c>
      <c r="C139" s="34">
        <f>[10]С2!F42</f>
        <v>0.97</v>
      </c>
      <c r="D139" s="145" t="s">
        <v>260</v>
      </c>
    </row>
    <row r="140" spans="1:5" ht="15" thickBot="1" x14ac:dyDescent="0.25">
      <c r="A140" s="72" t="s">
        <v>220</v>
      </c>
      <c r="B140" s="73" t="s">
        <v>221</v>
      </c>
      <c r="C140" s="46">
        <f>[10]С2!F44</f>
        <v>0.36199999999999999</v>
      </c>
      <c r="D140" s="148" t="s">
        <v>276</v>
      </c>
    </row>
    <row r="141" spans="1:5" s="89" customFormat="1" ht="13.5" thickBot="1" x14ac:dyDescent="0.25">
      <c r="A141" s="47"/>
      <c r="B141" s="75"/>
      <c r="C141" s="15"/>
      <c r="D141" s="160"/>
    </row>
    <row r="142" spans="1:5" ht="409.5" x14ac:dyDescent="0.2">
      <c r="A142" s="84" t="s">
        <v>222</v>
      </c>
      <c r="B142" s="103" t="s">
        <v>258</v>
      </c>
      <c r="C142" s="128">
        <f>[10]С2!F37</f>
        <v>1.4976266307379205</v>
      </c>
      <c r="D142" s="157" t="str">
        <f>[10]С2.5!D15</f>
        <v>на 2020: Прогноз социально-экономического развития Российской Федерации на 2022 год и на плановый период 2023 и 2024 годов (размещен на официальном сайте Минэкономразвития России 30.09.2021): файл в формате Microsoft Excel «12. Дефляторы базовый», таблица «Прогноз индексов цен производителей и индексов-дефляторов по видам экономической деятельности, в % г/г (Базовый вариант)», отрасль «Промышленность (BСDE)», (показатель «ИЦП»)
на 2021-2023 годы: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отрасль «Промышленность (BСDE)», (показатель «ИЦП»)</v>
      </c>
      <c r="E142" s="89"/>
    </row>
    <row r="143" spans="1:5" ht="17.25" customHeight="1" thickBot="1" x14ac:dyDescent="0.25">
      <c r="A143" s="72" t="s">
        <v>224</v>
      </c>
      <c r="B143" s="161" t="s">
        <v>225</v>
      </c>
      <c r="C143" s="161"/>
      <c r="D143" s="168"/>
      <c r="E143" s="89"/>
    </row>
    <row r="144" spans="1:5" x14ac:dyDescent="0.2">
      <c r="A144" s="105"/>
      <c r="B144" s="129" t="s">
        <v>226</v>
      </c>
      <c r="C144" s="130"/>
      <c r="D144" s="9"/>
    </row>
    <row r="145" spans="1:4" x14ac:dyDescent="0.2">
      <c r="A145" s="105"/>
      <c r="B145" s="131">
        <v>2020</v>
      </c>
      <c r="C145" s="132">
        <f>[10]С2.5!$E$11</f>
        <v>-2.9000000000000026E-2</v>
      </c>
      <c r="D145" s="9"/>
    </row>
    <row r="146" spans="1:4" x14ac:dyDescent="0.2">
      <c r="B146" s="131">
        <f>B145+1</f>
        <v>2021</v>
      </c>
      <c r="C146" s="133">
        <f>[10]С2.5!$F$11</f>
        <v>0.245</v>
      </c>
    </row>
    <row r="147" spans="1:4" x14ac:dyDescent="0.2">
      <c r="B147" s="131">
        <f t="shared" ref="B147:B210" si="0">B146+1</f>
        <v>2022</v>
      </c>
      <c r="C147" s="134">
        <f>[10]С2.5!$G$11</f>
        <v>0.114</v>
      </c>
    </row>
    <row r="148" spans="1:4" x14ac:dyDescent="0.2">
      <c r="B148" s="110">
        <f t="shared" si="0"/>
        <v>2023</v>
      </c>
      <c r="C148" s="135">
        <f>[10]С2.5!$H$11</f>
        <v>2.4E-2</v>
      </c>
    </row>
    <row r="149" spans="1:4" ht="13.5" thickBot="1" x14ac:dyDescent="0.25">
      <c r="B149" s="110">
        <f t="shared" si="0"/>
        <v>2024</v>
      </c>
      <c r="C149" s="135">
        <f>[10]С2.5!$I$11</f>
        <v>8.5999999999999993E-2</v>
      </c>
    </row>
    <row r="150" spans="1:4" ht="13.5" hidden="1" thickBot="1" x14ac:dyDescent="0.25">
      <c r="B150" s="110">
        <f t="shared" si="0"/>
        <v>2025</v>
      </c>
      <c r="C150" s="135">
        <f>[10]С2.5!$J$11</f>
        <v>0</v>
      </c>
    </row>
    <row r="151" spans="1:4" ht="13.5" hidden="1" thickBot="1" x14ac:dyDescent="0.25">
      <c r="B151" s="110">
        <f t="shared" si="0"/>
        <v>2026</v>
      </c>
      <c r="C151" s="135">
        <f>[10]С2.5!$K$11</f>
        <v>0</v>
      </c>
    </row>
    <row r="152" spans="1:4" ht="13.5" hidden="1" thickBot="1" x14ac:dyDescent="0.25">
      <c r="B152" s="110">
        <f t="shared" si="0"/>
        <v>2027</v>
      </c>
      <c r="C152" s="135">
        <f>[10]С2.5!$L$11</f>
        <v>0</v>
      </c>
    </row>
    <row r="153" spans="1:4" ht="13.5" hidden="1" thickBot="1" x14ac:dyDescent="0.25">
      <c r="B153" s="110">
        <f t="shared" si="0"/>
        <v>2028</v>
      </c>
      <c r="C153" s="135">
        <f>[10]С2.5!$M$11</f>
        <v>0</v>
      </c>
    </row>
    <row r="154" spans="1:4" ht="13.5" hidden="1" thickBot="1" x14ac:dyDescent="0.25">
      <c r="B154" s="110">
        <f t="shared" si="0"/>
        <v>2029</v>
      </c>
      <c r="C154" s="135">
        <f>[10]С2.5!$N$11</f>
        <v>0</v>
      </c>
    </row>
    <row r="155" spans="1:4" ht="13.5" hidden="1" thickBot="1" x14ac:dyDescent="0.25">
      <c r="B155" s="110">
        <f t="shared" si="0"/>
        <v>2030</v>
      </c>
      <c r="C155" s="135">
        <f>[10]С2.5!$O$11</f>
        <v>0</v>
      </c>
    </row>
    <row r="156" spans="1:4" ht="13.5" hidden="1" thickBot="1" x14ac:dyDescent="0.25">
      <c r="B156" s="110">
        <f t="shared" si="0"/>
        <v>2031</v>
      </c>
      <c r="C156" s="135">
        <f>[10]С2.5!$P$11</f>
        <v>0</v>
      </c>
    </row>
    <row r="157" spans="1:4" ht="13.5" hidden="1" thickBot="1" x14ac:dyDescent="0.25">
      <c r="B157" s="110">
        <f t="shared" si="0"/>
        <v>2032</v>
      </c>
      <c r="C157" s="135">
        <f>[10]С2.5!$Q$11</f>
        <v>0</v>
      </c>
    </row>
    <row r="158" spans="1:4" ht="13.5" hidden="1" thickBot="1" x14ac:dyDescent="0.25">
      <c r="B158" s="110">
        <f t="shared" si="0"/>
        <v>2033</v>
      </c>
      <c r="C158" s="135">
        <f>[10]С2.5!$R$11</f>
        <v>0</v>
      </c>
    </row>
    <row r="159" spans="1:4" ht="13.5" hidden="1" thickBot="1" x14ac:dyDescent="0.25">
      <c r="B159" s="110">
        <f t="shared" si="0"/>
        <v>2034</v>
      </c>
      <c r="C159" s="135">
        <f>[10]С2.5!$S$11</f>
        <v>0</v>
      </c>
    </row>
    <row r="160" spans="1:4" ht="13.5" hidden="1" thickBot="1" x14ac:dyDescent="0.25">
      <c r="B160" s="110">
        <f t="shared" si="0"/>
        <v>2035</v>
      </c>
      <c r="C160" s="135">
        <f>[10]С2.5!$T$11</f>
        <v>0</v>
      </c>
    </row>
    <row r="161" spans="2:3" s="2" customFormat="1" ht="13.5" hidden="1" thickBot="1" x14ac:dyDescent="0.25">
      <c r="B161" s="110">
        <f t="shared" si="0"/>
        <v>2036</v>
      </c>
      <c r="C161" s="135">
        <f>[10]С2.5!$U$11</f>
        <v>0</v>
      </c>
    </row>
    <row r="162" spans="2:3" s="2" customFormat="1" ht="13.5" hidden="1" thickBot="1" x14ac:dyDescent="0.25">
      <c r="B162" s="110">
        <f t="shared" si="0"/>
        <v>2037</v>
      </c>
      <c r="C162" s="135">
        <f>[10]С2.5!$V$11</f>
        <v>0</v>
      </c>
    </row>
    <row r="163" spans="2:3" s="2" customFormat="1" ht="13.5" hidden="1" thickBot="1" x14ac:dyDescent="0.25">
      <c r="B163" s="110">
        <f t="shared" si="0"/>
        <v>2038</v>
      </c>
      <c r="C163" s="135">
        <f>[10]С2.5!$W$11</f>
        <v>0</v>
      </c>
    </row>
    <row r="164" spans="2:3" s="2" customFormat="1" ht="13.5" hidden="1" thickBot="1" x14ac:dyDescent="0.25">
      <c r="B164" s="110">
        <f t="shared" si="0"/>
        <v>2039</v>
      </c>
      <c r="C164" s="135">
        <f>[10]С2.5!$X$11</f>
        <v>0</v>
      </c>
    </row>
    <row r="165" spans="2:3" s="2" customFormat="1" ht="13.5" hidden="1" thickBot="1" x14ac:dyDescent="0.25">
      <c r="B165" s="110">
        <f t="shared" si="0"/>
        <v>2040</v>
      </c>
      <c r="C165" s="135">
        <f>[10]С2.5!$Y$11</f>
        <v>0</v>
      </c>
    </row>
    <row r="166" spans="2:3" s="2" customFormat="1" ht="13.5" hidden="1" thickBot="1" x14ac:dyDescent="0.25">
      <c r="B166" s="110">
        <f t="shared" si="0"/>
        <v>2041</v>
      </c>
      <c r="C166" s="135">
        <f>[10]С2.5!$Z$11</f>
        <v>0</v>
      </c>
    </row>
    <row r="167" spans="2:3" s="2" customFormat="1" ht="13.5" hidden="1" thickBot="1" x14ac:dyDescent="0.25">
      <c r="B167" s="110">
        <f t="shared" si="0"/>
        <v>2042</v>
      </c>
      <c r="C167" s="135">
        <f>[10]С2.5!$AA$11</f>
        <v>0</v>
      </c>
    </row>
    <row r="168" spans="2:3" s="2" customFormat="1" ht="13.5" hidden="1" thickBot="1" x14ac:dyDescent="0.25">
      <c r="B168" s="110">
        <f t="shared" si="0"/>
        <v>2043</v>
      </c>
      <c r="C168" s="135">
        <f>[10]С2.5!$AB$11</f>
        <v>0</v>
      </c>
    </row>
    <row r="169" spans="2:3" s="2" customFormat="1" ht="13.5" hidden="1" thickBot="1" x14ac:dyDescent="0.25">
      <c r="B169" s="110">
        <f t="shared" si="0"/>
        <v>2044</v>
      </c>
      <c r="C169" s="135">
        <f>[10]С2.5!$AC$11</f>
        <v>0</v>
      </c>
    </row>
    <row r="170" spans="2:3" s="2" customFormat="1" ht="13.5" hidden="1" thickBot="1" x14ac:dyDescent="0.25">
      <c r="B170" s="110">
        <f t="shared" si="0"/>
        <v>2045</v>
      </c>
      <c r="C170" s="135">
        <f>[10]С2.5!$AD$11</f>
        <v>0</v>
      </c>
    </row>
    <row r="171" spans="2:3" s="2" customFormat="1" ht="13.5" hidden="1" thickBot="1" x14ac:dyDescent="0.25">
      <c r="B171" s="110">
        <f t="shared" si="0"/>
        <v>2046</v>
      </c>
      <c r="C171" s="135">
        <f>[10]С2.5!$AE$11</f>
        <v>0</v>
      </c>
    </row>
    <row r="172" spans="2:3" s="2" customFormat="1" ht="13.5" hidden="1" thickBot="1" x14ac:dyDescent="0.25">
      <c r="B172" s="110">
        <f t="shared" si="0"/>
        <v>2047</v>
      </c>
      <c r="C172" s="135">
        <f>[10]С2.5!$AF$11</f>
        <v>0</v>
      </c>
    </row>
    <row r="173" spans="2:3" s="2" customFormat="1" ht="13.5" hidden="1" thickBot="1" x14ac:dyDescent="0.25">
      <c r="B173" s="110">
        <f t="shared" si="0"/>
        <v>2048</v>
      </c>
      <c r="C173" s="135">
        <f>[10]С2.5!$AG$11</f>
        <v>0</v>
      </c>
    </row>
    <row r="174" spans="2:3" s="2" customFormat="1" ht="13.5" hidden="1" thickBot="1" x14ac:dyDescent="0.25">
      <c r="B174" s="110">
        <f t="shared" si="0"/>
        <v>2049</v>
      </c>
      <c r="C174" s="135">
        <f>[10]С2.5!$AH$11</f>
        <v>0</v>
      </c>
    </row>
    <row r="175" spans="2:3" s="2" customFormat="1" ht="13.5" hidden="1" thickBot="1" x14ac:dyDescent="0.25">
      <c r="B175" s="110">
        <f t="shared" si="0"/>
        <v>2050</v>
      </c>
      <c r="C175" s="135">
        <f>[10]С2.5!$AI$11</f>
        <v>0</v>
      </c>
    </row>
    <row r="176" spans="2:3" s="2" customFormat="1" ht="13.5" hidden="1" thickBot="1" x14ac:dyDescent="0.25">
      <c r="B176" s="110">
        <f t="shared" si="0"/>
        <v>2051</v>
      </c>
      <c r="C176" s="135">
        <f>[10]С2.5!$AJ$11</f>
        <v>0</v>
      </c>
    </row>
    <row r="177" spans="2:3" s="2" customFormat="1" ht="13.5" hidden="1" thickBot="1" x14ac:dyDescent="0.25">
      <c r="B177" s="110">
        <f t="shared" si="0"/>
        <v>2052</v>
      </c>
      <c r="C177" s="135">
        <f>[10]С2.5!$AK$11</f>
        <v>0</v>
      </c>
    </row>
    <row r="178" spans="2:3" s="2" customFormat="1" ht="13.5" hidden="1" thickBot="1" x14ac:dyDescent="0.25">
      <c r="B178" s="110">
        <f t="shared" si="0"/>
        <v>2053</v>
      </c>
      <c r="C178" s="135">
        <f>[10]С2.5!$AL$11</f>
        <v>0</v>
      </c>
    </row>
    <row r="179" spans="2:3" s="2" customFormat="1" ht="13.5" hidden="1" thickBot="1" x14ac:dyDescent="0.25">
      <c r="B179" s="110">
        <f t="shared" si="0"/>
        <v>2054</v>
      </c>
      <c r="C179" s="135">
        <f>[10]С2.5!$AM$11</f>
        <v>0</v>
      </c>
    </row>
    <row r="180" spans="2:3" s="2" customFormat="1" ht="13.5" hidden="1" thickBot="1" x14ac:dyDescent="0.25">
      <c r="B180" s="110">
        <f t="shared" si="0"/>
        <v>2055</v>
      </c>
      <c r="C180" s="135">
        <f>[10]С2.5!$AN$11</f>
        <v>0</v>
      </c>
    </row>
    <row r="181" spans="2:3" s="2" customFormat="1" ht="13.5" hidden="1" thickBot="1" x14ac:dyDescent="0.25">
      <c r="B181" s="110">
        <f t="shared" si="0"/>
        <v>2056</v>
      </c>
      <c r="C181" s="135">
        <f>[10]С2.5!$AO$11</f>
        <v>0</v>
      </c>
    </row>
    <row r="182" spans="2:3" s="2" customFormat="1" ht="13.5" hidden="1" thickBot="1" x14ac:dyDescent="0.25">
      <c r="B182" s="110">
        <f t="shared" si="0"/>
        <v>2057</v>
      </c>
      <c r="C182" s="135">
        <f>[10]С2.5!$AP$11</f>
        <v>0</v>
      </c>
    </row>
    <row r="183" spans="2:3" s="2" customFormat="1" ht="13.5" hidden="1" thickBot="1" x14ac:dyDescent="0.25">
      <c r="B183" s="110">
        <f t="shared" si="0"/>
        <v>2058</v>
      </c>
      <c r="C183" s="135">
        <f>[10]С2.5!$AQ$11</f>
        <v>0</v>
      </c>
    </row>
    <row r="184" spans="2:3" s="2" customFormat="1" ht="13.5" hidden="1" thickBot="1" x14ac:dyDescent="0.25">
      <c r="B184" s="110">
        <f t="shared" si="0"/>
        <v>2059</v>
      </c>
      <c r="C184" s="135">
        <f>[10]С2.5!$AR$11</f>
        <v>0</v>
      </c>
    </row>
    <row r="185" spans="2:3" s="2" customFormat="1" ht="13.5" hidden="1" thickBot="1" x14ac:dyDescent="0.25">
      <c r="B185" s="110">
        <f t="shared" si="0"/>
        <v>2060</v>
      </c>
      <c r="C185" s="135">
        <f>[10]С2.5!$AS$11</f>
        <v>0</v>
      </c>
    </row>
    <row r="186" spans="2:3" s="2" customFormat="1" ht="13.5" hidden="1" thickBot="1" x14ac:dyDescent="0.25">
      <c r="B186" s="110">
        <f t="shared" si="0"/>
        <v>2061</v>
      </c>
      <c r="C186" s="135">
        <f>[10]С2.5!$AT$11</f>
        <v>0</v>
      </c>
    </row>
    <row r="187" spans="2:3" s="2" customFormat="1" ht="13.5" hidden="1" thickBot="1" x14ac:dyDescent="0.25">
      <c r="B187" s="110">
        <f t="shared" si="0"/>
        <v>2062</v>
      </c>
      <c r="C187" s="135">
        <f>[10]С2.5!$AU$11</f>
        <v>0</v>
      </c>
    </row>
    <row r="188" spans="2:3" s="2" customFormat="1" ht="13.5" hidden="1" thickBot="1" x14ac:dyDescent="0.25">
      <c r="B188" s="110">
        <f t="shared" si="0"/>
        <v>2063</v>
      </c>
      <c r="C188" s="135">
        <f>[10]С2.5!$AV$11</f>
        <v>0</v>
      </c>
    </row>
    <row r="189" spans="2:3" s="2" customFormat="1" ht="13.5" hidden="1" thickBot="1" x14ac:dyDescent="0.25">
      <c r="B189" s="110">
        <f t="shared" si="0"/>
        <v>2064</v>
      </c>
      <c r="C189" s="135">
        <f>[10]С2.5!$AW$11</f>
        <v>0</v>
      </c>
    </row>
    <row r="190" spans="2:3" s="2" customFormat="1" ht="13.5" hidden="1" thickBot="1" x14ac:dyDescent="0.25">
      <c r="B190" s="110">
        <f t="shared" si="0"/>
        <v>2065</v>
      </c>
      <c r="C190" s="135">
        <f>[10]С2.5!$AX$11</f>
        <v>0</v>
      </c>
    </row>
    <row r="191" spans="2:3" s="2" customFormat="1" ht="13.5" hidden="1" thickBot="1" x14ac:dyDescent="0.25">
      <c r="B191" s="110">
        <f t="shared" si="0"/>
        <v>2066</v>
      </c>
      <c r="C191" s="135">
        <f>[10]С2.5!$AY$11</f>
        <v>0</v>
      </c>
    </row>
    <row r="192" spans="2:3" s="2" customFormat="1" ht="13.5" hidden="1" thickBot="1" x14ac:dyDescent="0.25">
      <c r="B192" s="110">
        <f t="shared" si="0"/>
        <v>2067</v>
      </c>
      <c r="C192" s="135">
        <f>[10]С2.5!$AZ$11</f>
        <v>0</v>
      </c>
    </row>
    <row r="193" spans="2:3" s="2" customFormat="1" ht="13.5" hidden="1" thickBot="1" x14ac:dyDescent="0.25">
      <c r="B193" s="110">
        <f t="shared" si="0"/>
        <v>2068</v>
      </c>
      <c r="C193" s="135">
        <f>[10]С2.5!$BA$11</f>
        <v>0</v>
      </c>
    </row>
    <row r="194" spans="2:3" s="2" customFormat="1" ht="13.5" hidden="1" thickBot="1" x14ac:dyDescent="0.25">
      <c r="B194" s="110">
        <f t="shared" si="0"/>
        <v>2069</v>
      </c>
      <c r="C194" s="135">
        <f>[10]С2.5!$BB$11</f>
        <v>0</v>
      </c>
    </row>
    <row r="195" spans="2:3" s="2" customFormat="1" ht="13.5" hidden="1" thickBot="1" x14ac:dyDescent="0.25">
      <c r="B195" s="110">
        <f t="shared" si="0"/>
        <v>2070</v>
      </c>
      <c r="C195" s="135">
        <f>[10]С2.5!$BC$11</f>
        <v>0</v>
      </c>
    </row>
    <row r="196" spans="2:3" s="2" customFormat="1" ht="13.5" hidden="1" thickBot="1" x14ac:dyDescent="0.25">
      <c r="B196" s="110">
        <f t="shared" si="0"/>
        <v>2071</v>
      </c>
      <c r="C196" s="135">
        <f>[10]С2.5!$BD$11</f>
        <v>0</v>
      </c>
    </row>
    <row r="197" spans="2:3" s="2" customFormat="1" ht="13.5" hidden="1" thickBot="1" x14ac:dyDescent="0.25">
      <c r="B197" s="110">
        <f t="shared" si="0"/>
        <v>2072</v>
      </c>
      <c r="C197" s="135">
        <f>[10]С2.5!$BE$11</f>
        <v>0</v>
      </c>
    </row>
    <row r="198" spans="2:3" s="2" customFormat="1" ht="13.5" hidden="1" thickBot="1" x14ac:dyDescent="0.25">
      <c r="B198" s="110">
        <f t="shared" si="0"/>
        <v>2073</v>
      </c>
      <c r="C198" s="135">
        <f>[10]С2.5!$BF$11</f>
        <v>0</v>
      </c>
    </row>
    <row r="199" spans="2:3" s="2" customFormat="1" ht="13.5" hidden="1" thickBot="1" x14ac:dyDescent="0.25">
      <c r="B199" s="110">
        <f t="shared" si="0"/>
        <v>2074</v>
      </c>
      <c r="C199" s="135">
        <f>[10]С2.5!$BG$11</f>
        <v>0</v>
      </c>
    </row>
    <row r="200" spans="2:3" s="2" customFormat="1" ht="13.5" hidden="1" thickBot="1" x14ac:dyDescent="0.25">
      <c r="B200" s="110">
        <f t="shared" si="0"/>
        <v>2075</v>
      </c>
      <c r="C200" s="135">
        <f>[10]С2.5!$BH$11</f>
        <v>0</v>
      </c>
    </row>
    <row r="201" spans="2:3" s="2" customFormat="1" ht="13.5" hidden="1" thickBot="1" x14ac:dyDescent="0.25">
      <c r="B201" s="110">
        <f t="shared" si="0"/>
        <v>2076</v>
      </c>
      <c r="C201" s="135">
        <f>[10]С2.5!$BI$11</f>
        <v>0</v>
      </c>
    </row>
    <row r="202" spans="2:3" s="2" customFormat="1" ht="13.5" hidden="1" thickBot="1" x14ac:dyDescent="0.25">
      <c r="B202" s="110">
        <f t="shared" si="0"/>
        <v>2077</v>
      </c>
      <c r="C202" s="135">
        <f>[10]С2.5!$BJ$11</f>
        <v>0</v>
      </c>
    </row>
    <row r="203" spans="2:3" s="2" customFormat="1" ht="13.5" hidden="1" thickBot="1" x14ac:dyDescent="0.25">
      <c r="B203" s="110">
        <f t="shared" si="0"/>
        <v>2078</v>
      </c>
      <c r="C203" s="135">
        <f>[10]С2.5!$BK$11</f>
        <v>0</v>
      </c>
    </row>
    <row r="204" spans="2:3" s="2" customFormat="1" ht="13.5" hidden="1" thickBot="1" x14ac:dyDescent="0.25">
      <c r="B204" s="110">
        <f t="shared" si="0"/>
        <v>2079</v>
      </c>
      <c r="C204" s="135">
        <f>[10]С2.5!$BL$11</f>
        <v>0</v>
      </c>
    </row>
    <row r="205" spans="2:3" s="2" customFormat="1" ht="13.5" hidden="1" thickBot="1" x14ac:dyDescent="0.25">
      <c r="B205" s="110">
        <f t="shared" si="0"/>
        <v>2080</v>
      </c>
      <c r="C205" s="135">
        <f>[10]С2.5!$BM$11</f>
        <v>0</v>
      </c>
    </row>
    <row r="206" spans="2:3" s="2" customFormat="1" ht="13.5" hidden="1" thickBot="1" x14ac:dyDescent="0.25">
      <c r="B206" s="110">
        <f t="shared" si="0"/>
        <v>2081</v>
      </c>
      <c r="C206" s="135">
        <f>[10]С2.5!$BN$11</f>
        <v>0</v>
      </c>
    </row>
    <row r="207" spans="2:3" s="2" customFormat="1" ht="13.5" hidden="1" thickBot="1" x14ac:dyDescent="0.25">
      <c r="B207" s="110">
        <f t="shared" si="0"/>
        <v>2082</v>
      </c>
      <c r="C207" s="135">
        <f>[10]С2.5!$BO$11</f>
        <v>0</v>
      </c>
    </row>
    <row r="208" spans="2:3" s="2" customFormat="1" ht="13.5" hidden="1" thickBot="1" x14ac:dyDescent="0.25">
      <c r="B208" s="110">
        <f t="shared" si="0"/>
        <v>2083</v>
      </c>
      <c r="C208" s="135">
        <f>[10]С2.5!$BP$11</f>
        <v>0</v>
      </c>
    </row>
    <row r="209" spans="2:3" s="2" customFormat="1" ht="13.5" hidden="1" thickBot="1" x14ac:dyDescent="0.25">
      <c r="B209" s="110">
        <f t="shared" si="0"/>
        <v>2084</v>
      </c>
      <c r="C209" s="135">
        <f>[10]С2.5!$BQ$11</f>
        <v>0</v>
      </c>
    </row>
    <row r="210" spans="2:3" s="2" customFormat="1" ht="13.5" hidden="1" thickBot="1" x14ac:dyDescent="0.25">
      <c r="B210" s="110">
        <f t="shared" si="0"/>
        <v>2085</v>
      </c>
      <c r="C210" s="135">
        <f>[10]С2.5!$BR$11</f>
        <v>0</v>
      </c>
    </row>
    <row r="211" spans="2:3" s="2" customFormat="1" ht="13.5" hidden="1" thickBot="1" x14ac:dyDescent="0.25">
      <c r="B211" s="110">
        <f t="shared" ref="B211:B224" si="1">B210+1</f>
        <v>2086</v>
      </c>
      <c r="C211" s="135">
        <f>[10]С2.5!$BS$11</f>
        <v>0</v>
      </c>
    </row>
    <row r="212" spans="2:3" s="2" customFormat="1" ht="13.5" hidden="1" thickBot="1" x14ac:dyDescent="0.25">
      <c r="B212" s="110">
        <f t="shared" si="1"/>
        <v>2087</v>
      </c>
      <c r="C212" s="135">
        <f>[10]С2.5!$BT$11</f>
        <v>0</v>
      </c>
    </row>
    <row r="213" spans="2:3" s="2" customFormat="1" ht="13.5" hidden="1" thickBot="1" x14ac:dyDescent="0.25">
      <c r="B213" s="110">
        <f t="shared" si="1"/>
        <v>2088</v>
      </c>
      <c r="C213" s="135">
        <f>[10]С2.5!$BU$11</f>
        <v>0</v>
      </c>
    </row>
    <row r="214" spans="2:3" s="2" customFormat="1" ht="13.5" hidden="1" thickBot="1" x14ac:dyDescent="0.25">
      <c r="B214" s="110">
        <f t="shared" si="1"/>
        <v>2089</v>
      </c>
      <c r="C214" s="135">
        <f>[10]С2.5!$BV$11</f>
        <v>0</v>
      </c>
    </row>
    <row r="215" spans="2:3" s="2" customFormat="1" ht="13.5" hidden="1" thickBot="1" x14ac:dyDescent="0.25">
      <c r="B215" s="110">
        <f t="shared" si="1"/>
        <v>2090</v>
      </c>
      <c r="C215" s="135">
        <f>[10]С2.5!$BW$11</f>
        <v>0</v>
      </c>
    </row>
    <row r="216" spans="2:3" s="2" customFormat="1" ht="13.5" hidden="1" thickBot="1" x14ac:dyDescent="0.25">
      <c r="B216" s="110">
        <f t="shared" si="1"/>
        <v>2091</v>
      </c>
      <c r="C216" s="135">
        <f>[10]С2.5!$BX$11</f>
        <v>0</v>
      </c>
    </row>
    <row r="217" spans="2:3" s="2" customFormat="1" ht="13.5" hidden="1" thickBot="1" x14ac:dyDescent="0.25">
      <c r="B217" s="110">
        <f t="shared" si="1"/>
        <v>2092</v>
      </c>
      <c r="C217" s="135">
        <f>[10]С2.5!$BY$11</f>
        <v>0</v>
      </c>
    </row>
    <row r="218" spans="2:3" s="2" customFormat="1" ht="13.5" hidden="1" thickBot="1" x14ac:dyDescent="0.25">
      <c r="B218" s="110">
        <f t="shared" si="1"/>
        <v>2093</v>
      </c>
      <c r="C218" s="135">
        <f>[10]С2.5!$BZ$11</f>
        <v>0</v>
      </c>
    </row>
    <row r="219" spans="2:3" s="2" customFormat="1" ht="13.5" hidden="1" thickBot="1" x14ac:dyDescent="0.25">
      <c r="B219" s="110">
        <f t="shared" si="1"/>
        <v>2094</v>
      </c>
      <c r="C219" s="135">
        <f>[10]С2.5!$CA$11</f>
        <v>0</v>
      </c>
    </row>
    <row r="220" spans="2:3" s="2" customFormat="1" ht="13.5" hidden="1" thickBot="1" x14ac:dyDescent="0.25">
      <c r="B220" s="110">
        <f t="shared" si="1"/>
        <v>2095</v>
      </c>
      <c r="C220" s="135">
        <f>[10]С2.5!$CB$11</f>
        <v>0</v>
      </c>
    </row>
    <row r="221" spans="2:3" s="2" customFormat="1" ht="13.5" hidden="1" thickBot="1" x14ac:dyDescent="0.25">
      <c r="B221" s="110">
        <f t="shared" si="1"/>
        <v>2096</v>
      </c>
      <c r="C221" s="135">
        <f>[10]С2.5!$CC$11</f>
        <v>0</v>
      </c>
    </row>
    <row r="222" spans="2:3" s="2" customFormat="1" ht="13.5" hidden="1" thickBot="1" x14ac:dyDescent="0.25">
      <c r="B222" s="110">
        <f t="shared" si="1"/>
        <v>2097</v>
      </c>
      <c r="C222" s="135">
        <f>[10]С2.5!$CD$11</f>
        <v>0</v>
      </c>
    </row>
    <row r="223" spans="2:3" s="2" customFormat="1" ht="13.5" hidden="1" thickBot="1" x14ac:dyDescent="0.25">
      <c r="B223" s="110">
        <f t="shared" si="1"/>
        <v>2098</v>
      </c>
      <c r="C223" s="135">
        <f>[10]С2.5!$CE$11</f>
        <v>0</v>
      </c>
    </row>
    <row r="224" spans="2:3" s="2" customFormat="1" ht="13.5" hidden="1" thickBot="1" x14ac:dyDescent="0.25">
      <c r="B224" s="110">
        <f t="shared" si="1"/>
        <v>2099</v>
      </c>
      <c r="C224" s="135">
        <f>[10]С2.5!$CF$11</f>
        <v>0</v>
      </c>
    </row>
    <row r="225" spans="2:3" s="2" customFormat="1" ht="13.5" hidden="1" thickBot="1" x14ac:dyDescent="0.25">
      <c r="B225" s="112">
        <f>B162+1</f>
        <v>2038</v>
      </c>
      <c r="C225" s="136" t="e">
        <f>[10]С2.5!#REF!</f>
        <v>#REF!</v>
      </c>
    </row>
    <row r="226" spans="2:3" s="2" customFormat="1" x14ac:dyDescent="0.2">
      <c r="B226" s="137"/>
      <c r="C226" s="138"/>
    </row>
  </sheetData>
  <mergeCells count="9">
    <mergeCell ref="B143:D143"/>
    <mergeCell ref="A14:C14"/>
    <mergeCell ref="B1:D1"/>
    <mergeCell ref="B27:D27"/>
    <mergeCell ref="B45:D45"/>
    <mergeCell ref="B90:D90"/>
    <mergeCell ref="B101:D101"/>
    <mergeCell ref="B126:D126"/>
    <mergeCell ref="B129:D129"/>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Button 1">
              <controlPr defaultSize="0" print="0" autoFill="0" autoPict="0" macro="[8]!Лист29.PrintBlock">
                <anchor moveWithCells="1" sizeWithCells="1">
                  <from>
                    <xdr:col>3</xdr:col>
                    <xdr:colOff>47625</xdr:colOff>
                    <xdr:row>0</xdr:row>
                    <xdr:rowOff>104775</xdr:rowOff>
                  </from>
                  <to>
                    <xdr:col>5</xdr:col>
                    <xdr:colOff>0</xdr:colOff>
                    <xdr:row>1</xdr:row>
                    <xdr:rowOff>0</xdr:rowOff>
                  </to>
                </anchor>
              </controlPr>
            </control>
          </mc:Choice>
        </mc:AlternateContent>
        <mc:AlternateContent xmlns:mc="http://schemas.openxmlformats.org/markup-compatibility/2006">
          <mc:Choice Requires="x14">
            <control shapeId="6146" r:id="rId4" name="Button 2">
              <controlPr defaultSize="0" print="0" autoFill="0" autoPict="0" macro="[10]!Лист29.PrintBlock">
                <anchor moveWithCells="1" sizeWithCells="1">
                  <from>
                    <xdr:col>4</xdr:col>
                    <xdr:colOff>47625</xdr:colOff>
                    <xdr:row>0</xdr:row>
                    <xdr:rowOff>104775</xdr:rowOff>
                  </from>
                  <to>
                    <xdr:col>5</xdr:col>
                    <xdr:colOff>1095375</xdr:colOff>
                    <xdr:row>0</xdr:row>
                    <xdr:rowOff>352425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63" t="s">
        <v>0</v>
      </c>
      <c r="C1" s="163"/>
    </row>
    <row r="2" spans="1:3" x14ac:dyDescent="0.2">
      <c r="A2" s="3"/>
      <c r="B2" s="4" t="s">
        <v>1</v>
      </c>
      <c r="C2" s="5">
        <v>45317</v>
      </c>
    </row>
    <row r="3" spans="1:3" x14ac:dyDescent="0.2">
      <c r="A3" s="3"/>
      <c r="B3" s="6" t="s">
        <v>2</v>
      </c>
    </row>
    <row r="4" spans="1:3" ht="25.5" x14ac:dyDescent="0.2">
      <c r="A4" s="8"/>
      <c r="B4" s="9" t="str">
        <f>[11]И1!D13</f>
        <v>Субъект Российской Федерации</v>
      </c>
      <c r="C4" s="10" t="str">
        <f>[11]И1!E13</f>
        <v>Новосибирская область</v>
      </c>
    </row>
    <row r="5" spans="1:3" ht="46.9" customHeight="1" x14ac:dyDescent="0.2">
      <c r="A5" s="8"/>
      <c r="B5" s="9" t="str">
        <f>[11]И1!D14</f>
        <v>Тип муниципального образования (выберите из списка)</v>
      </c>
      <c r="C5" s="10" t="str">
        <f>[11]И1!E14</f>
        <v xml:space="preserve">село Легостаево, Искитимский муниципальный район </v>
      </c>
    </row>
    <row r="6" spans="1:3" x14ac:dyDescent="0.2">
      <c r="A6" s="8"/>
      <c r="B6" s="9" t="str">
        <f>IF([11]И1!E15="","",[11]И1!D15)</f>
        <v/>
      </c>
      <c r="C6" s="10" t="str">
        <f>IF([11]И1!E15="","",[11]И1!E15)</f>
        <v/>
      </c>
    </row>
    <row r="7" spans="1:3" x14ac:dyDescent="0.2">
      <c r="A7" s="8"/>
      <c r="B7" s="9" t="str">
        <f>[11]И1!D16</f>
        <v>Код ОКТМО</v>
      </c>
      <c r="C7" s="11" t="str">
        <f>[11]И1!E16</f>
        <v>(50615416101)</v>
      </c>
    </row>
    <row r="8" spans="1:3" x14ac:dyDescent="0.2">
      <c r="A8" s="8"/>
      <c r="B8" s="12" t="str">
        <f>[11]И1!D17</f>
        <v>Система теплоснабжения</v>
      </c>
      <c r="C8" s="13">
        <f>[11]И1!E17</f>
        <v>0</v>
      </c>
    </row>
    <row r="9" spans="1:3" x14ac:dyDescent="0.2">
      <c r="A9" s="8"/>
      <c r="B9" s="9" t="str">
        <f>[11]И1!D8</f>
        <v>Период регулирования (i)-й</v>
      </c>
      <c r="C9" s="14">
        <f>[11]И1!E8</f>
        <v>2024</v>
      </c>
    </row>
    <row r="10" spans="1:3" x14ac:dyDescent="0.2">
      <c r="A10" s="8"/>
      <c r="B10" s="9" t="str">
        <f>[11]И1!D9</f>
        <v>Период регулирования (i-1)-й</v>
      </c>
      <c r="C10" s="14">
        <f>[11]И1!E9</f>
        <v>2023</v>
      </c>
    </row>
    <row r="11" spans="1:3" x14ac:dyDescent="0.2">
      <c r="A11" s="8"/>
      <c r="B11" s="9" t="str">
        <f>[11]И1!D10</f>
        <v>Период регулирования (i-2)-й</v>
      </c>
      <c r="C11" s="14">
        <f>[11]И1!E10</f>
        <v>2022</v>
      </c>
    </row>
    <row r="12" spans="1:3" x14ac:dyDescent="0.2">
      <c r="A12" s="8"/>
      <c r="B12" s="9" t="str">
        <f>[11]И1!D11</f>
        <v>Базовый год (б)</v>
      </c>
      <c r="C12" s="14">
        <f>[11]И1!E11</f>
        <v>2019</v>
      </c>
    </row>
    <row r="13" spans="1:3" ht="38.25" x14ac:dyDescent="0.2">
      <c r="A13" s="8"/>
      <c r="B13" s="9" t="str">
        <f>[11]И1!D18</f>
        <v>Вид топлива, использование которого преобладает в системе теплоснабжения</v>
      </c>
      <c r="C13" s="15" t="str">
        <f>[11]С1.1!E13</f>
        <v>уголь (вид угля не указан в топливном балансе)</v>
      </c>
    </row>
    <row r="14" spans="1:3" ht="31.7" customHeight="1" thickBot="1" x14ac:dyDescent="0.25">
      <c r="A14" s="162" t="s">
        <v>3</v>
      </c>
      <c r="B14" s="162"/>
      <c r="C14" s="16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3755.1269222377105</v>
      </c>
    </row>
    <row r="18" spans="1:3" ht="42.75" x14ac:dyDescent="0.2">
      <c r="A18" s="22" t="s">
        <v>8</v>
      </c>
      <c r="B18" s="25" t="s">
        <v>9</v>
      </c>
      <c r="C18" s="26">
        <f>[11]С1!F12</f>
        <v>759.67438872744583</v>
      </c>
    </row>
    <row r="19" spans="1:3" ht="42.75" x14ac:dyDescent="0.2">
      <c r="A19" s="22" t="s">
        <v>10</v>
      </c>
      <c r="B19" s="25" t="s">
        <v>11</v>
      </c>
      <c r="C19" s="26">
        <f>[11]С2!F12</f>
        <v>2000.3680279558928</v>
      </c>
    </row>
    <row r="20" spans="1:3" ht="30" x14ac:dyDescent="0.2">
      <c r="A20" s="22" t="s">
        <v>12</v>
      </c>
      <c r="B20" s="25" t="s">
        <v>13</v>
      </c>
      <c r="C20" s="26">
        <f>[11]С3!F12</f>
        <v>475.74490066496389</v>
      </c>
    </row>
    <row r="21" spans="1:3" ht="42.75" x14ac:dyDescent="0.2">
      <c r="A21" s="22" t="s">
        <v>14</v>
      </c>
      <c r="B21" s="25" t="s">
        <v>15</v>
      </c>
      <c r="C21" s="26">
        <f>[11]С4!F12</f>
        <v>445.70966523768817</v>
      </c>
    </row>
    <row r="22" spans="1:3" ht="30" x14ac:dyDescent="0.2">
      <c r="A22" s="22" t="s">
        <v>16</v>
      </c>
      <c r="B22" s="25" t="s">
        <v>17</v>
      </c>
      <c r="C22" s="26">
        <f>[11]С5!F12</f>
        <v>73.629939651719823</v>
      </c>
    </row>
    <row r="23" spans="1:3" ht="43.5" thickBot="1" x14ac:dyDescent="0.25">
      <c r="A23" s="27" t="s">
        <v>18</v>
      </c>
      <c r="B23" s="140" t="s">
        <v>19</v>
      </c>
      <c r="C23" s="28" t="str">
        <f>[11]С6!F12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64" t="s">
        <v>20</v>
      </c>
      <c r="C27" s="164"/>
    </row>
    <row r="28" spans="1:3" x14ac:dyDescent="0.2">
      <c r="A28" s="22" t="s">
        <v>8</v>
      </c>
      <c r="B28" s="33" t="s">
        <v>21</v>
      </c>
      <c r="C28" s="34">
        <f>[11]С1.1!E16</f>
        <v>5100</v>
      </c>
    </row>
    <row r="29" spans="1:3" ht="42.75" x14ac:dyDescent="0.2">
      <c r="A29" s="22" t="s">
        <v>10</v>
      </c>
      <c r="B29" s="33" t="s">
        <v>22</v>
      </c>
      <c r="C29" s="34">
        <f>[11]С1.1!E27</f>
        <v>3413.25</v>
      </c>
    </row>
    <row r="30" spans="1:3" ht="17.25" x14ac:dyDescent="0.2">
      <c r="A30" s="22" t="s">
        <v>12</v>
      </c>
      <c r="B30" s="33" t="s">
        <v>23</v>
      </c>
      <c r="C30" s="35">
        <f>[11]С1.1!E19</f>
        <v>-0.19900000000000001</v>
      </c>
    </row>
    <row r="31" spans="1:3" ht="17.25" x14ac:dyDescent="0.2">
      <c r="A31" s="22" t="s">
        <v>14</v>
      </c>
      <c r="B31" s="33" t="s">
        <v>24</v>
      </c>
      <c r="C31" s="35">
        <f>[11]С1.1!E20</f>
        <v>5.7000000000000002E-2</v>
      </c>
    </row>
    <row r="32" spans="1:3" ht="30" x14ac:dyDescent="0.2">
      <c r="A32" s="22" t="s">
        <v>16</v>
      </c>
      <c r="B32" s="36" t="s">
        <v>25</v>
      </c>
      <c r="C32" s="37">
        <f>[11]С1!F13</f>
        <v>176.4</v>
      </c>
    </row>
    <row r="33" spans="1:3" x14ac:dyDescent="0.2">
      <c r="A33" s="22" t="s">
        <v>18</v>
      </c>
      <c r="B33" s="36" t="s">
        <v>26</v>
      </c>
      <c r="C33" s="38">
        <f>[11]С1!F16</f>
        <v>7000</v>
      </c>
    </row>
    <row r="34" spans="1:3" ht="14.25" x14ac:dyDescent="0.2">
      <c r="A34" s="22" t="s">
        <v>27</v>
      </c>
      <c r="B34" s="39" t="s">
        <v>28</v>
      </c>
      <c r="C34" s="40">
        <f>[11]С1!F17</f>
        <v>0.72857142857142854</v>
      </c>
    </row>
    <row r="35" spans="1:3" ht="15.75" x14ac:dyDescent="0.2">
      <c r="A35" s="41" t="s">
        <v>29</v>
      </c>
      <c r="B35" s="42" t="s">
        <v>30</v>
      </c>
      <c r="C35" s="40">
        <f>[11]С1!F20</f>
        <v>21.588411179999994</v>
      </c>
    </row>
    <row r="36" spans="1:3" ht="15.75" x14ac:dyDescent="0.2">
      <c r="A36" s="41" t="s">
        <v>31</v>
      </c>
      <c r="B36" s="43" t="s">
        <v>32</v>
      </c>
      <c r="C36" s="40">
        <f>[11]С1!F21</f>
        <v>20.818139999999996</v>
      </c>
    </row>
    <row r="37" spans="1:3" ht="14.25" x14ac:dyDescent="0.2">
      <c r="A37" s="41" t="s">
        <v>33</v>
      </c>
      <c r="B37" s="44" t="s">
        <v>34</v>
      </c>
      <c r="C37" s="40">
        <f>[11]С1!F22</f>
        <v>1.0369999999999999</v>
      </c>
    </row>
    <row r="38" spans="1:3" ht="53.25" thickBot="1" x14ac:dyDescent="0.25">
      <c r="A38" s="27" t="s">
        <v>35</v>
      </c>
      <c r="B38" s="45" t="s">
        <v>36</v>
      </c>
      <c r="C38" s="46">
        <f>[11]С1!F23</f>
        <v>1.0469999999999999</v>
      </c>
    </row>
    <row r="39" spans="1:3" ht="13.5" thickBot="1" x14ac:dyDescent="0.25">
      <c r="A39" s="47"/>
      <c r="B39" s="48"/>
      <c r="C39" s="49"/>
    </row>
    <row r="40" spans="1:3" ht="30" customHeight="1" x14ac:dyDescent="0.2">
      <c r="A40" s="50" t="s">
        <v>37</v>
      </c>
      <c r="B40" s="165" t="s">
        <v>38</v>
      </c>
      <c r="C40" s="165"/>
    </row>
    <row r="41" spans="1:3" ht="25.5" x14ac:dyDescent="0.2">
      <c r="A41" s="22" t="s">
        <v>39</v>
      </c>
      <c r="B41" s="36" t="s">
        <v>40</v>
      </c>
      <c r="C41" s="51" t="str">
        <f>[11]С2.1!E12</f>
        <v>V</v>
      </c>
    </row>
    <row r="42" spans="1:3" ht="25.5" x14ac:dyDescent="0.2">
      <c r="A42" s="22" t="s">
        <v>41</v>
      </c>
      <c r="B42" s="33" t="s">
        <v>42</v>
      </c>
      <c r="C42" s="51" t="str">
        <f>[11]С2.1!E13</f>
        <v>6 и менее баллов</v>
      </c>
    </row>
    <row r="43" spans="1:3" ht="25.5" x14ac:dyDescent="0.2">
      <c r="A43" s="22" t="s">
        <v>43</v>
      </c>
      <c r="B43" s="33" t="s">
        <v>44</v>
      </c>
      <c r="C43" s="51" t="str">
        <f>[11]С2.1!E14</f>
        <v>от 200 до 500</v>
      </c>
    </row>
    <row r="44" spans="1:3" ht="25.5" x14ac:dyDescent="0.2">
      <c r="A44" s="22" t="s">
        <v>45</v>
      </c>
      <c r="B44" s="33" t="s">
        <v>46</v>
      </c>
      <c r="C44" s="52" t="str">
        <f>[11]С2.1!E15</f>
        <v>нет</v>
      </c>
    </row>
    <row r="45" spans="1:3" ht="30" x14ac:dyDescent="0.2">
      <c r="A45" s="22" t="s">
        <v>47</v>
      </c>
      <c r="B45" s="33" t="s">
        <v>48</v>
      </c>
      <c r="C45" s="34">
        <f>[11]С2!F18</f>
        <v>35106.652004551666</v>
      </c>
    </row>
    <row r="46" spans="1:3" ht="30" x14ac:dyDescent="0.2">
      <c r="A46" s="22" t="s">
        <v>49</v>
      </c>
      <c r="B46" s="53" t="s">
        <v>50</v>
      </c>
      <c r="C46" s="34">
        <f>IF([11]С2!F19&gt;0,[11]С2!F19,[11]С2!F20)</f>
        <v>23441.524932855718</v>
      </c>
    </row>
    <row r="47" spans="1:3" ht="25.5" x14ac:dyDescent="0.2">
      <c r="A47" s="22" t="s">
        <v>51</v>
      </c>
      <c r="B47" s="54" t="s">
        <v>52</v>
      </c>
      <c r="C47" s="34">
        <f>[11]С2.1!E19</f>
        <v>-38</v>
      </c>
    </row>
    <row r="48" spans="1:3" ht="25.5" x14ac:dyDescent="0.2">
      <c r="A48" s="22" t="s">
        <v>53</v>
      </c>
      <c r="B48" s="54" t="s">
        <v>54</v>
      </c>
      <c r="C48" s="34" t="str">
        <f>[11]С2.1!E22</f>
        <v>нет</v>
      </c>
    </row>
    <row r="49" spans="1:3" ht="38.25" x14ac:dyDescent="0.2">
      <c r="A49" s="22" t="s">
        <v>55</v>
      </c>
      <c r="B49" s="55" t="s">
        <v>56</v>
      </c>
      <c r="C49" s="34">
        <f>[11]С2.2!E10</f>
        <v>1287</v>
      </c>
    </row>
    <row r="50" spans="1:3" ht="25.5" x14ac:dyDescent="0.2">
      <c r="A50" s="22" t="s">
        <v>57</v>
      </c>
      <c r="B50" s="56" t="s">
        <v>58</v>
      </c>
      <c r="C50" s="34">
        <f>[11]С2.2!E12</f>
        <v>5.97</v>
      </c>
    </row>
    <row r="51" spans="1:3" ht="52.5" x14ac:dyDescent="0.2">
      <c r="A51" s="22" t="s">
        <v>59</v>
      </c>
      <c r="B51" s="57" t="s">
        <v>60</v>
      </c>
      <c r="C51" s="34">
        <f>[11]С2.2!E13</f>
        <v>1</v>
      </c>
    </row>
    <row r="52" spans="1:3" ht="27.75" x14ac:dyDescent="0.2">
      <c r="A52" s="22" t="s">
        <v>61</v>
      </c>
      <c r="B52" s="56" t="s">
        <v>62</v>
      </c>
      <c r="C52" s="34">
        <f>[11]С2.2!E14</f>
        <v>12104</v>
      </c>
    </row>
    <row r="53" spans="1:3" ht="25.5" x14ac:dyDescent="0.2">
      <c r="A53" s="22" t="s">
        <v>63</v>
      </c>
      <c r="B53" s="57" t="s">
        <v>64</v>
      </c>
      <c r="C53" s="35">
        <f>[11]С2.2!E15</f>
        <v>4.8000000000000001E-2</v>
      </c>
    </row>
    <row r="54" spans="1:3" x14ac:dyDescent="0.2">
      <c r="A54" s="22" t="s">
        <v>65</v>
      </c>
      <c r="B54" s="57" t="s">
        <v>66</v>
      </c>
      <c r="C54" s="34">
        <f>[11]С2.2!E16</f>
        <v>1</v>
      </c>
    </row>
    <row r="55" spans="1:3" ht="15.75" x14ac:dyDescent="0.2">
      <c r="A55" s="22" t="s">
        <v>67</v>
      </c>
      <c r="B55" s="58" t="s">
        <v>68</v>
      </c>
      <c r="C55" s="34">
        <f>[11]С2!F21</f>
        <v>1</v>
      </c>
    </row>
    <row r="56" spans="1:3" ht="30" x14ac:dyDescent="0.2">
      <c r="A56" s="59" t="s">
        <v>69</v>
      </c>
      <c r="B56" s="33" t="s">
        <v>70</v>
      </c>
      <c r="C56" s="34">
        <f>[11]С2!F13</f>
        <v>183796.83936385796</v>
      </c>
    </row>
    <row r="57" spans="1:3" ht="30" x14ac:dyDescent="0.2">
      <c r="A57" s="59" t="s">
        <v>71</v>
      </c>
      <c r="B57" s="58" t="s">
        <v>72</v>
      </c>
      <c r="C57" s="34">
        <f>[11]С2!F14</f>
        <v>113455</v>
      </c>
    </row>
    <row r="58" spans="1:3" ht="15.75" x14ac:dyDescent="0.2">
      <c r="A58" s="59" t="s">
        <v>73</v>
      </c>
      <c r="B58" s="60" t="s">
        <v>74</v>
      </c>
      <c r="C58" s="40">
        <f>[11]С2!F15</f>
        <v>1.071</v>
      </c>
    </row>
    <row r="59" spans="1:3" ht="15.75" x14ac:dyDescent="0.2">
      <c r="A59" s="59" t="s">
        <v>75</v>
      </c>
      <c r="B59" s="60" t="s">
        <v>76</v>
      </c>
      <c r="C59" s="40">
        <f>[11]С2!F16</f>
        <v>1</v>
      </c>
    </row>
    <row r="60" spans="1:3" ht="17.25" x14ac:dyDescent="0.2">
      <c r="A60" s="59" t="s">
        <v>77</v>
      </c>
      <c r="B60" s="58" t="s">
        <v>78</v>
      </c>
      <c r="C60" s="34">
        <f>[11]С2!F17</f>
        <v>1.01</v>
      </c>
    </row>
    <row r="61" spans="1:3" s="63" customFormat="1" ht="14.25" x14ac:dyDescent="0.2">
      <c r="A61" s="59" t="s">
        <v>79</v>
      </c>
      <c r="B61" s="61" t="s">
        <v>80</v>
      </c>
      <c r="C61" s="62">
        <f>[11]С2!F33</f>
        <v>10</v>
      </c>
    </row>
    <row r="62" spans="1:3" ht="30" x14ac:dyDescent="0.2">
      <c r="A62" s="59" t="s">
        <v>81</v>
      </c>
      <c r="B62" s="64" t="s">
        <v>82</v>
      </c>
      <c r="C62" s="34">
        <f>[11]С2!F26</f>
        <v>2780.7867618428891</v>
      </c>
    </row>
    <row r="63" spans="1:3" ht="17.25" x14ac:dyDescent="0.2">
      <c r="A63" s="59" t="s">
        <v>83</v>
      </c>
      <c r="B63" s="53" t="s">
        <v>84</v>
      </c>
      <c r="C63" s="34">
        <f>[11]С2!F27</f>
        <v>0.44209422600000003</v>
      </c>
    </row>
    <row r="64" spans="1:3" ht="17.25" x14ac:dyDescent="0.2">
      <c r="A64" s="59" t="s">
        <v>85</v>
      </c>
      <c r="B64" s="58" t="s">
        <v>86</v>
      </c>
      <c r="C64" s="62">
        <f>[11]С2!F28</f>
        <v>4200</v>
      </c>
    </row>
    <row r="65" spans="1:3" ht="42.75" x14ac:dyDescent="0.2">
      <c r="A65" s="59" t="s">
        <v>87</v>
      </c>
      <c r="B65" s="33" t="s">
        <v>88</v>
      </c>
      <c r="C65" s="34">
        <f>[11]С2!F22</f>
        <v>38698.422798410109</v>
      </c>
    </row>
    <row r="66" spans="1:3" ht="30" x14ac:dyDescent="0.2">
      <c r="A66" s="59" t="s">
        <v>89</v>
      </c>
      <c r="B66" s="60" t="s">
        <v>90</v>
      </c>
      <c r="C66" s="34">
        <f>[11]С2!F23</f>
        <v>1990</v>
      </c>
    </row>
    <row r="67" spans="1:3" ht="30" x14ac:dyDescent="0.2">
      <c r="A67" s="59" t="s">
        <v>91</v>
      </c>
      <c r="B67" s="53" t="s">
        <v>92</v>
      </c>
      <c r="C67" s="34">
        <f>[11]С2.1!E27</f>
        <v>14307.876789999998</v>
      </c>
    </row>
    <row r="68" spans="1:3" ht="38.25" x14ac:dyDescent="0.2">
      <c r="A68" s="59" t="s">
        <v>93</v>
      </c>
      <c r="B68" s="65" t="s">
        <v>94</v>
      </c>
      <c r="C68" s="52">
        <f>[11]С2.3!E21</f>
        <v>0</v>
      </c>
    </row>
    <row r="69" spans="1:3" ht="25.5" x14ac:dyDescent="0.2">
      <c r="A69" s="59" t="s">
        <v>95</v>
      </c>
      <c r="B69" s="66" t="s">
        <v>96</v>
      </c>
      <c r="C69" s="67">
        <f>[11]С2.3!E11</f>
        <v>9.89</v>
      </c>
    </row>
    <row r="70" spans="1:3" ht="25.5" x14ac:dyDescent="0.2">
      <c r="A70" s="59" t="s">
        <v>97</v>
      </c>
      <c r="B70" s="66" t="s">
        <v>98</v>
      </c>
      <c r="C70" s="62">
        <f>[11]С2.3!E13</f>
        <v>300</v>
      </c>
    </row>
    <row r="71" spans="1:3" ht="25.5" x14ac:dyDescent="0.2">
      <c r="A71" s="59" t="s">
        <v>99</v>
      </c>
      <c r="B71" s="65" t="s">
        <v>100</v>
      </c>
      <c r="C71" s="68">
        <f>IF([11]С2.3!E22&gt;0,[11]С2.3!E22,[11]С2.3!E14)</f>
        <v>61211</v>
      </c>
    </row>
    <row r="72" spans="1:3" ht="38.25" x14ac:dyDescent="0.2">
      <c r="A72" s="59" t="s">
        <v>101</v>
      </c>
      <c r="B72" s="65" t="s">
        <v>102</v>
      </c>
      <c r="C72" s="68">
        <f>IF([11]С2.3!E23&gt;0,[11]С2.3!E23,[11]С2.3!E15)</f>
        <v>45675</v>
      </c>
    </row>
    <row r="73" spans="1:3" ht="30" x14ac:dyDescent="0.2">
      <c r="A73" s="59" t="s">
        <v>103</v>
      </c>
      <c r="B73" s="53" t="s">
        <v>104</v>
      </c>
      <c r="C73" s="34">
        <f>[11]С2.1!E28</f>
        <v>9541.9567200000001</v>
      </c>
    </row>
    <row r="74" spans="1:3" ht="38.25" x14ac:dyDescent="0.2">
      <c r="A74" s="59" t="s">
        <v>105</v>
      </c>
      <c r="B74" s="65" t="s">
        <v>106</v>
      </c>
      <c r="C74" s="52">
        <f>[11]С2.3!E25</f>
        <v>0</v>
      </c>
    </row>
    <row r="75" spans="1:3" ht="25.5" x14ac:dyDescent="0.2">
      <c r="A75" s="59" t="s">
        <v>107</v>
      </c>
      <c r="B75" s="66" t="s">
        <v>108</v>
      </c>
      <c r="C75" s="67">
        <f>[11]С2.3!E12</f>
        <v>0.56000000000000005</v>
      </c>
    </row>
    <row r="76" spans="1:3" ht="25.5" x14ac:dyDescent="0.2">
      <c r="A76" s="59" t="s">
        <v>109</v>
      </c>
      <c r="B76" s="66" t="s">
        <v>98</v>
      </c>
      <c r="C76" s="62">
        <f>[11]С2.3!E13</f>
        <v>300</v>
      </c>
    </row>
    <row r="77" spans="1:3" ht="25.5" x14ac:dyDescent="0.2">
      <c r="A77" s="59" t="s">
        <v>110</v>
      </c>
      <c r="B77" s="69" t="s">
        <v>111</v>
      </c>
      <c r="C77" s="68">
        <f>IF([11]С2.3!E26&gt;0,[11]С2.3!E26,[11]С2.3!E16)</f>
        <v>65637</v>
      </c>
    </row>
    <row r="78" spans="1:3" ht="38.25" x14ac:dyDescent="0.2">
      <c r="A78" s="59" t="s">
        <v>112</v>
      </c>
      <c r="B78" s="69" t="s">
        <v>113</v>
      </c>
      <c r="C78" s="68">
        <f>IF([11]С2.3!E27&gt;0,[11]С2.3!E27,[11]С2.3!E17)</f>
        <v>31684</v>
      </c>
    </row>
    <row r="79" spans="1:3" ht="17.25" x14ac:dyDescent="0.2">
      <c r="A79" s="59" t="s">
        <v>114</v>
      </c>
      <c r="B79" s="33" t="s">
        <v>115</v>
      </c>
      <c r="C79" s="35">
        <f>[11]С2!F29</f>
        <v>9.5962865259740182E-2</v>
      </c>
    </row>
    <row r="80" spans="1:3" ht="30" x14ac:dyDescent="0.2">
      <c r="A80" s="59" t="s">
        <v>116</v>
      </c>
      <c r="B80" s="53" t="s">
        <v>117</v>
      </c>
      <c r="C80" s="70">
        <f>[11]С2!F30</f>
        <v>8.4029304029304031E-2</v>
      </c>
    </row>
    <row r="81" spans="1:3" ht="17.25" x14ac:dyDescent="0.2">
      <c r="A81" s="59" t="s">
        <v>118</v>
      </c>
      <c r="B81" s="71" t="s">
        <v>119</v>
      </c>
      <c r="C81" s="35">
        <f>[11]С2!F31</f>
        <v>0.13880000000000001</v>
      </c>
    </row>
    <row r="82" spans="1:3" s="63" customFormat="1" ht="18" thickBot="1" x14ac:dyDescent="0.25">
      <c r="A82" s="72" t="s">
        <v>120</v>
      </c>
      <c r="B82" s="73" t="s">
        <v>121</v>
      </c>
      <c r="C82" s="74">
        <f>[11]С2!F32</f>
        <v>0.12640000000000001</v>
      </c>
    </row>
    <row r="83" spans="1:3" ht="13.5" thickBot="1" x14ac:dyDescent="0.25">
      <c r="A83" s="47"/>
      <c r="B83" s="75"/>
      <c r="C83" s="15"/>
    </row>
    <row r="84" spans="1:3" s="63" customFormat="1" ht="30" customHeight="1" x14ac:dyDescent="0.2">
      <c r="A84" s="76" t="s">
        <v>122</v>
      </c>
      <c r="B84" s="165" t="s">
        <v>123</v>
      </c>
      <c r="C84" s="165"/>
    </row>
    <row r="85" spans="1:3" s="63" customFormat="1" ht="30" x14ac:dyDescent="0.2">
      <c r="A85" s="77" t="s">
        <v>124</v>
      </c>
      <c r="B85" s="33" t="s">
        <v>125</v>
      </c>
      <c r="C85" s="34">
        <f>[11]С3!F14</f>
        <v>6117.6201782637581</v>
      </c>
    </row>
    <row r="86" spans="1:3" s="63" customFormat="1" ht="42.75" x14ac:dyDescent="0.2">
      <c r="A86" s="77" t="s">
        <v>126</v>
      </c>
      <c r="B86" s="53" t="s">
        <v>127</v>
      </c>
      <c r="C86" s="78">
        <f>[11]С3!F15</f>
        <v>0.2</v>
      </c>
    </row>
    <row r="87" spans="1:3" s="63" customFormat="1" ht="14.25" x14ac:dyDescent="0.2">
      <c r="A87" s="77" t="s">
        <v>128</v>
      </c>
      <c r="B87" s="79" t="s">
        <v>129</v>
      </c>
      <c r="C87" s="62">
        <f>[11]С3!F18</f>
        <v>15</v>
      </c>
    </row>
    <row r="88" spans="1:3" s="63" customFormat="1" ht="17.25" x14ac:dyDescent="0.2">
      <c r="A88" s="77" t="s">
        <v>130</v>
      </c>
      <c r="B88" s="33" t="s">
        <v>131</v>
      </c>
      <c r="C88" s="34">
        <f>[11]С3!F19</f>
        <v>3778.1614077800232</v>
      </c>
    </row>
    <row r="89" spans="1:3" s="63" customFormat="1" ht="55.5" x14ac:dyDescent="0.2">
      <c r="A89" s="77" t="s">
        <v>132</v>
      </c>
      <c r="B89" s="53" t="s">
        <v>133</v>
      </c>
      <c r="C89" s="80">
        <f>[11]С3!F20</f>
        <v>2.1999999999999999E-2</v>
      </c>
    </row>
    <row r="90" spans="1:3" s="63" customFormat="1" ht="14.25" x14ac:dyDescent="0.2">
      <c r="A90" s="77" t="s">
        <v>134</v>
      </c>
      <c r="B90" s="58" t="s">
        <v>80</v>
      </c>
      <c r="C90" s="62">
        <f>[11]С3!F21</f>
        <v>10</v>
      </c>
    </row>
    <row r="91" spans="1:3" s="63" customFormat="1" ht="17.25" x14ac:dyDescent="0.2">
      <c r="A91" s="77" t="s">
        <v>135</v>
      </c>
      <c r="B91" s="33" t="s">
        <v>136</v>
      </c>
      <c r="C91" s="34">
        <f>[11]С3!F22</f>
        <v>8.3423602855286667</v>
      </c>
    </row>
    <row r="92" spans="1:3" s="63" customFormat="1" ht="55.5" x14ac:dyDescent="0.2">
      <c r="A92" s="77" t="s">
        <v>137</v>
      </c>
      <c r="B92" s="53" t="s">
        <v>138</v>
      </c>
      <c r="C92" s="80">
        <f>[11]С3!F23</f>
        <v>3.0000000000000001E-3</v>
      </c>
    </row>
    <row r="93" spans="1:3" s="63" customFormat="1" ht="27.75" thickBot="1" x14ac:dyDescent="0.25">
      <c r="A93" s="81" t="s">
        <v>139</v>
      </c>
      <c r="B93" s="82" t="s">
        <v>140</v>
      </c>
      <c r="C93" s="83">
        <f>[11]С3!F24</f>
        <v>2780.7867618428891</v>
      </c>
    </row>
    <row r="94" spans="1:3" ht="13.5" thickBot="1" x14ac:dyDescent="0.25">
      <c r="A94" s="47"/>
      <c r="B94" s="75"/>
      <c r="C94" s="15"/>
    </row>
    <row r="95" spans="1:3" ht="30" customHeight="1" x14ac:dyDescent="0.2">
      <c r="A95" s="84" t="s">
        <v>141</v>
      </c>
      <c r="B95" s="165" t="s">
        <v>142</v>
      </c>
      <c r="C95" s="165"/>
    </row>
    <row r="96" spans="1:3" ht="30" x14ac:dyDescent="0.2">
      <c r="A96" s="59" t="s">
        <v>143</v>
      </c>
      <c r="B96" s="33" t="s">
        <v>144</v>
      </c>
      <c r="C96" s="34">
        <f>[11]С4!F16</f>
        <v>1652.5</v>
      </c>
    </row>
    <row r="97" spans="1:3" ht="30" x14ac:dyDescent="0.2">
      <c r="A97" s="59" t="s">
        <v>145</v>
      </c>
      <c r="B97" s="58" t="s">
        <v>146</v>
      </c>
      <c r="C97" s="34">
        <f>[11]С4!F17</f>
        <v>73547</v>
      </c>
    </row>
    <row r="98" spans="1:3" ht="17.25" x14ac:dyDescent="0.2">
      <c r="A98" s="59" t="s">
        <v>147</v>
      </c>
      <c r="B98" s="58" t="s">
        <v>148</v>
      </c>
      <c r="C98" s="40">
        <f>[11]С4!F18</f>
        <v>0.02</v>
      </c>
    </row>
    <row r="99" spans="1:3" ht="30" x14ac:dyDescent="0.2">
      <c r="A99" s="59" t="s">
        <v>149</v>
      </c>
      <c r="B99" s="58" t="s">
        <v>150</v>
      </c>
      <c r="C99" s="34">
        <f>[11]С4!F19</f>
        <v>12104</v>
      </c>
    </row>
    <row r="100" spans="1:3" ht="31.5" x14ac:dyDescent="0.2">
      <c r="A100" s="59" t="s">
        <v>151</v>
      </c>
      <c r="B100" s="58" t="s">
        <v>152</v>
      </c>
      <c r="C100" s="40">
        <f>[11]С4!F20</f>
        <v>1.4999999999999999E-2</v>
      </c>
    </row>
    <row r="101" spans="1:3" ht="30" x14ac:dyDescent="0.2">
      <c r="A101" s="59" t="s">
        <v>153</v>
      </c>
      <c r="B101" s="33" t="s">
        <v>154</v>
      </c>
      <c r="C101" s="34">
        <f>[11]С4!F21</f>
        <v>1933.1949342509995</v>
      </c>
    </row>
    <row r="102" spans="1:3" ht="24" customHeight="1" x14ac:dyDescent="0.2">
      <c r="A102" s="59" t="s">
        <v>155</v>
      </c>
      <c r="B102" s="53" t="s">
        <v>156</v>
      </c>
      <c r="C102" s="85">
        <f>IF([11]С4.2!F8="да",[11]С4.2!D21,[11]С4.2!D15)</f>
        <v>0</v>
      </c>
    </row>
    <row r="103" spans="1:3" ht="68.25" x14ac:dyDescent="0.2">
      <c r="A103" s="59" t="s">
        <v>157</v>
      </c>
      <c r="B103" s="53" t="s">
        <v>158</v>
      </c>
      <c r="C103" s="34">
        <f>[11]С4!F22</f>
        <v>3.6112641666666665</v>
      </c>
    </row>
    <row r="104" spans="1:3" ht="30" x14ac:dyDescent="0.2">
      <c r="A104" s="59" t="s">
        <v>159</v>
      </c>
      <c r="B104" s="58" t="s">
        <v>160</v>
      </c>
      <c r="C104" s="34">
        <f>[11]С4!F23</f>
        <v>180</v>
      </c>
    </row>
    <row r="105" spans="1:3" ht="14.25" x14ac:dyDescent="0.2">
      <c r="A105" s="59" t="s">
        <v>161</v>
      </c>
      <c r="B105" s="53" t="s">
        <v>162</v>
      </c>
      <c r="C105" s="34">
        <f>[11]С4!F24</f>
        <v>8497.1999999999989</v>
      </c>
    </row>
    <row r="106" spans="1:3" ht="14.25" x14ac:dyDescent="0.2">
      <c r="A106" s="59" t="s">
        <v>163</v>
      </c>
      <c r="B106" s="58" t="s">
        <v>164</v>
      </c>
      <c r="C106" s="40">
        <f>[11]С4!F25</f>
        <v>0.35</v>
      </c>
    </row>
    <row r="107" spans="1:3" ht="17.25" x14ac:dyDescent="0.2">
      <c r="A107" s="59" t="s">
        <v>165</v>
      </c>
      <c r="B107" s="33" t="s">
        <v>166</v>
      </c>
      <c r="C107" s="34">
        <f>[11]С4!F26</f>
        <v>85.988129999999998</v>
      </c>
    </row>
    <row r="108" spans="1:3" ht="25.5" x14ac:dyDescent="0.2">
      <c r="A108" s="59" t="s">
        <v>167</v>
      </c>
      <c r="B108" s="53" t="s">
        <v>94</v>
      </c>
      <c r="C108" s="85">
        <f>[11]С4.3!E16</f>
        <v>0</v>
      </c>
    </row>
    <row r="109" spans="1:3" ht="25.5" x14ac:dyDescent="0.2">
      <c r="A109" s="59" t="s">
        <v>168</v>
      </c>
      <c r="B109" s="53" t="s">
        <v>169</v>
      </c>
      <c r="C109" s="34">
        <f>[11]С4.3!E17</f>
        <v>20.350000000000001</v>
      </c>
    </row>
    <row r="110" spans="1:3" ht="38.25" x14ac:dyDescent="0.2">
      <c r="A110" s="59" t="s">
        <v>170</v>
      </c>
      <c r="B110" s="53" t="s">
        <v>106</v>
      </c>
      <c r="C110" s="85">
        <f>[11]С4.3!E18</f>
        <v>0</v>
      </c>
    </row>
    <row r="111" spans="1:3" x14ac:dyDescent="0.2">
      <c r="A111" s="59" t="s">
        <v>171</v>
      </c>
      <c r="B111" s="53" t="s">
        <v>172</v>
      </c>
      <c r="C111" s="34">
        <f>[11]С4.3!E19</f>
        <v>71.67</v>
      </c>
    </row>
    <row r="112" spans="1:3" x14ac:dyDescent="0.2">
      <c r="A112" s="59" t="s">
        <v>173</v>
      </c>
      <c r="B112" s="58" t="s">
        <v>174</v>
      </c>
      <c r="C112" s="34">
        <f>[11]С4.3!E11</f>
        <v>1871</v>
      </c>
    </row>
    <row r="113" spans="1:3" x14ac:dyDescent="0.2">
      <c r="A113" s="59" t="s">
        <v>175</v>
      </c>
      <c r="B113" s="58" t="s">
        <v>176</v>
      </c>
      <c r="C113" s="52">
        <f>[11]С4.3!E12</f>
        <v>1636</v>
      </c>
    </row>
    <row r="114" spans="1:3" x14ac:dyDescent="0.2">
      <c r="A114" s="59" t="s">
        <v>177</v>
      </c>
      <c r="B114" s="58" t="s">
        <v>178</v>
      </c>
      <c r="C114" s="52">
        <f>[11]С4.3!E13</f>
        <v>204</v>
      </c>
    </row>
    <row r="115" spans="1:3" ht="30" x14ac:dyDescent="0.2">
      <c r="A115" s="59" t="s">
        <v>179</v>
      </c>
      <c r="B115" s="33" t="s">
        <v>180</v>
      </c>
      <c r="C115" s="34">
        <f>[11]С4!F27</f>
        <v>1291.2863994686898</v>
      </c>
    </row>
    <row r="116" spans="1:3" ht="25.5" x14ac:dyDescent="0.2">
      <c r="A116" s="59" t="s">
        <v>181</v>
      </c>
      <c r="B116" s="53" t="s">
        <v>182</v>
      </c>
      <c r="C116" s="34">
        <f>[11]С4!F28</f>
        <v>991.77142816335618</v>
      </c>
    </row>
    <row r="117" spans="1:3" ht="42.75" x14ac:dyDescent="0.2">
      <c r="A117" s="59" t="s">
        <v>183</v>
      </c>
      <c r="B117" s="53" t="s">
        <v>184</v>
      </c>
      <c r="C117" s="34">
        <f>[11]С4!F29</f>
        <v>299.51497130533357</v>
      </c>
    </row>
    <row r="118" spans="1:3" ht="30" x14ac:dyDescent="0.2">
      <c r="A118" s="59" t="s">
        <v>185</v>
      </c>
      <c r="B118" s="39" t="s">
        <v>186</v>
      </c>
      <c r="C118" s="34">
        <f>[11]С4!F30</f>
        <v>1846.1709738656207</v>
      </c>
    </row>
    <row r="119" spans="1:3" ht="42.75" x14ac:dyDescent="0.2">
      <c r="A119" s="59" t="s">
        <v>187</v>
      </c>
      <c r="B119" s="86" t="s">
        <v>188</v>
      </c>
      <c r="C119" s="34">
        <f>[11]С4!F33</f>
        <v>1124.091225525967</v>
      </c>
    </row>
    <row r="120" spans="1:3" ht="30" x14ac:dyDescent="0.2">
      <c r="A120" s="59" t="s">
        <v>189</v>
      </c>
      <c r="B120" s="87" t="s">
        <v>190</v>
      </c>
      <c r="C120" s="34">
        <f>[11]С4!F35</f>
        <v>17.040680999999999</v>
      </c>
    </row>
    <row r="121" spans="1:3" ht="14.25" x14ac:dyDescent="0.2">
      <c r="A121" s="59" t="s">
        <v>191</v>
      </c>
      <c r="B121" s="56" t="s">
        <v>192</v>
      </c>
      <c r="C121" s="34">
        <f>[11]С4!F36</f>
        <v>14319.9</v>
      </c>
    </row>
    <row r="122" spans="1:3" ht="28.5" thickBot="1" x14ac:dyDescent="0.25">
      <c r="A122" s="72" t="s">
        <v>193</v>
      </c>
      <c r="B122" s="88" t="s">
        <v>194</v>
      </c>
      <c r="C122" s="83">
        <f>[11]С4!F37</f>
        <v>1.19</v>
      </c>
    </row>
    <row r="123" spans="1:3" s="89" customFormat="1" ht="13.5" thickBot="1" x14ac:dyDescent="0.25">
      <c r="A123" s="47"/>
      <c r="B123" s="75"/>
      <c r="C123" s="15"/>
    </row>
    <row r="124" spans="1:3" s="63" customFormat="1" ht="30" customHeight="1" x14ac:dyDescent="0.2">
      <c r="A124" s="76" t="s">
        <v>195</v>
      </c>
      <c r="B124" s="165" t="s">
        <v>196</v>
      </c>
      <c r="C124" s="165"/>
    </row>
    <row r="125" spans="1:3" ht="16.5" thickBot="1" x14ac:dyDescent="0.25">
      <c r="A125" s="27" t="s">
        <v>197</v>
      </c>
      <c r="B125" s="90" t="s">
        <v>198</v>
      </c>
      <c r="C125" s="83">
        <f>[11]С5!F17</f>
        <v>0.02</v>
      </c>
    </row>
    <row r="126" spans="1:3" s="89" customFormat="1" ht="13.5" thickBot="1" x14ac:dyDescent="0.25">
      <c r="A126" s="47"/>
      <c r="B126" s="75"/>
      <c r="C126" s="15"/>
    </row>
    <row r="127" spans="1:3" ht="42.75" customHeight="1" x14ac:dyDescent="0.2">
      <c r="A127" s="84" t="s">
        <v>199</v>
      </c>
      <c r="B127" s="166" t="s">
        <v>200</v>
      </c>
      <c r="C127" s="166"/>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[11]С2!F37</f>
        <v>20.818139999999996</v>
      </c>
    </row>
    <row r="136" spans="1:4" ht="14.25" x14ac:dyDescent="0.2">
      <c r="A136" s="59" t="s">
        <v>216</v>
      </c>
      <c r="B136" s="101" t="s">
        <v>217</v>
      </c>
      <c r="C136" s="34">
        <f>[11]С2!F38</f>
        <v>7</v>
      </c>
    </row>
    <row r="137" spans="1:4" ht="17.25" x14ac:dyDescent="0.2">
      <c r="A137" s="59" t="s">
        <v>218</v>
      </c>
      <c r="B137" s="101" t="s">
        <v>219</v>
      </c>
      <c r="C137" s="34">
        <f>[11]С2!F40</f>
        <v>0.97</v>
      </c>
    </row>
    <row r="138" spans="1:4" ht="15" thickBot="1" x14ac:dyDescent="0.25">
      <c r="A138" s="72" t="s">
        <v>220</v>
      </c>
      <c r="B138" s="102" t="s">
        <v>221</v>
      </c>
      <c r="C138" s="46">
        <f>[11]С2!F42</f>
        <v>0.35</v>
      </c>
    </row>
    <row r="139" spans="1:4" s="89" customFormat="1" ht="13.5" thickBot="1" x14ac:dyDescent="0.25">
      <c r="A139" s="47"/>
      <c r="B139" s="75"/>
      <c r="C139" s="15"/>
    </row>
    <row r="140" spans="1:4" ht="30" x14ac:dyDescent="0.2">
      <c r="A140" s="84" t="s">
        <v>222</v>
      </c>
      <c r="B140" s="103" t="s">
        <v>223</v>
      </c>
      <c r="C140" s="104">
        <f>[11]С2!F35</f>
        <v>1.4976266307379205</v>
      </c>
      <c r="D140" s="89"/>
    </row>
    <row r="141" spans="1:4" ht="22.7" customHeight="1" thickBot="1" x14ac:dyDescent="0.25">
      <c r="A141" s="72" t="s">
        <v>224</v>
      </c>
      <c r="B141" s="161" t="s">
        <v>225</v>
      </c>
      <c r="C141" s="161"/>
      <c r="D141" s="89"/>
    </row>
    <row r="142" spans="1:4" ht="13.5" thickBot="1" x14ac:dyDescent="0.25">
      <c r="A142" s="105"/>
      <c r="B142" s="106" t="s">
        <v>226</v>
      </c>
      <c r="C142" s="107"/>
      <c r="D142" s="89"/>
    </row>
    <row r="143" spans="1:4" x14ac:dyDescent="0.2">
      <c r="A143" s="105"/>
      <c r="B143" s="108">
        <v>2020</v>
      </c>
      <c r="C143" s="109">
        <f>[11]С2.5!$E$11</f>
        <v>-2.9000000000000026E-2</v>
      </c>
      <c r="D143" s="89"/>
    </row>
    <row r="144" spans="1:4" x14ac:dyDescent="0.2">
      <c r="A144" s="105"/>
      <c r="B144" s="110">
        <f>B143+1</f>
        <v>2021</v>
      </c>
      <c r="C144" s="111">
        <f>[11]С2.5!$F$11</f>
        <v>0.245</v>
      </c>
      <c r="D144" s="89"/>
    </row>
    <row r="145" spans="1:4" x14ac:dyDescent="0.2">
      <c r="A145" s="105"/>
      <c r="B145" s="110">
        <f t="shared" ref="B145:B208" si="0">B144+1</f>
        <v>2022</v>
      </c>
      <c r="C145" s="111">
        <f>[11]С2.5!$G$11</f>
        <v>0.114</v>
      </c>
      <c r="D145" s="89"/>
    </row>
    <row r="146" spans="1:4" ht="13.5" thickBot="1" x14ac:dyDescent="0.25">
      <c r="A146" s="105"/>
      <c r="B146" s="112">
        <f t="shared" si="0"/>
        <v>2023</v>
      </c>
      <c r="C146" s="113">
        <f>[11]С2.5!$H$11</f>
        <v>2.4E-2</v>
      </c>
      <c r="D146" s="89"/>
    </row>
    <row r="147" spans="1:4" x14ac:dyDescent="0.2">
      <c r="A147" s="105"/>
      <c r="B147" s="114">
        <f t="shared" si="0"/>
        <v>2024</v>
      </c>
      <c r="C147" s="115">
        <f>[11]С2.5!$I$11</f>
        <v>8.5999999999999993E-2</v>
      </c>
      <c r="D147" s="89"/>
    </row>
    <row r="148" spans="1:4" hidden="1" x14ac:dyDescent="0.2">
      <c r="A148" s="105"/>
      <c r="B148" s="110">
        <f t="shared" si="0"/>
        <v>2025</v>
      </c>
      <c r="C148" s="111">
        <f>[11]С2.5!$J$11</f>
        <v>0.21215960863291</v>
      </c>
      <c r="D148" s="89"/>
    </row>
    <row r="149" spans="1:4" hidden="1" x14ac:dyDescent="0.2">
      <c r="A149" s="105"/>
      <c r="B149" s="110">
        <f t="shared" si="0"/>
        <v>2026</v>
      </c>
      <c r="C149" s="111">
        <f>[11]С2.5!$K$11</f>
        <v>3.5813361771260002E-2</v>
      </c>
      <c r="D149" s="89"/>
    </row>
    <row r="150" spans="1:4" hidden="1" x14ac:dyDescent="0.2">
      <c r="A150" s="105"/>
      <c r="B150" s="110">
        <f t="shared" si="0"/>
        <v>2027</v>
      </c>
      <c r="C150" s="111">
        <f>[11]С2.5!$L$11</f>
        <v>3.2682303599220003E-2</v>
      </c>
      <c r="D150" s="89"/>
    </row>
    <row r="151" spans="1:4" hidden="1" x14ac:dyDescent="0.2">
      <c r="A151" s="105"/>
      <c r="B151" s="110">
        <f t="shared" si="0"/>
        <v>2028</v>
      </c>
      <c r="C151" s="111">
        <f>[11]С2.5!$M$11</f>
        <v>0</v>
      </c>
      <c r="D151" s="89"/>
    </row>
    <row r="152" spans="1:4" hidden="1" x14ac:dyDescent="0.2">
      <c r="A152" s="105"/>
      <c r="B152" s="110">
        <f t="shared" si="0"/>
        <v>2029</v>
      </c>
      <c r="C152" s="111">
        <f>[11]С2.5!$N$11</f>
        <v>0</v>
      </c>
      <c r="D152" s="89"/>
    </row>
    <row r="153" spans="1:4" hidden="1" x14ac:dyDescent="0.2">
      <c r="A153" s="105"/>
      <c r="B153" s="110">
        <f t="shared" si="0"/>
        <v>2030</v>
      </c>
      <c r="C153" s="111">
        <f>[11]С2.5!$O$11</f>
        <v>0</v>
      </c>
      <c r="D153" s="89"/>
    </row>
    <row r="154" spans="1:4" hidden="1" x14ac:dyDescent="0.2">
      <c r="A154" s="105"/>
      <c r="B154" s="110">
        <f t="shared" si="0"/>
        <v>2031</v>
      </c>
      <c r="C154" s="111">
        <f>[11]С2.5!$P$11</f>
        <v>0</v>
      </c>
      <c r="D154" s="89"/>
    </row>
    <row r="155" spans="1:4" hidden="1" x14ac:dyDescent="0.2">
      <c r="A155" s="89"/>
      <c r="B155" s="110">
        <f t="shared" si="0"/>
        <v>2032</v>
      </c>
      <c r="C155" s="111">
        <f>[11]С2.5!$Q$11</f>
        <v>0</v>
      </c>
      <c r="D155" s="89"/>
    </row>
    <row r="156" spans="1:4" hidden="1" x14ac:dyDescent="0.2">
      <c r="A156" s="89"/>
      <c r="B156" s="110">
        <f t="shared" si="0"/>
        <v>2033</v>
      </c>
      <c r="C156" s="111">
        <f>[11]С2.5!$R$11</f>
        <v>0</v>
      </c>
      <c r="D156" s="89"/>
    </row>
    <row r="157" spans="1:4" hidden="1" x14ac:dyDescent="0.2">
      <c r="B157" s="110">
        <f t="shared" si="0"/>
        <v>2034</v>
      </c>
      <c r="C157" s="111">
        <f>[11]С2.5!$S$11</f>
        <v>0</v>
      </c>
    </row>
    <row r="158" spans="1:4" hidden="1" x14ac:dyDescent="0.2">
      <c r="B158" s="110">
        <f t="shared" si="0"/>
        <v>2035</v>
      </c>
      <c r="C158" s="111">
        <f>[11]С2.5!$T$11</f>
        <v>0</v>
      </c>
    </row>
    <row r="159" spans="1:4" hidden="1" x14ac:dyDescent="0.2">
      <c r="B159" s="110">
        <f t="shared" si="0"/>
        <v>2036</v>
      </c>
      <c r="C159" s="111">
        <f>[11]С2.5!$U$11</f>
        <v>0</v>
      </c>
    </row>
    <row r="160" spans="1:4" hidden="1" x14ac:dyDescent="0.2">
      <c r="B160" s="110">
        <f t="shared" si="0"/>
        <v>2037</v>
      </c>
      <c r="C160" s="111">
        <f>[11]С2.5!$V$11</f>
        <v>0</v>
      </c>
    </row>
    <row r="161" spans="2:3" hidden="1" x14ac:dyDescent="0.2">
      <c r="B161" s="110">
        <f t="shared" si="0"/>
        <v>2038</v>
      </c>
      <c r="C161" s="111">
        <f>[11]С2.5!$W$11</f>
        <v>0</v>
      </c>
    </row>
    <row r="162" spans="2:3" hidden="1" x14ac:dyDescent="0.2">
      <c r="B162" s="110">
        <f t="shared" si="0"/>
        <v>2039</v>
      </c>
      <c r="C162" s="111">
        <f>[11]С2.5!$X$11</f>
        <v>0</v>
      </c>
    </row>
    <row r="163" spans="2:3" hidden="1" x14ac:dyDescent="0.2">
      <c r="B163" s="110">
        <f t="shared" si="0"/>
        <v>2040</v>
      </c>
      <c r="C163" s="111">
        <f>[11]С2.5!$Y$11</f>
        <v>0</v>
      </c>
    </row>
    <row r="164" spans="2:3" hidden="1" x14ac:dyDescent="0.2">
      <c r="B164" s="110">
        <f t="shared" si="0"/>
        <v>2041</v>
      </c>
      <c r="C164" s="111">
        <f>[11]С2.5!$Z$11</f>
        <v>0</v>
      </c>
    </row>
    <row r="165" spans="2:3" hidden="1" x14ac:dyDescent="0.2">
      <c r="B165" s="110">
        <f t="shared" si="0"/>
        <v>2042</v>
      </c>
      <c r="C165" s="111">
        <f>[11]С2.5!$AA$11</f>
        <v>0</v>
      </c>
    </row>
    <row r="166" spans="2:3" hidden="1" x14ac:dyDescent="0.2">
      <c r="B166" s="110">
        <f t="shared" si="0"/>
        <v>2043</v>
      </c>
      <c r="C166" s="111">
        <f>[11]С2.5!$AB$11</f>
        <v>0</v>
      </c>
    </row>
    <row r="167" spans="2:3" hidden="1" x14ac:dyDescent="0.2">
      <c r="B167" s="110">
        <f t="shared" si="0"/>
        <v>2044</v>
      </c>
      <c r="C167" s="111">
        <f>[11]С2.5!$AC$11</f>
        <v>0</v>
      </c>
    </row>
    <row r="168" spans="2:3" hidden="1" x14ac:dyDescent="0.2">
      <c r="B168" s="110">
        <f t="shared" si="0"/>
        <v>2045</v>
      </c>
      <c r="C168" s="111">
        <f>[11]С2.5!$AD$11</f>
        <v>0</v>
      </c>
    </row>
    <row r="169" spans="2:3" hidden="1" x14ac:dyDescent="0.2">
      <c r="B169" s="110">
        <f t="shared" si="0"/>
        <v>2046</v>
      </c>
      <c r="C169" s="111">
        <f>[11]С2.5!$AE$11</f>
        <v>0</v>
      </c>
    </row>
    <row r="170" spans="2:3" hidden="1" x14ac:dyDescent="0.2">
      <c r="B170" s="110">
        <f t="shared" si="0"/>
        <v>2047</v>
      </c>
      <c r="C170" s="111">
        <f>[11]С2.5!$AF$11</f>
        <v>0</v>
      </c>
    </row>
    <row r="171" spans="2:3" hidden="1" x14ac:dyDescent="0.2">
      <c r="B171" s="110">
        <f t="shared" si="0"/>
        <v>2048</v>
      </c>
      <c r="C171" s="111">
        <f>[11]С2.5!$AG$11</f>
        <v>0</v>
      </c>
    </row>
    <row r="172" spans="2:3" hidden="1" x14ac:dyDescent="0.2">
      <c r="B172" s="110">
        <f t="shared" si="0"/>
        <v>2049</v>
      </c>
      <c r="C172" s="111">
        <f>[11]С2.5!$AH$11</f>
        <v>0</v>
      </c>
    </row>
    <row r="173" spans="2:3" hidden="1" x14ac:dyDescent="0.2">
      <c r="B173" s="110">
        <f t="shared" si="0"/>
        <v>2050</v>
      </c>
      <c r="C173" s="111">
        <f>[11]С2.5!$AI$11</f>
        <v>0</v>
      </c>
    </row>
    <row r="174" spans="2:3" hidden="1" x14ac:dyDescent="0.2">
      <c r="B174" s="110">
        <f t="shared" si="0"/>
        <v>2051</v>
      </c>
      <c r="C174" s="111">
        <f>[11]С2.5!$AJ$11</f>
        <v>0</v>
      </c>
    </row>
    <row r="175" spans="2:3" hidden="1" x14ac:dyDescent="0.2">
      <c r="B175" s="110">
        <f t="shared" si="0"/>
        <v>2052</v>
      </c>
      <c r="C175" s="111">
        <f>[11]С2.5!$AK$11</f>
        <v>0</v>
      </c>
    </row>
    <row r="176" spans="2:3" hidden="1" x14ac:dyDescent="0.2">
      <c r="B176" s="110">
        <f t="shared" si="0"/>
        <v>2053</v>
      </c>
      <c r="C176" s="111">
        <f>[11]С2.5!$AL$11</f>
        <v>0</v>
      </c>
    </row>
    <row r="177" spans="2:3" hidden="1" x14ac:dyDescent="0.2">
      <c r="B177" s="110">
        <f t="shared" si="0"/>
        <v>2054</v>
      </c>
      <c r="C177" s="111">
        <f>[11]С2.5!$AM$11</f>
        <v>0</v>
      </c>
    </row>
    <row r="178" spans="2:3" hidden="1" x14ac:dyDescent="0.2">
      <c r="B178" s="110">
        <f t="shared" si="0"/>
        <v>2055</v>
      </c>
      <c r="C178" s="111">
        <f>[11]С2.5!$AN$11</f>
        <v>0</v>
      </c>
    </row>
    <row r="179" spans="2:3" hidden="1" x14ac:dyDescent="0.2">
      <c r="B179" s="110">
        <f t="shared" si="0"/>
        <v>2056</v>
      </c>
      <c r="C179" s="111">
        <f>[11]С2.5!$AO$11</f>
        <v>0</v>
      </c>
    </row>
    <row r="180" spans="2:3" hidden="1" x14ac:dyDescent="0.2">
      <c r="B180" s="110">
        <f t="shared" si="0"/>
        <v>2057</v>
      </c>
      <c r="C180" s="111">
        <f>[11]С2.5!$AP$11</f>
        <v>0</v>
      </c>
    </row>
    <row r="181" spans="2:3" hidden="1" x14ac:dyDescent="0.2">
      <c r="B181" s="110">
        <f t="shared" si="0"/>
        <v>2058</v>
      </c>
      <c r="C181" s="111">
        <f>[11]С2.5!$AQ$11</f>
        <v>0</v>
      </c>
    </row>
    <row r="182" spans="2:3" hidden="1" x14ac:dyDescent="0.2">
      <c r="B182" s="110">
        <f t="shared" si="0"/>
        <v>2059</v>
      </c>
      <c r="C182" s="111">
        <f>[11]С2.5!$AR$11</f>
        <v>0</v>
      </c>
    </row>
    <row r="183" spans="2:3" hidden="1" x14ac:dyDescent="0.2">
      <c r="B183" s="110">
        <f t="shared" si="0"/>
        <v>2060</v>
      </c>
      <c r="C183" s="111">
        <f>[11]С2.5!$AS$11</f>
        <v>0</v>
      </c>
    </row>
    <row r="184" spans="2:3" hidden="1" x14ac:dyDescent="0.2">
      <c r="B184" s="110">
        <f t="shared" si="0"/>
        <v>2061</v>
      </c>
      <c r="C184" s="111">
        <f>[11]С2.5!$AT$11</f>
        <v>0</v>
      </c>
    </row>
    <row r="185" spans="2:3" hidden="1" x14ac:dyDescent="0.2">
      <c r="B185" s="110">
        <f t="shared" si="0"/>
        <v>2062</v>
      </c>
      <c r="C185" s="111">
        <f>[11]С2.5!$AU$11</f>
        <v>0</v>
      </c>
    </row>
    <row r="186" spans="2:3" hidden="1" x14ac:dyDescent="0.2">
      <c r="B186" s="110">
        <f t="shared" si="0"/>
        <v>2063</v>
      </c>
      <c r="C186" s="111">
        <f>[11]С2.5!$AV$11</f>
        <v>0</v>
      </c>
    </row>
    <row r="187" spans="2:3" hidden="1" x14ac:dyDescent="0.2">
      <c r="B187" s="110">
        <f t="shared" si="0"/>
        <v>2064</v>
      </c>
      <c r="C187" s="111">
        <f>[11]С2.5!$AW$11</f>
        <v>0</v>
      </c>
    </row>
    <row r="188" spans="2:3" hidden="1" x14ac:dyDescent="0.2">
      <c r="B188" s="110">
        <f t="shared" si="0"/>
        <v>2065</v>
      </c>
      <c r="C188" s="111">
        <f>[11]С2.5!$AX$11</f>
        <v>0</v>
      </c>
    </row>
    <row r="189" spans="2:3" hidden="1" x14ac:dyDescent="0.2">
      <c r="B189" s="110">
        <f t="shared" si="0"/>
        <v>2066</v>
      </c>
      <c r="C189" s="111">
        <f>[11]С2.5!$AY$11</f>
        <v>0</v>
      </c>
    </row>
    <row r="190" spans="2:3" hidden="1" x14ac:dyDescent="0.2">
      <c r="B190" s="110">
        <f t="shared" si="0"/>
        <v>2067</v>
      </c>
      <c r="C190" s="111">
        <f>[11]С2.5!$AZ$11</f>
        <v>0</v>
      </c>
    </row>
    <row r="191" spans="2:3" hidden="1" x14ac:dyDescent="0.2">
      <c r="B191" s="110">
        <f t="shared" si="0"/>
        <v>2068</v>
      </c>
      <c r="C191" s="111">
        <f>[11]С2.5!$BA$11</f>
        <v>0</v>
      </c>
    </row>
    <row r="192" spans="2:3" hidden="1" x14ac:dyDescent="0.2">
      <c r="B192" s="110">
        <f t="shared" si="0"/>
        <v>2069</v>
      </c>
      <c r="C192" s="111">
        <f>[11]С2.5!$BB$11</f>
        <v>0</v>
      </c>
    </row>
    <row r="193" spans="2:3" hidden="1" x14ac:dyDescent="0.2">
      <c r="B193" s="110">
        <f t="shared" si="0"/>
        <v>2070</v>
      </c>
      <c r="C193" s="111">
        <f>[11]С2.5!$BC$11</f>
        <v>0</v>
      </c>
    </row>
    <row r="194" spans="2:3" hidden="1" x14ac:dyDescent="0.2">
      <c r="B194" s="110">
        <f t="shared" si="0"/>
        <v>2071</v>
      </c>
      <c r="C194" s="111">
        <f>[11]С2.5!$BD$11</f>
        <v>0</v>
      </c>
    </row>
    <row r="195" spans="2:3" hidden="1" x14ac:dyDescent="0.2">
      <c r="B195" s="110">
        <f t="shared" si="0"/>
        <v>2072</v>
      </c>
      <c r="C195" s="111">
        <f>[11]С2.5!$BE$11</f>
        <v>0</v>
      </c>
    </row>
    <row r="196" spans="2:3" hidden="1" x14ac:dyDescent="0.2">
      <c r="B196" s="110">
        <f t="shared" si="0"/>
        <v>2073</v>
      </c>
      <c r="C196" s="111">
        <f>[11]С2.5!$BF$11</f>
        <v>0</v>
      </c>
    </row>
    <row r="197" spans="2:3" hidden="1" x14ac:dyDescent="0.2">
      <c r="B197" s="110">
        <f t="shared" si="0"/>
        <v>2074</v>
      </c>
      <c r="C197" s="111">
        <f>[11]С2.5!$BG$11</f>
        <v>0</v>
      </c>
    </row>
    <row r="198" spans="2:3" hidden="1" x14ac:dyDescent="0.2">
      <c r="B198" s="110">
        <f t="shared" si="0"/>
        <v>2075</v>
      </c>
      <c r="C198" s="111">
        <f>[11]С2.5!$BH$11</f>
        <v>0</v>
      </c>
    </row>
    <row r="199" spans="2:3" hidden="1" x14ac:dyDescent="0.2">
      <c r="B199" s="110">
        <f t="shared" si="0"/>
        <v>2076</v>
      </c>
      <c r="C199" s="111">
        <f>[11]С2.5!$BI$11</f>
        <v>0</v>
      </c>
    </row>
    <row r="200" spans="2:3" hidden="1" x14ac:dyDescent="0.2">
      <c r="B200" s="110">
        <f t="shared" si="0"/>
        <v>2077</v>
      </c>
      <c r="C200" s="111">
        <f>[11]С2.5!$BJ$11</f>
        <v>0</v>
      </c>
    </row>
    <row r="201" spans="2:3" hidden="1" x14ac:dyDescent="0.2">
      <c r="B201" s="110">
        <f t="shared" si="0"/>
        <v>2078</v>
      </c>
      <c r="C201" s="111">
        <f>[11]С2.5!$BK$11</f>
        <v>0</v>
      </c>
    </row>
    <row r="202" spans="2:3" hidden="1" x14ac:dyDescent="0.2">
      <c r="B202" s="110">
        <f t="shared" si="0"/>
        <v>2079</v>
      </c>
      <c r="C202" s="111">
        <f>[11]С2.5!$BL$11</f>
        <v>0</v>
      </c>
    </row>
    <row r="203" spans="2:3" hidden="1" x14ac:dyDescent="0.2">
      <c r="B203" s="110">
        <f t="shared" si="0"/>
        <v>2080</v>
      </c>
      <c r="C203" s="111">
        <f>[11]С2.5!$BM$11</f>
        <v>0</v>
      </c>
    </row>
    <row r="204" spans="2:3" hidden="1" x14ac:dyDescent="0.2">
      <c r="B204" s="110">
        <f t="shared" si="0"/>
        <v>2081</v>
      </c>
      <c r="C204" s="111">
        <f>[11]С2.5!$BN$11</f>
        <v>0</v>
      </c>
    </row>
    <row r="205" spans="2:3" hidden="1" x14ac:dyDescent="0.2">
      <c r="B205" s="110">
        <f t="shared" si="0"/>
        <v>2082</v>
      </c>
      <c r="C205" s="111">
        <f>[11]С2.5!$BO$11</f>
        <v>0</v>
      </c>
    </row>
    <row r="206" spans="2:3" hidden="1" x14ac:dyDescent="0.2">
      <c r="B206" s="110">
        <f t="shared" si="0"/>
        <v>2083</v>
      </c>
      <c r="C206" s="111">
        <f>[11]С2.5!$BP$11</f>
        <v>0</v>
      </c>
    </row>
    <row r="207" spans="2:3" hidden="1" x14ac:dyDescent="0.2">
      <c r="B207" s="110">
        <f t="shared" si="0"/>
        <v>2084</v>
      </c>
      <c r="C207" s="111">
        <f>[11]С2.5!$BQ$11</f>
        <v>0</v>
      </c>
    </row>
    <row r="208" spans="2:3" hidden="1" x14ac:dyDescent="0.2">
      <c r="B208" s="110">
        <f t="shared" si="0"/>
        <v>2085</v>
      </c>
      <c r="C208" s="111">
        <f>[11]С2.5!$BR$11</f>
        <v>0</v>
      </c>
    </row>
    <row r="209" spans="2:3" hidden="1" x14ac:dyDescent="0.2">
      <c r="B209" s="110">
        <f t="shared" ref="B209:B223" si="1">B208+1</f>
        <v>2086</v>
      </c>
      <c r="C209" s="111">
        <f>[11]С2.5!$BS$11</f>
        <v>0</v>
      </c>
    </row>
    <row r="210" spans="2:3" hidden="1" x14ac:dyDescent="0.2">
      <c r="B210" s="110">
        <f t="shared" si="1"/>
        <v>2087</v>
      </c>
      <c r="C210" s="111">
        <f>[11]С2.5!$BT$11</f>
        <v>0</v>
      </c>
    </row>
    <row r="211" spans="2:3" hidden="1" x14ac:dyDescent="0.2">
      <c r="B211" s="110">
        <f t="shared" si="1"/>
        <v>2088</v>
      </c>
      <c r="C211" s="111">
        <f>[11]С2.5!$BU$11</f>
        <v>0</v>
      </c>
    </row>
    <row r="212" spans="2:3" hidden="1" x14ac:dyDescent="0.2">
      <c r="B212" s="110">
        <f t="shared" si="1"/>
        <v>2089</v>
      </c>
      <c r="C212" s="111">
        <f>[11]С2.5!$BV$11</f>
        <v>0</v>
      </c>
    </row>
    <row r="213" spans="2:3" hidden="1" x14ac:dyDescent="0.2">
      <c r="B213" s="110">
        <f t="shared" si="1"/>
        <v>2090</v>
      </c>
      <c r="C213" s="111">
        <f>[11]С2.5!$BW$11</f>
        <v>0</v>
      </c>
    </row>
    <row r="214" spans="2:3" hidden="1" x14ac:dyDescent="0.2">
      <c r="B214" s="110">
        <f t="shared" si="1"/>
        <v>2091</v>
      </c>
      <c r="C214" s="111">
        <f>[11]С2.5!$BX$11</f>
        <v>0</v>
      </c>
    </row>
    <row r="215" spans="2:3" hidden="1" x14ac:dyDescent="0.2">
      <c r="B215" s="110">
        <f t="shared" si="1"/>
        <v>2092</v>
      </c>
      <c r="C215" s="111">
        <f>[11]С2.5!$BY$11</f>
        <v>0</v>
      </c>
    </row>
    <row r="216" spans="2:3" hidden="1" x14ac:dyDescent="0.2">
      <c r="B216" s="110">
        <f t="shared" si="1"/>
        <v>2093</v>
      </c>
      <c r="C216" s="111">
        <f>[11]С2.5!$BZ$11</f>
        <v>0</v>
      </c>
    </row>
    <row r="217" spans="2:3" hidden="1" x14ac:dyDescent="0.2">
      <c r="B217" s="110">
        <f t="shared" si="1"/>
        <v>2094</v>
      </c>
      <c r="C217" s="111">
        <f>[11]С2.5!$CA$11</f>
        <v>0</v>
      </c>
    </row>
    <row r="218" spans="2:3" hidden="1" x14ac:dyDescent="0.2">
      <c r="B218" s="110">
        <f t="shared" si="1"/>
        <v>2095</v>
      </c>
      <c r="C218" s="111">
        <f>[11]С2.5!$CB$11</f>
        <v>0</v>
      </c>
    </row>
    <row r="219" spans="2:3" hidden="1" x14ac:dyDescent="0.2">
      <c r="B219" s="110">
        <f t="shared" si="1"/>
        <v>2096</v>
      </c>
      <c r="C219" s="111">
        <f>[11]С2.5!$CC$11</f>
        <v>0</v>
      </c>
    </row>
    <row r="220" spans="2:3" hidden="1" x14ac:dyDescent="0.2">
      <c r="B220" s="110">
        <f t="shared" si="1"/>
        <v>2097</v>
      </c>
      <c r="C220" s="111">
        <f>[11]С2.5!$CD$11</f>
        <v>0</v>
      </c>
    </row>
    <row r="221" spans="2:3" hidden="1" x14ac:dyDescent="0.2">
      <c r="B221" s="110">
        <f t="shared" si="1"/>
        <v>2098</v>
      </c>
      <c r="C221" s="111">
        <f>[11]С2.5!$CE$11</f>
        <v>0</v>
      </c>
    </row>
    <row r="222" spans="2:3" hidden="1" x14ac:dyDescent="0.2">
      <c r="B222" s="110">
        <f t="shared" si="1"/>
        <v>2099</v>
      </c>
      <c r="C222" s="111">
        <f>[11]С2.5!$CF$11</f>
        <v>0</v>
      </c>
    </row>
    <row r="223" spans="2:3" ht="13.5" hidden="1" thickBot="1" x14ac:dyDescent="0.25">
      <c r="B223" s="112">
        <f t="shared" si="1"/>
        <v>2100</v>
      </c>
      <c r="C223" s="113">
        <f>[11]С2.5!$CG$11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Button 1">
              <controlPr defaultSize="0" print="0" autoFill="0" autoPict="0" macro="[8]!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7170" r:id="rId4" name="Button 2">
              <controlPr defaultSize="0" print="0" autoFill="0" autoPict="0" macro="[11]!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26"/>
  <sheetViews>
    <sheetView workbookViewId="0">
      <selection activeCell="C2" sqref="C2"/>
    </sheetView>
  </sheetViews>
  <sheetFormatPr defaultRowHeight="12.75" x14ac:dyDescent="0.2"/>
  <cols>
    <col min="1" max="1" width="9.140625" style="2" customWidth="1"/>
    <col min="2" max="2" width="100.5703125" style="2" customWidth="1"/>
    <col min="3" max="3" width="20.85546875" style="7" customWidth="1"/>
    <col min="4" max="4" width="5.140625" style="2" customWidth="1"/>
    <col min="5" max="5" width="17.5703125" style="2" customWidth="1"/>
    <col min="6" max="249" width="9.140625" style="2"/>
    <col min="250" max="250" width="3.5703125" style="2" customWidth="1"/>
    <col min="251" max="251" width="96.85546875" style="2" customWidth="1"/>
    <col min="252" max="252" width="30.85546875" style="2" customWidth="1"/>
    <col min="253" max="253" width="12.5703125" style="2" customWidth="1"/>
    <col min="254" max="254" width="5.140625" style="2" customWidth="1"/>
    <col min="255" max="255" width="9.140625" style="2"/>
    <col min="256" max="256" width="4.85546875" style="2" customWidth="1"/>
    <col min="257" max="257" width="30.5703125" style="2" customWidth="1"/>
    <col min="258" max="258" width="33.85546875" style="2" customWidth="1"/>
    <col min="259" max="259" width="5.140625" style="2" customWidth="1"/>
    <col min="260" max="261" width="17.5703125" style="2" customWidth="1"/>
    <col min="262" max="505" width="9.140625" style="2"/>
    <col min="506" max="506" width="3.5703125" style="2" customWidth="1"/>
    <col min="507" max="507" width="96.85546875" style="2" customWidth="1"/>
    <col min="508" max="508" width="30.85546875" style="2" customWidth="1"/>
    <col min="509" max="509" width="12.5703125" style="2" customWidth="1"/>
    <col min="510" max="510" width="5.140625" style="2" customWidth="1"/>
    <col min="511" max="511" width="9.140625" style="2"/>
    <col min="512" max="512" width="4.85546875" style="2" customWidth="1"/>
    <col min="513" max="513" width="30.5703125" style="2" customWidth="1"/>
    <col min="514" max="514" width="33.85546875" style="2" customWidth="1"/>
    <col min="515" max="515" width="5.140625" style="2" customWidth="1"/>
    <col min="516" max="517" width="17.5703125" style="2" customWidth="1"/>
    <col min="518" max="761" width="9.140625" style="2"/>
    <col min="762" max="762" width="3.5703125" style="2" customWidth="1"/>
    <col min="763" max="763" width="96.85546875" style="2" customWidth="1"/>
    <col min="764" max="764" width="30.85546875" style="2" customWidth="1"/>
    <col min="765" max="765" width="12.5703125" style="2" customWidth="1"/>
    <col min="766" max="766" width="5.140625" style="2" customWidth="1"/>
    <col min="767" max="767" width="9.140625" style="2"/>
    <col min="768" max="768" width="4.85546875" style="2" customWidth="1"/>
    <col min="769" max="769" width="30.5703125" style="2" customWidth="1"/>
    <col min="770" max="770" width="33.85546875" style="2" customWidth="1"/>
    <col min="771" max="771" width="5.140625" style="2" customWidth="1"/>
    <col min="772" max="773" width="17.5703125" style="2" customWidth="1"/>
    <col min="774" max="1017" width="9.140625" style="2"/>
    <col min="1018" max="1018" width="3.5703125" style="2" customWidth="1"/>
    <col min="1019" max="1019" width="96.85546875" style="2" customWidth="1"/>
    <col min="1020" max="1020" width="30.85546875" style="2" customWidth="1"/>
    <col min="1021" max="1021" width="12.5703125" style="2" customWidth="1"/>
    <col min="1022" max="1022" width="5.140625" style="2" customWidth="1"/>
    <col min="1023" max="1023" width="9.140625" style="2"/>
    <col min="1024" max="1024" width="4.85546875" style="2" customWidth="1"/>
    <col min="1025" max="1025" width="30.5703125" style="2" customWidth="1"/>
    <col min="1026" max="1026" width="33.85546875" style="2" customWidth="1"/>
    <col min="1027" max="1027" width="5.140625" style="2" customWidth="1"/>
    <col min="1028" max="1029" width="17.5703125" style="2" customWidth="1"/>
    <col min="1030" max="1273" width="9.140625" style="2"/>
    <col min="1274" max="1274" width="3.5703125" style="2" customWidth="1"/>
    <col min="1275" max="1275" width="96.85546875" style="2" customWidth="1"/>
    <col min="1276" max="1276" width="30.85546875" style="2" customWidth="1"/>
    <col min="1277" max="1277" width="12.5703125" style="2" customWidth="1"/>
    <col min="1278" max="1278" width="5.140625" style="2" customWidth="1"/>
    <col min="1279" max="1279" width="9.140625" style="2"/>
    <col min="1280" max="1280" width="4.85546875" style="2" customWidth="1"/>
    <col min="1281" max="1281" width="30.5703125" style="2" customWidth="1"/>
    <col min="1282" max="1282" width="33.85546875" style="2" customWidth="1"/>
    <col min="1283" max="1283" width="5.140625" style="2" customWidth="1"/>
    <col min="1284" max="1285" width="17.5703125" style="2" customWidth="1"/>
    <col min="1286" max="1529" width="9.140625" style="2"/>
    <col min="1530" max="1530" width="3.5703125" style="2" customWidth="1"/>
    <col min="1531" max="1531" width="96.85546875" style="2" customWidth="1"/>
    <col min="1532" max="1532" width="30.85546875" style="2" customWidth="1"/>
    <col min="1533" max="1533" width="12.5703125" style="2" customWidth="1"/>
    <col min="1534" max="1534" width="5.140625" style="2" customWidth="1"/>
    <col min="1535" max="1535" width="9.140625" style="2"/>
    <col min="1536" max="1536" width="4.85546875" style="2" customWidth="1"/>
    <col min="1537" max="1537" width="30.5703125" style="2" customWidth="1"/>
    <col min="1538" max="1538" width="33.85546875" style="2" customWidth="1"/>
    <col min="1539" max="1539" width="5.140625" style="2" customWidth="1"/>
    <col min="1540" max="1541" width="17.5703125" style="2" customWidth="1"/>
    <col min="1542" max="1785" width="9.140625" style="2"/>
    <col min="1786" max="1786" width="3.5703125" style="2" customWidth="1"/>
    <col min="1787" max="1787" width="96.85546875" style="2" customWidth="1"/>
    <col min="1788" max="1788" width="30.85546875" style="2" customWidth="1"/>
    <col min="1789" max="1789" width="12.5703125" style="2" customWidth="1"/>
    <col min="1790" max="1790" width="5.140625" style="2" customWidth="1"/>
    <col min="1791" max="1791" width="9.140625" style="2"/>
    <col min="1792" max="1792" width="4.85546875" style="2" customWidth="1"/>
    <col min="1793" max="1793" width="30.5703125" style="2" customWidth="1"/>
    <col min="1794" max="1794" width="33.85546875" style="2" customWidth="1"/>
    <col min="1795" max="1795" width="5.140625" style="2" customWidth="1"/>
    <col min="1796" max="1797" width="17.5703125" style="2" customWidth="1"/>
    <col min="1798" max="2041" width="9.140625" style="2"/>
    <col min="2042" max="2042" width="3.5703125" style="2" customWidth="1"/>
    <col min="2043" max="2043" width="96.85546875" style="2" customWidth="1"/>
    <col min="2044" max="2044" width="30.85546875" style="2" customWidth="1"/>
    <col min="2045" max="2045" width="12.5703125" style="2" customWidth="1"/>
    <col min="2046" max="2046" width="5.140625" style="2" customWidth="1"/>
    <col min="2047" max="2047" width="9.140625" style="2"/>
    <col min="2048" max="2048" width="4.85546875" style="2" customWidth="1"/>
    <col min="2049" max="2049" width="30.5703125" style="2" customWidth="1"/>
    <col min="2050" max="2050" width="33.85546875" style="2" customWidth="1"/>
    <col min="2051" max="2051" width="5.140625" style="2" customWidth="1"/>
    <col min="2052" max="2053" width="17.5703125" style="2" customWidth="1"/>
    <col min="2054" max="2297" width="9.140625" style="2"/>
    <col min="2298" max="2298" width="3.5703125" style="2" customWidth="1"/>
    <col min="2299" max="2299" width="96.85546875" style="2" customWidth="1"/>
    <col min="2300" max="2300" width="30.85546875" style="2" customWidth="1"/>
    <col min="2301" max="2301" width="12.5703125" style="2" customWidth="1"/>
    <col min="2302" max="2302" width="5.140625" style="2" customWidth="1"/>
    <col min="2303" max="2303" width="9.140625" style="2"/>
    <col min="2304" max="2304" width="4.85546875" style="2" customWidth="1"/>
    <col min="2305" max="2305" width="30.5703125" style="2" customWidth="1"/>
    <col min="2306" max="2306" width="33.85546875" style="2" customWidth="1"/>
    <col min="2307" max="2307" width="5.140625" style="2" customWidth="1"/>
    <col min="2308" max="2309" width="17.5703125" style="2" customWidth="1"/>
    <col min="2310" max="2553" width="9.140625" style="2"/>
    <col min="2554" max="2554" width="3.5703125" style="2" customWidth="1"/>
    <col min="2555" max="2555" width="96.85546875" style="2" customWidth="1"/>
    <col min="2556" max="2556" width="30.85546875" style="2" customWidth="1"/>
    <col min="2557" max="2557" width="12.5703125" style="2" customWidth="1"/>
    <col min="2558" max="2558" width="5.140625" style="2" customWidth="1"/>
    <col min="2559" max="2559" width="9.140625" style="2"/>
    <col min="2560" max="2560" width="4.85546875" style="2" customWidth="1"/>
    <col min="2561" max="2561" width="30.5703125" style="2" customWidth="1"/>
    <col min="2562" max="2562" width="33.85546875" style="2" customWidth="1"/>
    <col min="2563" max="2563" width="5.140625" style="2" customWidth="1"/>
    <col min="2564" max="2565" width="17.5703125" style="2" customWidth="1"/>
    <col min="2566" max="2809" width="9.140625" style="2"/>
    <col min="2810" max="2810" width="3.5703125" style="2" customWidth="1"/>
    <col min="2811" max="2811" width="96.85546875" style="2" customWidth="1"/>
    <col min="2812" max="2812" width="30.85546875" style="2" customWidth="1"/>
    <col min="2813" max="2813" width="12.5703125" style="2" customWidth="1"/>
    <col min="2814" max="2814" width="5.140625" style="2" customWidth="1"/>
    <col min="2815" max="2815" width="9.140625" style="2"/>
    <col min="2816" max="2816" width="4.85546875" style="2" customWidth="1"/>
    <col min="2817" max="2817" width="30.5703125" style="2" customWidth="1"/>
    <col min="2818" max="2818" width="33.85546875" style="2" customWidth="1"/>
    <col min="2819" max="2819" width="5.140625" style="2" customWidth="1"/>
    <col min="2820" max="2821" width="17.5703125" style="2" customWidth="1"/>
    <col min="2822" max="3065" width="9.140625" style="2"/>
    <col min="3066" max="3066" width="3.5703125" style="2" customWidth="1"/>
    <col min="3067" max="3067" width="96.85546875" style="2" customWidth="1"/>
    <col min="3068" max="3068" width="30.85546875" style="2" customWidth="1"/>
    <col min="3069" max="3069" width="12.5703125" style="2" customWidth="1"/>
    <col min="3070" max="3070" width="5.140625" style="2" customWidth="1"/>
    <col min="3071" max="3071" width="9.140625" style="2"/>
    <col min="3072" max="3072" width="4.85546875" style="2" customWidth="1"/>
    <col min="3073" max="3073" width="30.5703125" style="2" customWidth="1"/>
    <col min="3074" max="3074" width="33.85546875" style="2" customWidth="1"/>
    <col min="3075" max="3075" width="5.140625" style="2" customWidth="1"/>
    <col min="3076" max="3077" width="17.5703125" style="2" customWidth="1"/>
    <col min="3078" max="3321" width="9.140625" style="2"/>
    <col min="3322" max="3322" width="3.5703125" style="2" customWidth="1"/>
    <col min="3323" max="3323" width="96.85546875" style="2" customWidth="1"/>
    <col min="3324" max="3324" width="30.85546875" style="2" customWidth="1"/>
    <col min="3325" max="3325" width="12.5703125" style="2" customWidth="1"/>
    <col min="3326" max="3326" width="5.140625" style="2" customWidth="1"/>
    <col min="3327" max="3327" width="9.140625" style="2"/>
    <col min="3328" max="3328" width="4.85546875" style="2" customWidth="1"/>
    <col min="3329" max="3329" width="30.5703125" style="2" customWidth="1"/>
    <col min="3330" max="3330" width="33.85546875" style="2" customWidth="1"/>
    <col min="3331" max="3331" width="5.140625" style="2" customWidth="1"/>
    <col min="3332" max="3333" width="17.5703125" style="2" customWidth="1"/>
    <col min="3334" max="3577" width="9.140625" style="2"/>
    <col min="3578" max="3578" width="3.5703125" style="2" customWidth="1"/>
    <col min="3579" max="3579" width="96.85546875" style="2" customWidth="1"/>
    <col min="3580" max="3580" width="30.85546875" style="2" customWidth="1"/>
    <col min="3581" max="3581" width="12.5703125" style="2" customWidth="1"/>
    <col min="3582" max="3582" width="5.140625" style="2" customWidth="1"/>
    <col min="3583" max="3583" width="9.140625" style="2"/>
    <col min="3584" max="3584" width="4.85546875" style="2" customWidth="1"/>
    <col min="3585" max="3585" width="30.5703125" style="2" customWidth="1"/>
    <col min="3586" max="3586" width="33.85546875" style="2" customWidth="1"/>
    <col min="3587" max="3587" width="5.140625" style="2" customWidth="1"/>
    <col min="3588" max="3589" width="17.5703125" style="2" customWidth="1"/>
    <col min="3590" max="3833" width="9.140625" style="2"/>
    <col min="3834" max="3834" width="3.5703125" style="2" customWidth="1"/>
    <col min="3835" max="3835" width="96.85546875" style="2" customWidth="1"/>
    <col min="3836" max="3836" width="30.85546875" style="2" customWidth="1"/>
    <col min="3837" max="3837" width="12.5703125" style="2" customWidth="1"/>
    <col min="3838" max="3838" width="5.140625" style="2" customWidth="1"/>
    <col min="3839" max="3839" width="9.140625" style="2"/>
    <col min="3840" max="3840" width="4.85546875" style="2" customWidth="1"/>
    <col min="3841" max="3841" width="30.5703125" style="2" customWidth="1"/>
    <col min="3842" max="3842" width="33.85546875" style="2" customWidth="1"/>
    <col min="3843" max="3843" width="5.140625" style="2" customWidth="1"/>
    <col min="3844" max="3845" width="17.5703125" style="2" customWidth="1"/>
    <col min="3846" max="4089" width="9.140625" style="2"/>
    <col min="4090" max="4090" width="3.5703125" style="2" customWidth="1"/>
    <col min="4091" max="4091" width="96.85546875" style="2" customWidth="1"/>
    <col min="4092" max="4092" width="30.85546875" style="2" customWidth="1"/>
    <col min="4093" max="4093" width="12.5703125" style="2" customWidth="1"/>
    <col min="4094" max="4094" width="5.140625" style="2" customWidth="1"/>
    <col min="4095" max="4095" width="9.140625" style="2"/>
    <col min="4096" max="4096" width="4.85546875" style="2" customWidth="1"/>
    <col min="4097" max="4097" width="30.5703125" style="2" customWidth="1"/>
    <col min="4098" max="4098" width="33.85546875" style="2" customWidth="1"/>
    <col min="4099" max="4099" width="5.140625" style="2" customWidth="1"/>
    <col min="4100" max="4101" width="17.5703125" style="2" customWidth="1"/>
    <col min="4102" max="4345" width="9.140625" style="2"/>
    <col min="4346" max="4346" width="3.5703125" style="2" customWidth="1"/>
    <col min="4347" max="4347" width="96.85546875" style="2" customWidth="1"/>
    <col min="4348" max="4348" width="30.85546875" style="2" customWidth="1"/>
    <col min="4349" max="4349" width="12.5703125" style="2" customWidth="1"/>
    <col min="4350" max="4350" width="5.140625" style="2" customWidth="1"/>
    <col min="4351" max="4351" width="9.140625" style="2"/>
    <col min="4352" max="4352" width="4.85546875" style="2" customWidth="1"/>
    <col min="4353" max="4353" width="30.5703125" style="2" customWidth="1"/>
    <col min="4354" max="4354" width="33.85546875" style="2" customWidth="1"/>
    <col min="4355" max="4355" width="5.140625" style="2" customWidth="1"/>
    <col min="4356" max="4357" width="17.5703125" style="2" customWidth="1"/>
    <col min="4358" max="4601" width="9.140625" style="2"/>
    <col min="4602" max="4602" width="3.5703125" style="2" customWidth="1"/>
    <col min="4603" max="4603" width="96.85546875" style="2" customWidth="1"/>
    <col min="4604" max="4604" width="30.85546875" style="2" customWidth="1"/>
    <col min="4605" max="4605" width="12.5703125" style="2" customWidth="1"/>
    <col min="4606" max="4606" width="5.140625" style="2" customWidth="1"/>
    <col min="4607" max="4607" width="9.140625" style="2"/>
    <col min="4608" max="4608" width="4.85546875" style="2" customWidth="1"/>
    <col min="4609" max="4609" width="30.5703125" style="2" customWidth="1"/>
    <col min="4610" max="4610" width="33.85546875" style="2" customWidth="1"/>
    <col min="4611" max="4611" width="5.140625" style="2" customWidth="1"/>
    <col min="4612" max="4613" width="17.5703125" style="2" customWidth="1"/>
    <col min="4614" max="4857" width="9.140625" style="2"/>
    <col min="4858" max="4858" width="3.5703125" style="2" customWidth="1"/>
    <col min="4859" max="4859" width="96.85546875" style="2" customWidth="1"/>
    <col min="4860" max="4860" width="30.85546875" style="2" customWidth="1"/>
    <col min="4861" max="4861" width="12.5703125" style="2" customWidth="1"/>
    <col min="4862" max="4862" width="5.140625" style="2" customWidth="1"/>
    <col min="4863" max="4863" width="9.140625" style="2"/>
    <col min="4864" max="4864" width="4.85546875" style="2" customWidth="1"/>
    <col min="4865" max="4865" width="30.5703125" style="2" customWidth="1"/>
    <col min="4866" max="4866" width="33.85546875" style="2" customWidth="1"/>
    <col min="4867" max="4867" width="5.140625" style="2" customWidth="1"/>
    <col min="4868" max="4869" width="17.5703125" style="2" customWidth="1"/>
    <col min="4870" max="5113" width="9.140625" style="2"/>
    <col min="5114" max="5114" width="3.5703125" style="2" customWidth="1"/>
    <col min="5115" max="5115" width="96.85546875" style="2" customWidth="1"/>
    <col min="5116" max="5116" width="30.85546875" style="2" customWidth="1"/>
    <col min="5117" max="5117" width="12.5703125" style="2" customWidth="1"/>
    <col min="5118" max="5118" width="5.140625" style="2" customWidth="1"/>
    <col min="5119" max="5119" width="9.140625" style="2"/>
    <col min="5120" max="5120" width="4.85546875" style="2" customWidth="1"/>
    <col min="5121" max="5121" width="30.5703125" style="2" customWidth="1"/>
    <col min="5122" max="5122" width="33.85546875" style="2" customWidth="1"/>
    <col min="5123" max="5123" width="5.140625" style="2" customWidth="1"/>
    <col min="5124" max="5125" width="17.5703125" style="2" customWidth="1"/>
    <col min="5126" max="5369" width="9.140625" style="2"/>
    <col min="5370" max="5370" width="3.5703125" style="2" customWidth="1"/>
    <col min="5371" max="5371" width="96.85546875" style="2" customWidth="1"/>
    <col min="5372" max="5372" width="30.85546875" style="2" customWidth="1"/>
    <col min="5373" max="5373" width="12.5703125" style="2" customWidth="1"/>
    <col min="5374" max="5374" width="5.140625" style="2" customWidth="1"/>
    <col min="5375" max="5375" width="9.140625" style="2"/>
    <col min="5376" max="5376" width="4.85546875" style="2" customWidth="1"/>
    <col min="5377" max="5377" width="30.5703125" style="2" customWidth="1"/>
    <col min="5378" max="5378" width="33.85546875" style="2" customWidth="1"/>
    <col min="5379" max="5379" width="5.140625" style="2" customWidth="1"/>
    <col min="5380" max="5381" width="17.5703125" style="2" customWidth="1"/>
    <col min="5382" max="5625" width="9.140625" style="2"/>
    <col min="5626" max="5626" width="3.5703125" style="2" customWidth="1"/>
    <col min="5627" max="5627" width="96.85546875" style="2" customWidth="1"/>
    <col min="5628" max="5628" width="30.85546875" style="2" customWidth="1"/>
    <col min="5629" max="5629" width="12.5703125" style="2" customWidth="1"/>
    <col min="5630" max="5630" width="5.140625" style="2" customWidth="1"/>
    <col min="5631" max="5631" width="9.140625" style="2"/>
    <col min="5632" max="5632" width="4.85546875" style="2" customWidth="1"/>
    <col min="5633" max="5633" width="30.5703125" style="2" customWidth="1"/>
    <col min="5634" max="5634" width="33.85546875" style="2" customWidth="1"/>
    <col min="5635" max="5635" width="5.140625" style="2" customWidth="1"/>
    <col min="5636" max="5637" width="17.5703125" style="2" customWidth="1"/>
    <col min="5638" max="5881" width="9.140625" style="2"/>
    <col min="5882" max="5882" width="3.5703125" style="2" customWidth="1"/>
    <col min="5883" max="5883" width="96.85546875" style="2" customWidth="1"/>
    <col min="5884" max="5884" width="30.85546875" style="2" customWidth="1"/>
    <col min="5885" max="5885" width="12.5703125" style="2" customWidth="1"/>
    <col min="5886" max="5886" width="5.140625" style="2" customWidth="1"/>
    <col min="5887" max="5887" width="9.140625" style="2"/>
    <col min="5888" max="5888" width="4.85546875" style="2" customWidth="1"/>
    <col min="5889" max="5889" width="30.5703125" style="2" customWidth="1"/>
    <col min="5890" max="5890" width="33.85546875" style="2" customWidth="1"/>
    <col min="5891" max="5891" width="5.140625" style="2" customWidth="1"/>
    <col min="5892" max="5893" width="17.5703125" style="2" customWidth="1"/>
    <col min="5894" max="6137" width="9.140625" style="2"/>
    <col min="6138" max="6138" width="3.5703125" style="2" customWidth="1"/>
    <col min="6139" max="6139" width="96.85546875" style="2" customWidth="1"/>
    <col min="6140" max="6140" width="30.85546875" style="2" customWidth="1"/>
    <col min="6141" max="6141" width="12.5703125" style="2" customWidth="1"/>
    <col min="6142" max="6142" width="5.140625" style="2" customWidth="1"/>
    <col min="6143" max="6143" width="9.140625" style="2"/>
    <col min="6144" max="6144" width="4.85546875" style="2" customWidth="1"/>
    <col min="6145" max="6145" width="30.5703125" style="2" customWidth="1"/>
    <col min="6146" max="6146" width="33.85546875" style="2" customWidth="1"/>
    <col min="6147" max="6147" width="5.140625" style="2" customWidth="1"/>
    <col min="6148" max="6149" width="17.5703125" style="2" customWidth="1"/>
    <col min="6150" max="6393" width="9.140625" style="2"/>
    <col min="6394" max="6394" width="3.5703125" style="2" customWidth="1"/>
    <col min="6395" max="6395" width="96.85546875" style="2" customWidth="1"/>
    <col min="6396" max="6396" width="30.85546875" style="2" customWidth="1"/>
    <col min="6397" max="6397" width="12.5703125" style="2" customWidth="1"/>
    <col min="6398" max="6398" width="5.140625" style="2" customWidth="1"/>
    <col min="6399" max="6399" width="9.140625" style="2"/>
    <col min="6400" max="6400" width="4.85546875" style="2" customWidth="1"/>
    <col min="6401" max="6401" width="30.5703125" style="2" customWidth="1"/>
    <col min="6402" max="6402" width="33.85546875" style="2" customWidth="1"/>
    <col min="6403" max="6403" width="5.140625" style="2" customWidth="1"/>
    <col min="6404" max="6405" width="17.5703125" style="2" customWidth="1"/>
    <col min="6406" max="6649" width="9.140625" style="2"/>
    <col min="6650" max="6650" width="3.5703125" style="2" customWidth="1"/>
    <col min="6651" max="6651" width="96.85546875" style="2" customWidth="1"/>
    <col min="6652" max="6652" width="30.85546875" style="2" customWidth="1"/>
    <col min="6653" max="6653" width="12.5703125" style="2" customWidth="1"/>
    <col min="6654" max="6654" width="5.140625" style="2" customWidth="1"/>
    <col min="6655" max="6655" width="9.140625" style="2"/>
    <col min="6656" max="6656" width="4.85546875" style="2" customWidth="1"/>
    <col min="6657" max="6657" width="30.5703125" style="2" customWidth="1"/>
    <col min="6658" max="6658" width="33.85546875" style="2" customWidth="1"/>
    <col min="6659" max="6659" width="5.140625" style="2" customWidth="1"/>
    <col min="6660" max="6661" width="17.5703125" style="2" customWidth="1"/>
    <col min="6662" max="6905" width="9.140625" style="2"/>
    <col min="6906" max="6906" width="3.5703125" style="2" customWidth="1"/>
    <col min="6907" max="6907" width="96.85546875" style="2" customWidth="1"/>
    <col min="6908" max="6908" width="30.85546875" style="2" customWidth="1"/>
    <col min="6909" max="6909" width="12.5703125" style="2" customWidth="1"/>
    <col min="6910" max="6910" width="5.140625" style="2" customWidth="1"/>
    <col min="6911" max="6911" width="9.140625" style="2"/>
    <col min="6912" max="6912" width="4.85546875" style="2" customWidth="1"/>
    <col min="6913" max="6913" width="30.5703125" style="2" customWidth="1"/>
    <col min="6914" max="6914" width="33.85546875" style="2" customWidth="1"/>
    <col min="6915" max="6915" width="5.140625" style="2" customWidth="1"/>
    <col min="6916" max="6917" width="17.5703125" style="2" customWidth="1"/>
    <col min="6918" max="7161" width="9.140625" style="2"/>
    <col min="7162" max="7162" width="3.5703125" style="2" customWidth="1"/>
    <col min="7163" max="7163" width="96.85546875" style="2" customWidth="1"/>
    <col min="7164" max="7164" width="30.85546875" style="2" customWidth="1"/>
    <col min="7165" max="7165" width="12.5703125" style="2" customWidth="1"/>
    <col min="7166" max="7166" width="5.140625" style="2" customWidth="1"/>
    <col min="7167" max="7167" width="9.140625" style="2"/>
    <col min="7168" max="7168" width="4.85546875" style="2" customWidth="1"/>
    <col min="7169" max="7169" width="30.5703125" style="2" customWidth="1"/>
    <col min="7170" max="7170" width="33.85546875" style="2" customWidth="1"/>
    <col min="7171" max="7171" width="5.140625" style="2" customWidth="1"/>
    <col min="7172" max="7173" width="17.5703125" style="2" customWidth="1"/>
    <col min="7174" max="7417" width="9.140625" style="2"/>
    <col min="7418" max="7418" width="3.5703125" style="2" customWidth="1"/>
    <col min="7419" max="7419" width="96.85546875" style="2" customWidth="1"/>
    <col min="7420" max="7420" width="30.85546875" style="2" customWidth="1"/>
    <col min="7421" max="7421" width="12.5703125" style="2" customWidth="1"/>
    <col min="7422" max="7422" width="5.140625" style="2" customWidth="1"/>
    <col min="7423" max="7423" width="9.140625" style="2"/>
    <col min="7424" max="7424" width="4.85546875" style="2" customWidth="1"/>
    <col min="7425" max="7425" width="30.5703125" style="2" customWidth="1"/>
    <col min="7426" max="7426" width="33.85546875" style="2" customWidth="1"/>
    <col min="7427" max="7427" width="5.140625" style="2" customWidth="1"/>
    <col min="7428" max="7429" width="17.5703125" style="2" customWidth="1"/>
    <col min="7430" max="7673" width="9.140625" style="2"/>
    <col min="7674" max="7674" width="3.5703125" style="2" customWidth="1"/>
    <col min="7675" max="7675" width="96.85546875" style="2" customWidth="1"/>
    <col min="7676" max="7676" width="30.85546875" style="2" customWidth="1"/>
    <col min="7677" max="7677" width="12.5703125" style="2" customWidth="1"/>
    <col min="7678" max="7678" width="5.140625" style="2" customWidth="1"/>
    <col min="7679" max="7679" width="9.140625" style="2"/>
    <col min="7680" max="7680" width="4.85546875" style="2" customWidth="1"/>
    <col min="7681" max="7681" width="30.5703125" style="2" customWidth="1"/>
    <col min="7682" max="7682" width="33.85546875" style="2" customWidth="1"/>
    <col min="7683" max="7683" width="5.140625" style="2" customWidth="1"/>
    <col min="7684" max="7685" width="17.5703125" style="2" customWidth="1"/>
    <col min="7686" max="7929" width="9.140625" style="2"/>
    <col min="7930" max="7930" width="3.5703125" style="2" customWidth="1"/>
    <col min="7931" max="7931" width="96.85546875" style="2" customWidth="1"/>
    <col min="7932" max="7932" width="30.85546875" style="2" customWidth="1"/>
    <col min="7933" max="7933" width="12.5703125" style="2" customWidth="1"/>
    <col min="7934" max="7934" width="5.140625" style="2" customWidth="1"/>
    <col min="7935" max="7935" width="9.140625" style="2"/>
    <col min="7936" max="7936" width="4.85546875" style="2" customWidth="1"/>
    <col min="7937" max="7937" width="30.5703125" style="2" customWidth="1"/>
    <col min="7938" max="7938" width="33.85546875" style="2" customWidth="1"/>
    <col min="7939" max="7939" width="5.140625" style="2" customWidth="1"/>
    <col min="7940" max="7941" width="17.5703125" style="2" customWidth="1"/>
    <col min="7942" max="8185" width="9.140625" style="2"/>
    <col min="8186" max="8186" width="3.5703125" style="2" customWidth="1"/>
    <col min="8187" max="8187" width="96.85546875" style="2" customWidth="1"/>
    <col min="8188" max="8188" width="30.85546875" style="2" customWidth="1"/>
    <col min="8189" max="8189" width="12.5703125" style="2" customWidth="1"/>
    <col min="8190" max="8190" width="5.140625" style="2" customWidth="1"/>
    <col min="8191" max="8191" width="9.140625" style="2"/>
    <col min="8192" max="8192" width="4.85546875" style="2" customWidth="1"/>
    <col min="8193" max="8193" width="30.5703125" style="2" customWidth="1"/>
    <col min="8194" max="8194" width="33.85546875" style="2" customWidth="1"/>
    <col min="8195" max="8195" width="5.140625" style="2" customWidth="1"/>
    <col min="8196" max="8197" width="17.5703125" style="2" customWidth="1"/>
    <col min="8198" max="8441" width="9.140625" style="2"/>
    <col min="8442" max="8442" width="3.5703125" style="2" customWidth="1"/>
    <col min="8443" max="8443" width="96.85546875" style="2" customWidth="1"/>
    <col min="8444" max="8444" width="30.85546875" style="2" customWidth="1"/>
    <col min="8445" max="8445" width="12.5703125" style="2" customWidth="1"/>
    <col min="8446" max="8446" width="5.140625" style="2" customWidth="1"/>
    <col min="8447" max="8447" width="9.140625" style="2"/>
    <col min="8448" max="8448" width="4.85546875" style="2" customWidth="1"/>
    <col min="8449" max="8449" width="30.5703125" style="2" customWidth="1"/>
    <col min="8450" max="8450" width="33.85546875" style="2" customWidth="1"/>
    <col min="8451" max="8451" width="5.140625" style="2" customWidth="1"/>
    <col min="8452" max="8453" width="17.5703125" style="2" customWidth="1"/>
    <col min="8454" max="8697" width="9.140625" style="2"/>
    <col min="8698" max="8698" width="3.5703125" style="2" customWidth="1"/>
    <col min="8699" max="8699" width="96.85546875" style="2" customWidth="1"/>
    <col min="8700" max="8700" width="30.85546875" style="2" customWidth="1"/>
    <col min="8701" max="8701" width="12.5703125" style="2" customWidth="1"/>
    <col min="8702" max="8702" width="5.140625" style="2" customWidth="1"/>
    <col min="8703" max="8703" width="9.140625" style="2"/>
    <col min="8704" max="8704" width="4.85546875" style="2" customWidth="1"/>
    <col min="8705" max="8705" width="30.5703125" style="2" customWidth="1"/>
    <col min="8706" max="8706" width="33.85546875" style="2" customWidth="1"/>
    <col min="8707" max="8707" width="5.140625" style="2" customWidth="1"/>
    <col min="8708" max="8709" width="17.5703125" style="2" customWidth="1"/>
    <col min="8710" max="8953" width="9.140625" style="2"/>
    <col min="8954" max="8954" width="3.5703125" style="2" customWidth="1"/>
    <col min="8955" max="8955" width="96.85546875" style="2" customWidth="1"/>
    <col min="8956" max="8956" width="30.85546875" style="2" customWidth="1"/>
    <col min="8957" max="8957" width="12.5703125" style="2" customWidth="1"/>
    <col min="8958" max="8958" width="5.140625" style="2" customWidth="1"/>
    <col min="8959" max="8959" width="9.140625" style="2"/>
    <col min="8960" max="8960" width="4.85546875" style="2" customWidth="1"/>
    <col min="8961" max="8961" width="30.5703125" style="2" customWidth="1"/>
    <col min="8962" max="8962" width="33.85546875" style="2" customWidth="1"/>
    <col min="8963" max="8963" width="5.140625" style="2" customWidth="1"/>
    <col min="8964" max="8965" width="17.5703125" style="2" customWidth="1"/>
    <col min="8966" max="9209" width="9.140625" style="2"/>
    <col min="9210" max="9210" width="3.5703125" style="2" customWidth="1"/>
    <col min="9211" max="9211" width="96.85546875" style="2" customWidth="1"/>
    <col min="9212" max="9212" width="30.85546875" style="2" customWidth="1"/>
    <col min="9213" max="9213" width="12.5703125" style="2" customWidth="1"/>
    <col min="9214" max="9214" width="5.140625" style="2" customWidth="1"/>
    <col min="9215" max="9215" width="9.140625" style="2"/>
    <col min="9216" max="9216" width="4.85546875" style="2" customWidth="1"/>
    <col min="9217" max="9217" width="30.5703125" style="2" customWidth="1"/>
    <col min="9218" max="9218" width="33.85546875" style="2" customWidth="1"/>
    <col min="9219" max="9219" width="5.140625" style="2" customWidth="1"/>
    <col min="9220" max="9221" width="17.5703125" style="2" customWidth="1"/>
    <col min="9222" max="9465" width="9.140625" style="2"/>
    <col min="9466" max="9466" width="3.5703125" style="2" customWidth="1"/>
    <col min="9467" max="9467" width="96.85546875" style="2" customWidth="1"/>
    <col min="9468" max="9468" width="30.85546875" style="2" customWidth="1"/>
    <col min="9469" max="9469" width="12.5703125" style="2" customWidth="1"/>
    <col min="9470" max="9470" width="5.140625" style="2" customWidth="1"/>
    <col min="9471" max="9471" width="9.140625" style="2"/>
    <col min="9472" max="9472" width="4.85546875" style="2" customWidth="1"/>
    <col min="9473" max="9473" width="30.5703125" style="2" customWidth="1"/>
    <col min="9474" max="9474" width="33.85546875" style="2" customWidth="1"/>
    <col min="9475" max="9475" width="5.140625" style="2" customWidth="1"/>
    <col min="9476" max="9477" width="17.5703125" style="2" customWidth="1"/>
    <col min="9478" max="9721" width="9.140625" style="2"/>
    <col min="9722" max="9722" width="3.5703125" style="2" customWidth="1"/>
    <col min="9723" max="9723" width="96.85546875" style="2" customWidth="1"/>
    <col min="9724" max="9724" width="30.85546875" style="2" customWidth="1"/>
    <col min="9725" max="9725" width="12.5703125" style="2" customWidth="1"/>
    <col min="9726" max="9726" width="5.140625" style="2" customWidth="1"/>
    <col min="9727" max="9727" width="9.140625" style="2"/>
    <col min="9728" max="9728" width="4.85546875" style="2" customWidth="1"/>
    <col min="9729" max="9729" width="30.5703125" style="2" customWidth="1"/>
    <col min="9730" max="9730" width="33.85546875" style="2" customWidth="1"/>
    <col min="9731" max="9731" width="5.140625" style="2" customWidth="1"/>
    <col min="9732" max="9733" width="17.5703125" style="2" customWidth="1"/>
    <col min="9734" max="9977" width="9.140625" style="2"/>
    <col min="9978" max="9978" width="3.5703125" style="2" customWidth="1"/>
    <col min="9979" max="9979" width="96.85546875" style="2" customWidth="1"/>
    <col min="9980" max="9980" width="30.85546875" style="2" customWidth="1"/>
    <col min="9981" max="9981" width="12.5703125" style="2" customWidth="1"/>
    <col min="9982" max="9982" width="5.140625" style="2" customWidth="1"/>
    <col min="9983" max="9983" width="9.140625" style="2"/>
    <col min="9984" max="9984" width="4.85546875" style="2" customWidth="1"/>
    <col min="9985" max="9985" width="30.5703125" style="2" customWidth="1"/>
    <col min="9986" max="9986" width="33.85546875" style="2" customWidth="1"/>
    <col min="9987" max="9987" width="5.140625" style="2" customWidth="1"/>
    <col min="9988" max="9989" width="17.5703125" style="2" customWidth="1"/>
    <col min="9990" max="10233" width="9.140625" style="2"/>
    <col min="10234" max="10234" width="3.5703125" style="2" customWidth="1"/>
    <col min="10235" max="10235" width="96.85546875" style="2" customWidth="1"/>
    <col min="10236" max="10236" width="30.85546875" style="2" customWidth="1"/>
    <col min="10237" max="10237" width="12.5703125" style="2" customWidth="1"/>
    <col min="10238" max="10238" width="5.140625" style="2" customWidth="1"/>
    <col min="10239" max="10239" width="9.140625" style="2"/>
    <col min="10240" max="10240" width="4.85546875" style="2" customWidth="1"/>
    <col min="10241" max="10241" width="30.5703125" style="2" customWidth="1"/>
    <col min="10242" max="10242" width="33.85546875" style="2" customWidth="1"/>
    <col min="10243" max="10243" width="5.140625" style="2" customWidth="1"/>
    <col min="10244" max="10245" width="17.5703125" style="2" customWidth="1"/>
    <col min="10246" max="10489" width="9.140625" style="2"/>
    <col min="10490" max="10490" width="3.5703125" style="2" customWidth="1"/>
    <col min="10491" max="10491" width="96.85546875" style="2" customWidth="1"/>
    <col min="10492" max="10492" width="30.85546875" style="2" customWidth="1"/>
    <col min="10493" max="10493" width="12.5703125" style="2" customWidth="1"/>
    <col min="10494" max="10494" width="5.140625" style="2" customWidth="1"/>
    <col min="10495" max="10495" width="9.140625" style="2"/>
    <col min="10496" max="10496" width="4.85546875" style="2" customWidth="1"/>
    <col min="10497" max="10497" width="30.5703125" style="2" customWidth="1"/>
    <col min="10498" max="10498" width="33.85546875" style="2" customWidth="1"/>
    <col min="10499" max="10499" width="5.140625" style="2" customWidth="1"/>
    <col min="10500" max="10501" width="17.5703125" style="2" customWidth="1"/>
    <col min="10502" max="10745" width="9.140625" style="2"/>
    <col min="10746" max="10746" width="3.5703125" style="2" customWidth="1"/>
    <col min="10747" max="10747" width="96.85546875" style="2" customWidth="1"/>
    <col min="10748" max="10748" width="30.85546875" style="2" customWidth="1"/>
    <col min="10749" max="10749" width="12.5703125" style="2" customWidth="1"/>
    <col min="10750" max="10750" width="5.140625" style="2" customWidth="1"/>
    <col min="10751" max="10751" width="9.140625" style="2"/>
    <col min="10752" max="10752" width="4.85546875" style="2" customWidth="1"/>
    <col min="10753" max="10753" width="30.5703125" style="2" customWidth="1"/>
    <col min="10754" max="10754" width="33.85546875" style="2" customWidth="1"/>
    <col min="10755" max="10755" width="5.140625" style="2" customWidth="1"/>
    <col min="10756" max="10757" width="17.5703125" style="2" customWidth="1"/>
    <col min="10758" max="11001" width="9.140625" style="2"/>
    <col min="11002" max="11002" width="3.5703125" style="2" customWidth="1"/>
    <col min="11003" max="11003" width="96.85546875" style="2" customWidth="1"/>
    <col min="11004" max="11004" width="30.85546875" style="2" customWidth="1"/>
    <col min="11005" max="11005" width="12.5703125" style="2" customWidth="1"/>
    <col min="11006" max="11006" width="5.140625" style="2" customWidth="1"/>
    <col min="11007" max="11007" width="9.140625" style="2"/>
    <col min="11008" max="11008" width="4.85546875" style="2" customWidth="1"/>
    <col min="11009" max="11009" width="30.5703125" style="2" customWidth="1"/>
    <col min="11010" max="11010" width="33.85546875" style="2" customWidth="1"/>
    <col min="11011" max="11011" width="5.140625" style="2" customWidth="1"/>
    <col min="11012" max="11013" width="17.5703125" style="2" customWidth="1"/>
    <col min="11014" max="11257" width="9.140625" style="2"/>
    <col min="11258" max="11258" width="3.5703125" style="2" customWidth="1"/>
    <col min="11259" max="11259" width="96.85546875" style="2" customWidth="1"/>
    <col min="11260" max="11260" width="30.85546875" style="2" customWidth="1"/>
    <col min="11261" max="11261" width="12.5703125" style="2" customWidth="1"/>
    <col min="11262" max="11262" width="5.140625" style="2" customWidth="1"/>
    <col min="11263" max="11263" width="9.140625" style="2"/>
    <col min="11264" max="11264" width="4.85546875" style="2" customWidth="1"/>
    <col min="11265" max="11265" width="30.5703125" style="2" customWidth="1"/>
    <col min="11266" max="11266" width="33.85546875" style="2" customWidth="1"/>
    <col min="11267" max="11267" width="5.140625" style="2" customWidth="1"/>
    <col min="11268" max="11269" width="17.5703125" style="2" customWidth="1"/>
    <col min="11270" max="11513" width="9.140625" style="2"/>
    <col min="11514" max="11514" width="3.5703125" style="2" customWidth="1"/>
    <col min="11515" max="11515" width="96.85546875" style="2" customWidth="1"/>
    <col min="11516" max="11516" width="30.85546875" style="2" customWidth="1"/>
    <col min="11517" max="11517" width="12.5703125" style="2" customWidth="1"/>
    <col min="11518" max="11518" width="5.140625" style="2" customWidth="1"/>
    <col min="11519" max="11519" width="9.140625" style="2"/>
    <col min="11520" max="11520" width="4.85546875" style="2" customWidth="1"/>
    <col min="11521" max="11521" width="30.5703125" style="2" customWidth="1"/>
    <col min="11522" max="11522" width="33.85546875" style="2" customWidth="1"/>
    <col min="11523" max="11523" width="5.140625" style="2" customWidth="1"/>
    <col min="11524" max="11525" width="17.5703125" style="2" customWidth="1"/>
    <col min="11526" max="11769" width="9.140625" style="2"/>
    <col min="11770" max="11770" width="3.5703125" style="2" customWidth="1"/>
    <col min="11771" max="11771" width="96.85546875" style="2" customWidth="1"/>
    <col min="11772" max="11772" width="30.85546875" style="2" customWidth="1"/>
    <col min="11773" max="11773" width="12.5703125" style="2" customWidth="1"/>
    <col min="11774" max="11774" width="5.140625" style="2" customWidth="1"/>
    <col min="11775" max="11775" width="9.140625" style="2"/>
    <col min="11776" max="11776" width="4.85546875" style="2" customWidth="1"/>
    <col min="11777" max="11777" width="30.5703125" style="2" customWidth="1"/>
    <col min="11778" max="11778" width="33.85546875" style="2" customWidth="1"/>
    <col min="11779" max="11779" width="5.140625" style="2" customWidth="1"/>
    <col min="11780" max="11781" width="17.5703125" style="2" customWidth="1"/>
    <col min="11782" max="12025" width="9.140625" style="2"/>
    <col min="12026" max="12026" width="3.5703125" style="2" customWidth="1"/>
    <col min="12027" max="12027" width="96.85546875" style="2" customWidth="1"/>
    <col min="12028" max="12028" width="30.85546875" style="2" customWidth="1"/>
    <col min="12029" max="12029" width="12.5703125" style="2" customWidth="1"/>
    <col min="12030" max="12030" width="5.140625" style="2" customWidth="1"/>
    <col min="12031" max="12031" width="9.140625" style="2"/>
    <col min="12032" max="12032" width="4.85546875" style="2" customWidth="1"/>
    <col min="12033" max="12033" width="30.5703125" style="2" customWidth="1"/>
    <col min="12034" max="12034" width="33.85546875" style="2" customWidth="1"/>
    <col min="12035" max="12035" width="5.140625" style="2" customWidth="1"/>
    <col min="12036" max="12037" width="17.5703125" style="2" customWidth="1"/>
    <col min="12038" max="12281" width="9.140625" style="2"/>
    <col min="12282" max="12282" width="3.5703125" style="2" customWidth="1"/>
    <col min="12283" max="12283" width="96.85546875" style="2" customWidth="1"/>
    <col min="12284" max="12284" width="30.85546875" style="2" customWidth="1"/>
    <col min="12285" max="12285" width="12.5703125" style="2" customWidth="1"/>
    <col min="12286" max="12286" width="5.140625" style="2" customWidth="1"/>
    <col min="12287" max="12287" width="9.140625" style="2"/>
    <col min="12288" max="12288" width="4.85546875" style="2" customWidth="1"/>
    <col min="12289" max="12289" width="30.5703125" style="2" customWidth="1"/>
    <col min="12290" max="12290" width="33.85546875" style="2" customWidth="1"/>
    <col min="12291" max="12291" width="5.140625" style="2" customWidth="1"/>
    <col min="12292" max="12293" width="17.5703125" style="2" customWidth="1"/>
    <col min="12294" max="12537" width="9.140625" style="2"/>
    <col min="12538" max="12538" width="3.5703125" style="2" customWidth="1"/>
    <col min="12539" max="12539" width="96.85546875" style="2" customWidth="1"/>
    <col min="12540" max="12540" width="30.85546875" style="2" customWidth="1"/>
    <col min="12541" max="12541" width="12.5703125" style="2" customWidth="1"/>
    <col min="12542" max="12542" width="5.140625" style="2" customWidth="1"/>
    <col min="12543" max="12543" width="9.140625" style="2"/>
    <col min="12544" max="12544" width="4.85546875" style="2" customWidth="1"/>
    <col min="12545" max="12545" width="30.5703125" style="2" customWidth="1"/>
    <col min="12546" max="12546" width="33.85546875" style="2" customWidth="1"/>
    <col min="12547" max="12547" width="5.140625" style="2" customWidth="1"/>
    <col min="12548" max="12549" width="17.5703125" style="2" customWidth="1"/>
    <col min="12550" max="12793" width="9.140625" style="2"/>
    <col min="12794" max="12794" width="3.5703125" style="2" customWidth="1"/>
    <col min="12795" max="12795" width="96.85546875" style="2" customWidth="1"/>
    <col min="12796" max="12796" width="30.85546875" style="2" customWidth="1"/>
    <col min="12797" max="12797" width="12.5703125" style="2" customWidth="1"/>
    <col min="12798" max="12798" width="5.140625" style="2" customWidth="1"/>
    <col min="12799" max="12799" width="9.140625" style="2"/>
    <col min="12800" max="12800" width="4.85546875" style="2" customWidth="1"/>
    <col min="12801" max="12801" width="30.5703125" style="2" customWidth="1"/>
    <col min="12802" max="12802" width="33.85546875" style="2" customWidth="1"/>
    <col min="12803" max="12803" width="5.140625" style="2" customWidth="1"/>
    <col min="12804" max="12805" width="17.5703125" style="2" customWidth="1"/>
    <col min="12806" max="13049" width="9.140625" style="2"/>
    <col min="13050" max="13050" width="3.5703125" style="2" customWidth="1"/>
    <col min="13051" max="13051" width="96.85546875" style="2" customWidth="1"/>
    <col min="13052" max="13052" width="30.85546875" style="2" customWidth="1"/>
    <col min="13053" max="13053" width="12.5703125" style="2" customWidth="1"/>
    <col min="13054" max="13054" width="5.140625" style="2" customWidth="1"/>
    <col min="13055" max="13055" width="9.140625" style="2"/>
    <col min="13056" max="13056" width="4.85546875" style="2" customWidth="1"/>
    <col min="13057" max="13057" width="30.5703125" style="2" customWidth="1"/>
    <col min="13058" max="13058" width="33.85546875" style="2" customWidth="1"/>
    <col min="13059" max="13059" width="5.140625" style="2" customWidth="1"/>
    <col min="13060" max="13061" width="17.5703125" style="2" customWidth="1"/>
    <col min="13062" max="13305" width="9.140625" style="2"/>
    <col min="13306" max="13306" width="3.5703125" style="2" customWidth="1"/>
    <col min="13307" max="13307" width="96.85546875" style="2" customWidth="1"/>
    <col min="13308" max="13308" width="30.85546875" style="2" customWidth="1"/>
    <col min="13309" max="13309" width="12.5703125" style="2" customWidth="1"/>
    <col min="13310" max="13310" width="5.140625" style="2" customWidth="1"/>
    <col min="13311" max="13311" width="9.140625" style="2"/>
    <col min="13312" max="13312" width="4.85546875" style="2" customWidth="1"/>
    <col min="13313" max="13313" width="30.5703125" style="2" customWidth="1"/>
    <col min="13314" max="13314" width="33.85546875" style="2" customWidth="1"/>
    <col min="13315" max="13315" width="5.140625" style="2" customWidth="1"/>
    <col min="13316" max="13317" width="17.5703125" style="2" customWidth="1"/>
    <col min="13318" max="13561" width="9.140625" style="2"/>
    <col min="13562" max="13562" width="3.5703125" style="2" customWidth="1"/>
    <col min="13563" max="13563" width="96.85546875" style="2" customWidth="1"/>
    <col min="13564" max="13564" width="30.85546875" style="2" customWidth="1"/>
    <col min="13565" max="13565" width="12.5703125" style="2" customWidth="1"/>
    <col min="13566" max="13566" width="5.140625" style="2" customWidth="1"/>
    <col min="13567" max="13567" width="9.140625" style="2"/>
    <col min="13568" max="13568" width="4.85546875" style="2" customWidth="1"/>
    <col min="13569" max="13569" width="30.5703125" style="2" customWidth="1"/>
    <col min="13570" max="13570" width="33.85546875" style="2" customWidth="1"/>
    <col min="13571" max="13571" width="5.140625" style="2" customWidth="1"/>
    <col min="13572" max="13573" width="17.5703125" style="2" customWidth="1"/>
    <col min="13574" max="13817" width="9.140625" style="2"/>
    <col min="13818" max="13818" width="3.5703125" style="2" customWidth="1"/>
    <col min="13819" max="13819" width="96.85546875" style="2" customWidth="1"/>
    <col min="13820" max="13820" width="30.85546875" style="2" customWidth="1"/>
    <col min="13821" max="13821" width="12.5703125" style="2" customWidth="1"/>
    <col min="13822" max="13822" width="5.140625" style="2" customWidth="1"/>
    <col min="13823" max="13823" width="9.140625" style="2"/>
    <col min="13824" max="13824" width="4.85546875" style="2" customWidth="1"/>
    <col min="13825" max="13825" width="30.5703125" style="2" customWidth="1"/>
    <col min="13826" max="13826" width="33.85546875" style="2" customWidth="1"/>
    <col min="13827" max="13827" width="5.140625" style="2" customWidth="1"/>
    <col min="13828" max="13829" width="17.5703125" style="2" customWidth="1"/>
    <col min="13830" max="14073" width="9.140625" style="2"/>
    <col min="14074" max="14074" width="3.5703125" style="2" customWidth="1"/>
    <col min="14075" max="14075" width="96.85546875" style="2" customWidth="1"/>
    <col min="14076" max="14076" width="30.85546875" style="2" customWidth="1"/>
    <col min="14077" max="14077" width="12.5703125" style="2" customWidth="1"/>
    <col min="14078" max="14078" width="5.140625" style="2" customWidth="1"/>
    <col min="14079" max="14079" width="9.140625" style="2"/>
    <col min="14080" max="14080" width="4.85546875" style="2" customWidth="1"/>
    <col min="14081" max="14081" width="30.5703125" style="2" customWidth="1"/>
    <col min="14082" max="14082" width="33.85546875" style="2" customWidth="1"/>
    <col min="14083" max="14083" width="5.140625" style="2" customWidth="1"/>
    <col min="14084" max="14085" width="17.5703125" style="2" customWidth="1"/>
    <col min="14086" max="14329" width="9.140625" style="2"/>
    <col min="14330" max="14330" width="3.5703125" style="2" customWidth="1"/>
    <col min="14331" max="14331" width="96.85546875" style="2" customWidth="1"/>
    <col min="14332" max="14332" width="30.85546875" style="2" customWidth="1"/>
    <col min="14333" max="14333" width="12.5703125" style="2" customWidth="1"/>
    <col min="14334" max="14334" width="5.140625" style="2" customWidth="1"/>
    <col min="14335" max="14335" width="9.140625" style="2"/>
    <col min="14336" max="14336" width="4.85546875" style="2" customWidth="1"/>
    <col min="14337" max="14337" width="30.5703125" style="2" customWidth="1"/>
    <col min="14338" max="14338" width="33.85546875" style="2" customWidth="1"/>
    <col min="14339" max="14339" width="5.140625" style="2" customWidth="1"/>
    <col min="14340" max="14341" width="17.5703125" style="2" customWidth="1"/>
    <col min="14342" max="14585" width="9.140625" style="2"/>
    <col min="14586" max="14586" width="3.5703125" style="2" customWidth="1"/>
    <col min="14587" max="14587" width="96.85546875" style="2" customWidth="1"/>
    <col min="14588" max="14588" width="30.85546875" style="2" customWidth="1"/>
    <col min="14589" max="14589" width="12.5703125" style="2" customWidth="1"/>
    <col min="14590" max="14590" width="5.140625" style="2" customWidth="1"/>
    <col min="14591" max="14591" width="9.140625" style="2"/>
    <col min="14592" max="14592" width="4.85546875" style="2" customWidth="1"/>
    <col min="14593" max="14593" width="30.5703125" style="2" customWidth="1"/>
    <col min="14594" max="14594" width="33.85546875" style="2" customWidth="1"/>
    <col min="14595" max="14595" width="5.140625" style="2" customWidth="1"/>
    <col min="14596" max="14597" width="17.5703125" style="2" customWidth="1"/>
    <col min="14598" max="14841" width="9.140625" style="2"/>
    <col min="14842" max="14842" width="3.5703125" style="2" customWidth="1"/>
    <col min="14843" max="14843" width="96.85546875" style="2" customWidth="1"/>
    <col min="14844" max="14844" width="30.85546875" style="2" customWidth="1"/>
    <col min="14845" max="14845" width="12.5703125" style="2" customWidth="1"/>
    <col min="14846" max="14846" width="5.140625" style="2" customWidth="1"/>
    <col min="14847" max="14847" width="9.140625" style="2"/>
    <col min="14848" max="14848" width="4.85546875" style="2" customWidth="1"/>
    <col min="14849" max="14849" width="30.5703125" style="2" customWidth="1"/>
    <col min="14850" max="14850" width="33.85546875" style="2" customWidth="1"/>
    <col min="14851" max="14851" width="5.140625" style="2" customWidth="1"/>
    <col min="14852" max="14853" width="17.5703125" style="2" customWidth="1"/>
    <col min="14854" max="15097" width="9.140625" style="2"/>
    <col min="15098" max="15098" width="3.5703125" style="2" customWidth="1"/>
    <col min="15099" max="15099" width="96.85546875" style="2" customWidth="1"/>
    <col min="15100" max="15100" width="30.85546875" style="2" customWidth="1"/>
    <col min="15101" max="15101" width="12.5703125" style="2" customWidth="1"/>
    <col min="15102" max="15102" width="5.140625" style="2" customWidth="1"/>
    <col min="15103" max="15103" width="9.140625" style="2"/>
    <col min="15104" max="15104" width="4.85546875" style="2" customWidth="1"/>
    <col min="15105" max="15105" width="30.5703125" style="2" customWidth="1"/>
    <col min="15106" max="15106" width="33.85546875" style="2" customWidth="1"/>
    <col min="15107" max="15107" width="5.140625" style="2" customWidth="1"/>
    <col min="15108" max="15109" width="17.5703125" style="2" customWidth="1"/>
    <col min="15110" max="15353" width="9.140625" style="2"/>
    <col min="15354" max="15354" width="3.5703125" style="2" customWidth="1"/>
    <col min="15355" max="15355" width="96.85546875" style="2" customWidth="1"/>
    <col min="15356" max="15356" width="30.85546875" style="2" customWidth="1"/>
    <col min="15357" max="15357" width="12.5703125" style="2" customWidth="1"/>
    <col min="15358" max="15358" width="5.140625" style="2" customWidth="1"/>
    <col min="15359" max="15359" width="9.140625" style="2"/>
    <col min="15360" max="15360" width="4.85546875" style="2" customWidth="1"/>
    <col min="15361" max="15361" width="30.5703125" style="2" customWidth="1"/>
    <col min="15362" max="15362" width="33.85546875" style="2" customWidth="1"/>
    <col min="15363" max="15363" width="5.140625" style="2" customWidth="1"/>
    <col min="15364" max="15365" width="17.5703125" style="2" customWidth="1"/>
    <col min="15366" max="15609" width="9.140625" style="2"/>
    <col min="15610" max="15610" width="3.5703125" style="2" customWidth="1"/>
    <col min="15611" max="15611" width="96.85546875" style="2" customWidth="1"/>
    <col min="15612" max="15612" width="30.85546875" style="2" customWidth="1"/>
    <col min="15613" max="15613" width="12.5703125" style="2" customWidth="1"/>
    <col min="15614" max="15614" width="5.140625" style="2" customWidth="1"/>
    <col min="15615" max="15615" width="9.140625" style="2"/>
    <col min="15616" max="15616" width="4.85546875" style="2" customWidth="1"/>
    <col min="15617" max="15617" width="30.5703125" style="2" customWidth="1"/>
    <col min="15618" max="15618" width="33.85546875" style="2" customWidth="1"/>
    <col min="15619" max="15619" width="5.140625" style="2" customWidth="1"/>
    <col min="15620" max="15621" width="17.5703125" style="2" customWidth="1"/>
    <col min="15622" max="15865" width="9.140625" style="2"/>
    <col min="15866" max="15866" width="3.5703125" style="2" customWidth="1"/>
    <col min="15867" max="15867" width="96.85546875" style="2" customWidth="1"/>
    <col min="15868" max="15868" width="30.85546875" style="2" customWidth="1"/>
    <col min="15869" max="15869" width="12.5703125" style="2" customWidth="1"/>
    <col min="15870" max="15870" width="5.140625" style="2" customWidth="1"/>
    <col min="15871" max="15871" width="9.140625" style="2"/>
    <col min="15872" max="15872" width="4.85546875" style="2" customWidth="1"/>
    <col min="15873" max="15873" width="30.5703125" style="2" customWidth="1"/>
    <col min="15874" max="15874" width="33.85546875" style="2" customWidth="1"/>
    <col min="15875" max="15875" width="5.140625" style="2" customWidth="1"/>
    <col min="15876" max="15877" width="17.5703125" style="2" customWidth="1"/>
    <col min="15878" max="16121" width="9.140625" style="2"/>
    <col min="16122" max="16122" width="3.5703125" style="2" customWidth="1"/>
    <col min="16123" max="16123" width="96.85546875" style="2" customWidth="1"/>
    <col min="16124" max="16124" width="30.85546875" style="2" customWidth="1"/>
    <col min="16125" max="16125" width="12.5703125" style="2" customWidth="1"/>
    <col min="16126" max="16126" width="5.140625" style="2" customWidth="1"/>
    <col min="16127" max="16127" width="9.140625" style="2"/>
    <col min="16128" max="16128" width="4.85546875" style="2" customWidth="1"/>
    <col min="16129" max="16129" width="30.5703125" style="2" customWidth="1"/>
    <col min="16130" max="16130" width="33.85546875" style="2" customWidth="1"/>
    <col min="16131" max="16131" width="5.140625" style="2" customWidth="1"/>
    <col min="16132" max="16133" width="17.5703125" style="2" customWidth="1"/>
    <col min="16134" max="16384" width="9.140625" style="2"/>
  </cols>
  <sheetData>
    <row r="1" spans="1:3" ht="48" customHeight="1" x14ac:dyDescent="0.2">
      <c r="A1" s="1"/>
      <c r="B1" s="163" t="s">
        <v>0</v>
      </c>
      <c r="C1" s="163"/>
    </row>
    <row r="2" spans="1:3" x14ac:dyDescent="0.2">
      <c r="A2" s="3"/>
      <c r="B2" s="4" t="s">
        <v>1</v>
      </c>
      <c r="C2" s="5">
        <v>45317</v>
      </c>
    </row>
    <row r="3" spans="1:3" x14ac:dyDescent="0.2">
      <c r="A3" s="3"/>
      <c r="B3" s="6" t="s">
        <v>2</v>
      </c>
    </row>
    <row r="4" spans="1:3" ht="25.5" x14ac:dyDescent="0.2">
      <c r="A4" s="8"/>
      <c r="B4" s="9" t="str">
        <f>[12]И1!D13</f>
        <v>Субъект Российской Федерации</v>
      </c>
      <c r="C4" s="10" t="str">
        <f>[12]И1!E13</f>
        <v>Новосибирская область</v>
      </c>
    </row>
    <row r="5" spans="1:3" ht="46.9" customHeight="1" x14ac:dyDescent="0.2">
      <c r="A5" s="8"/>
      <c r="B5" s="9" t="str">
        <f>[12]И1!D14</f>
        <v>Тип муниципального образования (выберите из списка)</v>
      </c>
      <c r="C5" s="10" t="str">
        <f>[12]И1!E14</f>
        <v xml:space="preserve">поселок Листвянский, Искитимский муниципальный район </v>
      </c>
    </row>
    <row r="6" spans="1:3" x14ac:dyDescent="0.2">
      <c r="A6" s="8"/>
      <c r="B6" s="9" t="str">
        <f>IF([12]И1!E15="","",[12]И1!D15)</f>
        <v/>
      </c>
      <c r="C6" s="10" t="str">
        <f>IF([12]И1!E15="","",[12]И1!E15)</f>
        <v/>
      </c>
    </row>
    <row r="7" spans="1:3" x14ac:dyDescent="0.2">
      <c r="A7" s="8"/>
      <c r="B7" s="9" t="str">
        <f>[12]И1!D16</f>
        <v>Код ОКТМО</v>
      </c>
      <c r="C7" s="11" t="str">
        <f>[12]И1!E16</f>
        <v>(50615415101)</v>
      </c>
    </row>
    <row r="8" spans="1:3" x14ac:dyDescent="0.2">
      <c r="A8" s="8"/>
      <c r="B8" s="12" t="str">
        <f>[12]И1!D17</f>
        <v>Система теплоснабжения</v>
      </c>
      <c r="C8" s="13">
        <f>[12]И1!E17</f>
        <v>0</v>
      </c>
    </row>
    <row r="9" spans="1:3" x14ac:dyDescent="0.2">
      <c r="A9" s="8"/>
      <c r="B9" s="9" t="str">
        <f>[12]И1!D8</f>
        <v>Период регулирования (i)-й</v>
      </c>
      <c r="C9" s="14">
        <f>[12]И1!E8</f>
        <v>2024</v>
      </c>
    </row>
    <row r="10" spans="1:3" x14ac:dyDescent="0.2">
      <c r="A10" s="8"/>
      <c r="B10" s="9" t="str">
        <f>[12]И1!D9</f>
        <v>Период регулирования (i-1)-й</v>
      </c>
      <c r="C10" s="14">
        <f>[12]И1!E9</f>
        <v>2023</v>
      </c>
    </row>
    <row r="11" spans="1:3" x14ac:dyDescent="0.2">
      <c r="A11" s="8"/>
      <c r="B11" s="9" t="str">
        <f>[12]И1!D10</f>
        <v>Период регулирования (i-2)-й</v>
      </c>
      <c r="C11" s="14">
        <f>[12]И1!E10</f>
        <v>2022</v>
      </c>
    </row>
    <row r="12" spans="1:3" x14ac:dyDescent="0.2">
      <c r="A12" s="8"/>
      <c r="B12" s="9" t="str">
        <f>[12]И1!D11</f>
        <v>Базовый год (б)</v>
      </c>
      <c r="C12" s="14">
        <f>[12]И1!E11</f>
        <v>2019</v>
      </c>
    </row>
    <row r="13" spans="1:3" ht="38.25" x14ac:dyDescent="0.2">
      <c r="A13" s="8"/>
      <c r="B13" s="9" t="str">
        <f>[12]И1!D18</f>
        <v>Вид топлива, использование которого преобладает в системе теплоснабжения</v>
      </c>
      <c r="C13" s="15" t="str">
        <f>[12]С1.1!E13</f>
        <v>уголь (вид угля не указан в топливном балансе)</v>
      </c>
    </row>
    <row r="14" spans="1:3" ht="31.7" customHeight="1" thickBot="1" x14ac:dyDescent="0.25">
      <c r="A14" s="162" t="s">
        <v>3</v>
      </c>
      <c r="B14" s="162"/>
      <c r="C14" s="162"/>
    </row>
    <row r="15" spans="1:3" x14ac:dyDescent="0.2">
      <c r="A15" s="16" t="s">
        <v>4</v>
      </c>
      <c r="B15" s="17" t="s">
        <v>5</v>
      </c>
      <c r="C15" s="18" t="s">
        <v>6</v>
      </c>
    </row>
    <row r="16" spans="1:3" x14ac:dyDescent="0.2">
      <c r="A16" s="19">
        <v>1</v>
      </c>
      <c r="B16" s="20">
        <v>2</v>
      </c>
      <c r="C16" s="21">
        <v>3</v>
      </c>
    </row>
    <row r="17" spans="1:3" x14ac:dyDescent="0.2">
      <c r="A17" s="22">
        <v>1</v>
      </c>
      <c r="B17" s="23" t="s">
        <v>7</v>
      </c>
      <c r="C17" s="24">
        <f>SUM(C18:C22)</f>
        <v>3609.4443644646935</v>
      </c>
    </row>
    <row r="18" spans="1:3" ht="42.75" x14ac:dyDescent="0.2">
      <c r="A18" s="22" t="s">
        <v>8</v>
      </c>
      <c r="B18" s="25" t="s">
        <v>9</v>
      </c>
      <c r="C18" s="26">
        <f>[12]С1!F12</f>
        <v>626.19211112710013</v>
      </c>
    </row>
    <row r="19" spans="1:3" ht="42.75" x14ac:dyDescent="0.2">
      <c r="A19" s="22" t="s">
        <v>10</v>
      </c>
      <c r="B19" s="25" t="s">
        <v>11</v>
      </c>
      <c r="C19" s="26">
        <f>[12]С2!F12</f>
        <v>2000.3680279558928</v>
      </c>
    </row>
    <row r="20" spans="1:3" ht="30" x14ac:dyDescent="0.2">
      <c r="A20" s="22" t="s">
        <v>12</v>
      </c>
      <c r="B20" s="25" t="s">
        <v>13</v>
      </c>
      <c r="C20" s="26">
        <f>[12]С3!F12</f>
        <v>475.74490066496389</v>
      </c>
    </row>
    <row r="21" spans="1:3" ht="42.75" x14ac:dyDescent="0.2">
      <c r="A21" s="22" t="s">
        <v>14</v>
      </c>
      <c r="B21" s="25" t="s">
        <v>15</v>
      </c>
      <c r="C21" s="26">
        <f>[12]С4!F12</f>
        <v>436.36590580566394</v>
      </c>
    </row>
    <row r="22" spans="1:3" ht="30" x14ac:dyDescent="0.2">
      <c r="A22" s="22" t="s">
        <v>16</v>
      </c>
      <c r="B22" s="25" t="s">
        <v>17</v>
      </c>
      <c r="C22" s="26">
        <f>[12]С5!F12</f>
        <v>70.773418911072426</v>
      </c>
    </row>
    <row r="23" spans="1:3" ht="43.5" thickBot="1" x14ac:dyDescent="0.25">
      <c r="A23" s="27" t="s">
        <v>18</v>
      </c>
      <c r="B23" s="140" t="s">
        <v>19</v>
      </c>
      <c r="C23" s="28" t="str">
        <f>[12]С6!F12</f>
        <v>-</v>
      </c>
    </row>
    <row r="24" spans="1:3" ht="13.5" thickBot="1" x14ac:dyDescent="0.25">
      <c r="A24" s="3"/>
    </row>
    <row r="25" spans="1:3" x14ac:dyDescent="0.2">
      <c r="A25" s="16" t="s">
        <v>4</v>
      </c>
      <c r="B25" s="29" t="s">
        <v>5</v>
      </c>
      <c r="C25" s="30" t="s">
        <v>6</v>
      </c>
    </row>
    <row r="26" spans="1:3" x14ac:dyDescent="0.2">
      <c r="A26" s="19">
        <v>1</v>
      </c>
      <c r="B26" s="31">
        <v>2</v>
      </c>
      <c r="C26" s="32">
        <v>3</v>
      </c>
    </row>
    <row r="27" spans="1:3" ht="30" customHeight="1" x14ac:dyDescent="0.2">
      <c r="A27" s="22">
        <v>1</v>
      </c>
      <c r="B27" s="164" t="s">
        <v>20</v>
      </c>
      <c r="C27" s="164"/>
    </row>
    <row r="28" spans="1:3" x14ac:dyDescent="0.2">
      <c r="A28" s="22" t="s">
        <v>8</v>
      </c>
      <c r="B28" s="33" t="s">
        <v>21</v>
      </c>
      <c r="C28" s="34">
        <f>[12]С1.1!E16</f>
        <v>5100</v>
      </c>
    </row>
    <row r="29" spans="1:3" ht="42.75" x14ac:dyDescent="0.2">
      <c r="A29" s="22" t="s">
        <v>10</v>
      </c>
      <c r="B29" s="33" t="s">
        <v>22</v>
      </c>
      <c r="C29" s="34">
        <f>[12]С1.1!E27</f>
        <v>2813.5083333333337</v>
      </c>
    </row>
    <row r="30" spans="1:3" ht="17.25" x14ac:dyDescent="0.2">
      <c r="A30" s="22" t="s">
        <v>12</v>
      </c>
      <c r="B30" s="33" t="s">
        <v>23</v>
      </c>
      <c r="C30" s="35">
        <f>[12]С1.1!E19</f>
        <v>-0.19900000000000001</v>
      </c>
    </row>
    <row r="31" spans="1:3" ht="17.25" x14ac:dyDescent="0.2">
      <c r="A31" s="22" t="s">
        <v>14</v>
      </c>
      <c r="B31" s="33" t="s">
        <v>24</v>
      </c>
      <c r="C31" s="35">
        <f>[12]С1.1!E20</f>
        <v>5.7000000000000002E-2</v>
      </c>
    </row>
    <row r="32" spans="1:3" ht="30" x14ac:dyDescent="0.2">
      <c r="A32" s="22" t="s">
        <v>16</v>
      </c>
      <c r="B32" s="36" t="s">
        <v>25</v>
      </c>
      <c r="C32" s="37">
        <f>[12]С1!F13</f>
        <v>176.4</v>
      </c>
    </row>
    <row r="33" spans="1:3" x14ac:dyDescent="0.2">
      <c r="A33" s="22" t="s">
        <v>18</v>
      </c>
      <c r="B33" s="36" t="s">
        <v>26</v>
      </c>
      <c r="C33" s="38">
        <f>[12]С1!F16</f>
        <v>7000</v>
      </c>
    </row>
    <row r="34" spans="1:3" ht="14.25" x14ac:dyDescent="0.2">
      <c r="A34" s="22" t="s">
        <v>27</v>
      </c>
      <c r="B34" s="39" t="s">
        <v>28</v>
      </c>
      <c r="C34" s="40">
        <f>[12]С1!F17</f>
        <v>0.72857142857142854</v>
      </c>
    </row>
    <row r="35" spans="1:3" ht="15.75" x14ac:dyDescent="0.2">
      <c r="A35" s="41" t="s">
        <v>29</v>
      </c>
      <c r="B35" s="42" t="s">
        <v>30</v>
      </c>
      <c r="C35" s="40">
        <f>[12]С1!F20</f>
        <v>21.588411179999994</v>
      </c>
    </row>
    <row r="36" spans="1:3" ht="15.75" x14ac:dyDescent="0.2">
      <c r="A36" s="41" t="s">
        <v>31</v>
      </c>
      <c r="B36" s="43" t="s">
        <v>32</v>
      </c>
      <c r="C36" s="40">
        <f>[12]С1!F21</f>
        <v>20.818139999999996</v>
      </c>
    </row>
    <row r="37" spans="1:3" ht="14.25" x14ac:dyDescent="0.2">
      <c r="A37" s="41" t="s">
        <v>33</v>
      </c>
      <c r="B37" s="44" t="s">
        <v>34</v>
      </c>
      <c r="C37" s="40">
        <f>[12]С1!F22</f>
        <v>1.0369999999999999</v>
      </c>
    </row>
    <row r="38" spans="1:3" ht="53.25" thickBot="1" x14ac:dyDescent="0.25">
      <c r="A38" s="27" t="s">
        <v>35</v>
      </c>
      <c r="B38" s="45" t="s">
        <v>36</v>
      </c>
      <c r="C38" s="46">
        <f>[12]С1!F23</f>
        <v>1.0469999999999999</v>
      </c>
    </row>
    <row r="39" spans="1:3" ht="13.5" thickBot="1" x14ac:dyDescent="0.25">
      <c r="A39" s="47"/>
      <c r="B39" s="48"/>
      <c r="C39" s="49"/>
    </row>
    <row r="40" spans="1:3" ht="30" customHeight="1" x14ac:dyDescent="0.2">
      <c r="A40" s="50" t="s">
        <v>37</v>
      </c>
      <c r="B40" s="165" t="s">
        <v>38</v>
      </c>
      <c r="C40" s="165"/>
    </row>
    <row r="41" spans="1:3" ht="25.5" x14ac:dyDescent="0.2">
      <c r="A41" s="22" t="s">
        <v>39</v>
      </c>
      <c r="B41" s="36" t="s">
        <v>40</v>
      </c>
      <c r="C41" s="51" t="str">
        <f>[12]С2.1!E12</f>
        <v>V</v>
      </c>
    </row>
    <row r="42" spans="1:3" ht="25.5" x14ac:dyDescent="0.2">
      <c r="A42" s="22" t="s">
        <v>41</v>
      </c>
      <c r="B42" s="33" t="s">
        <v>42</v>
      </c>
      <c r="C42" s="51" t="str">
        <f>[12]С2.1!E13</f>
        <v>6 и менее баллов</v>
      </c>
    </row>
    <row r="43" spans="1:3" ht="25.5" x14ac:dyDescent="0.2">
      <c r="A43" s="22" t="s">
        <v>43</v>
      </c>
      <c r="B43" s="33" t="s">
        <v>44</v>
      </c>
      <c r="C43" s="51" t="str">
        <f>[12]С2.1!E14</f>
        <v>от 200 до 500</v>
      </c>
    </row>
    <row r="44" spans="1:3" ht="25.5" x14ac:dyDescent="0.2">
      <c r="A44" s="22" t="s">
        <v>45</v>
      </c>
      <c r="B44" s="33" t="s">
        <v>46</v>
      </c>
      <c r="C44" s="52" t="str">
        <f>[12]С2.1!E15</f>
        <v>нет</v>
      </c>
    </row>
    <row r="45" spans="1:3" ht="30" x14ac:dyDescent="0.2">
      <c r="A45" s="22" t="s">
        <v>47</v>
      </c>
      <c r="B45" s="33" t="s">
        <v>48</v>
      </c>
      <c r="C45" s="34">
        <f>[12]С2!F18</f>
        <v>35106.652004551666</v>
      </c>
    </row>
    <row r="46" spans="1:3" ht="30" x14ac:dyDescent="0.2">
      <c r="A46" s="22" t="s">
        <v>49</v>
      </c>
      <c r="B46" s="53" t="s">
        <v>50</v>
      </c>
      <c r="C46" s="34">
        <f>IF([12]С2!F19&gt;0,[12]С2!F19,[12]С2!F20)</f>
        <v>23441.524932855718</v>
      </c>
    </row>
    <row r="47" spans="1:3" ht="25.5" x14ac:dyDescent="0.2">
      <c r="A47" s="22" t="s">
        <v>51</v>
      </c>
      <c r="B47" s="54" t="s">
        <v>52</v>
      </c>
      <c r="C47" s="34">
        <f>[12]С2.1!E19</f>
        <v>-38</v>
      </c>
    </row>
    <row r="48" spans="1:3" ht="25.5" x14ac:dyDescent="0.2">
      <c r="A48" s="22" t="s">
        <v>53</v>
      </c>
      <c r="B48" s="54" t="s">
        <v>54</v>
      </c>
      <c r="C48" s="34" t="str">
        <f>[12]С2.1!E22</f>
        <v>нет</v>
      </c>
    </row>
    <row r="49" spans="1:3" ht="38.25" x14ac:dyDescent="0.2">
      <c r="A49" s="22" t="s">
        <v>55</v>
      </c>
      <c r="B49" s="55" t="s">
        <v>56</v>
      </c>
      <c r="C49" s="34">
        <f>[12]С2.2!E10</f>
        <v>1287</v>
      </c>
    </row>
    <row r="50" spans="1:3" ht="25.5" x14ac:dyDescent="0.2">
      <c r="A50" s="22" t="s">
        <v>57</v>
      </c>
      <c r="B50" s="56" t="s">
        <v>58</v>
      </c>
      <c r="C50" s="34">
        <f>[12]С2.2!E12</f>
        <v>5.97</v>
      </c>
    </row>
    <row r="51" spans="1:3" ht="52.5" x14ac:dyDescent="0.2">
      <c r="A51" s="22" t="s">
        <v>59</v>
      </c>
      <c r="B51" s="57" t="s">
        <v>60</v>
      </c>
      <c r="C51" s="34">
        <f>[12]С2.2!E13</f>
        <v>1</v>
      </c>
    </row>
    <row r="52" spans="1:3" ht="27.75" x14ac:dyDescent="0.2">
      <c r="A52" s="22" t="s">
        <v>61</v>
      </c>
      <c r="B52" s="56" t="s">
        <v>62</v>
      </c>
      <c r="C52" s="34">
        <f>[12]С2.2!E14</f>
        <v>12104</v>
      </c>
    </row>
    <row r="53" spans="1:3" ht="25.5" x14ac:dyDescent="0.2">
      <c r="A53" s="22" t="s">
        <v>63</v>
      </c>
      <c r="B53" s="57" t="s">
        <v>64</v>
      </c>
      <c r="C53" s="35">
        <f>[12]С2.2!E15</f>
        <v>4.8000000000000001E-2</v>
      </c>
    </row>
    <row r="54" spans="1:3" x14ac:dyDescent="0.2">
      <c r="A54" s="22" t="s">
        <v>65</v>
      </c>
      <c r="B54" s="57" t="s">
        <v>66</v>
      </c>
      <c r="C54" s="34">
        <f>[12]С2.2!E16</f>
        <v>1</v>
      </c>
    </row>
    <row r="55" spans="1:3" ht="15.75" x14ac:dyDescent="0.2">
      <c r="A55" s="22" t="s">
        <v>67</v>
      </c>
      <c r="B55" s="58" t="s">
        <v>68</v>
      </c>
      <c r="C55" s="34">
        <f>[12]С2!F21</f>
        <v>1</v>
      </c>
    </row>
    <row r="56" spans="1:3" ht="30" x14ac:dyDescent="0.2">
      <c r="A56" s="59" t="s">
        <v>69</v>
      </c>
      <c r="B56" s="33" t="s">
        <v>70</v>
      </c>
      <c r="C56" s="34">
        <f>[12]С2!F13</f>
        <v>183796.83936385796</v>
      </c>
    </row>
    <row r="57" spans="1:3" ht="30" x14ac:dyDescent="0.2">
      <c r="A57" s="59" t="s">
        <v>71</v>
      </c>
      <c r="B57" s="58" t="s">
        <v>72</v>
      </c>
      <c r="C57" s="34">
        <f>[12]С2!F14</f>
        <v>113455</v>
      </c>
    </row>
    <row r="58" spans="1:3" ht="15.75" x14ac:dyDescent="0.2">
      <c r="A58" s="59" t="s">
        <v>73</v>
      </c>
      <c r="B58" s="60" t="s">
        <v>74</v>
      </c>
      <c r="C58" s="40">
        <f>[12]С2!F15</f>
        <v>1.071</v>
      </c>
    </row>
    <row r="59" spans="1:3" ht="15.75" x14ac:dyDescent="0.2">
      <c r="A59" s="59" t="s">
        <v>75</v>
      </c>
      <c r="B59" s="60" t="s">
        <v>76</v>
      </c>
      <c r="C59" s="40">
        <f>[12]С2!F16</f>
        <v>1</v>
      </c>
    </row>
    <row r="60" spans="1:3" ht="17.25" x14ac:dyDescent="0.2">
      <c r="A60" s="59" t="s">
        <v>77</v>
      </c>
      <c r="B60" s="58" t="s">
        <v>78</v>
      </c>
      <c r="C60" s="34">
        <f>[12]С2!F17</f>
        <v>1.01</v>
      </c>
    </row>
    <row r="61" spans="1:3" s="63" customFormat="1" ht="14.25" x14ac:dyDescent="0.2">
      <c r="A61" s="59" t="s">
        <v>79</v>
      </c>
      <c r="B61" s="61" t="s">
        <v>80</v>
      </c>
      <c r="C61" s="62">
        <f>[12]С2!F33</f>
        <v>10</v>
      </c>
    </row>
    <row r="62" spans="1:3" ht="30" x14ac:dyDescent="0.2">
      <c r="A62" s="59" t="s">
        <v>81</v>
      </c>
      <c r="B62" s="64" t="s">
        <v>82</v>
      </c>
      <c r="C62" s="34">
        <f>[12]С2!F26</f>
        <v>2780.7867618428891</v>
      </c>
    </row>
    <row r="63" spans="1:3" ht="17.25" x14ac:dyDescent="0.2">
      <c r="A63" s="59" t="s">
        <v>83</v>
      </c>
      <c r="B63" s="53" t="s">
        <v>84</v>
      </c>
      <c r="C63" s="34">
        <f>[12]С2!F27</f>
        <v>0.44209422600000003</v>
      </c>
    </row>
    <row r="64" spans="1:3" ht="17.25" x14ac:dyDescent="0.2">
      <c r="A64" s="59" t="s">
        <v>85</v>
      </c>
      <c r="B64" s="58" t="s">
        <v>86</v>
      </c>
      <c r="C64" s="62">
        <f>[12]С2!F28</f>
        <v>4200</v>
      </c>
    </row>
    <row r="65" spans="1:3" ht="42.75" x14ac:dyDescent="0.2">
      <c r="A65" s="59" t="s">
        <v>87</v>
      </c>
      <c r="B65" s="33" t="s">
        <v>88</v>
      </c>
      <c r="C65" s="34">
        <f>[12]С2!F22</f>
        <v>38698.422798410109</v>
      </c>
    </row>
    <row r="66" spans="1:3" ht="30" x14ac:dyDescent="0.2">
      <c r="A66" s="59" t="s">
        <v>89</v>
      </c>
      <c r="B66" s="60" t="s">
        <v>90</v>
      </c>
      <c r="C66" s="34">
        <f>[12]С2!F23</f>
        <v>1990</v>
      </c>
    </row>
    <row r="67" spans="1:3" ht="30" x14ac:dyDescent="0.2">
      <c r="A67" s="59" t="s">
        <v>91</v>
      </c>
      <c r="B67" s="53" t="s">
        <v>92</v>
      </c>
      <c r="C67" s="34">
        <f>[12]С2.1!E27</f>
        <v>14307.876789999998</v>
      </c>
    </row>
    <row r="68" spans="1:3" ht="38.25" x14ac:dyDescent="0.2">
      <c r="A68" s="59" t="s">
        <v>93</v>
      </c>
      <c r="B68" s="65" t="s">
        <v>94</v>
      </c>
      <c r="C68" s="52">
        <f>[12]С2.3!E21</f>
        <v>0</v>
      </c>
    </row>
    <row r="69" spans="1:3" ht="25.5" x14ac:dyDescent="0.2">
      <c r="A69" s="59" t="s">
        <v>95</v>
      </c>
      <c r="B69" s="66" t="s">
        <v>96</v>
      </c>
      <c r="C69" s="67">
        <f>[12]С2.3!E11</f>
        <v>9.89</v>
      </c>
    </row>
    <row r="70" spans="1:3" ht="25.5" x14ac:dyDescent="0.2">
      <c r="A70" s="59" t="s">
        <v>97</v>
      </c>
      <c r="B70" s="66" t="s">
        <v>98</v>
      </c>
      <c r="C70" s="62">
        <f>[12]С2.3!E13</f>
        <v>300</v>
      </c>
    </row>
    <row r="71" spans="1:3" ht="25.5" x14ac:dyDescent="0.2">
      <c r="A71" s="59" t="s">
        <v>99</v>
      </c>
      <c r="B71" s="65" t="s">
        <v>100</v>
      </c>
      <c r="C71" s="68">
        <f>IF([12]С2.3!E22&gt;0,[12]С2.3!E22,[12]С2.3!E14)</f>
        <v>61211</v>
      </c>
    </row>
    <row r="72" spans="1:3" ht="38.25" x14ac:dyDescent="0.2">
      <c r="A72" s="59" t="s">
        <v>101</v>
      </c>
      <c r="B72" s="65" t="s">
        <v>102</v>
      </c>
      <c r="C72" s="68">
        <f>IF([12]С2.3!E23&gt;0,[12]С2.3!E23,[12]С2.3!E15)</f>
        <v>45675</v>
      </c>
    </row>
    <row r="73" spans="1:3" ht="30" x14ac:dyDescent="0.2">
      <c r="A73" s="59" t="s">
        <v>103</v>
      </c>
      <c r="B73" s="53" t="s">
        <v>104</v>
      </c>
      <c r="C73" s="34">
        <f>[12]С2.1!E28</f>
        <v>9541.9567200000001</v>
      </c>
    </row>
    <row r="74" spans="1:3" ht="38.25" x14ac:dyDescent="0.2">
      <c r="A74" s="59" t="s">
        <v>105</v>
      </c>
      <c r="B74" s="65" t="s">
        <v>106</v>
      </c>
      <c r="C74" s="52">
        <f>[12]С2.3!E25</f>
        <v>0</v>
      </c>
    </row>
    <row r="75" spans="1:3" ht="25.5" x14ac:dyDescent="0.2">
      <c r="A75" s="59" t="s">
        <v>107</v>
      </c>
      <c r="B75" s="66" t="s">
        <v>108</v>
      </c>
      <c r="C75" s="67">
        <f>[12]С2.3!E12</f>
        <v>0.56000000000000005</v>
      </c>
    </row>
    <row r="76" spans="1:3" ht="25.5" x14ac:dyDescent="0.2">
      <c r="A76" s="59" t="s">
        <v>109</v>
      </c>
      <c r="B76" s="66" t="s">
        <v>98</v>
      </c>
      <c r="C76" s="62">
        <f>[12]С2.3!E13</f>
        <v>300</v>
      </c>
    </row>
    <row r="77" spans="1:3" ht="25.5" x14ac:dyDescent="0.2">
      <c r="A77" s="59" t="s">
        <v>110</v>
      </c>
      <c r="B77" s="69" t="s">
        <v>111</v>
      </c>
      <c r="C77" s="68">
        <f>IF([12]С2.3!E26&gt;0,[12]С2.3!E26,[12]С2.3!E16)</f>
        <v>65637</v>
      </c>
    </row>
    <row r="78" spans="1:3" ht="38.25" x14ac:dyDescent="0.2">
      <c r="A78" s="59" t="s">
        <v>112</v>
      </c>
      <c r="B78" s="69" t="s">
        <v>113</v>
      </c>
      <c r="C78" s="68">
        <f>IF([12]С2.3!E27&gt;0,[12]С2.3!E27,[12]С2.3!E17)</f>
        <v>31684</v>
      </c>
    </row>
    <row r="79" spans="1:3" ht="17.25" x14ac:dyDescent="0.2">
      <c r="A79" s="59" t="s">
        <v>114</v>
      </c>
      <c r="B79" s="33" t="s">
        <v>115</v>
      </c>
      <c r="C79" s="35">
        <f>[12]С2!F29</f>
        <v>9.5962865259740182E-2</v>
      </c>
    </row>
    <row r="80" spans="1:3" ht="30" x14ac:dyDescent="0.2">
      <c r="A80" s="59" t="s">
        <v>116</v>
      </c>
      <c r="B80" s="53" t="s">
        <v>117</v>
      </c>
      <c r="C80" s="70">
        <f>[12]С2!F30</f>
        <v>8.4029304029304031E-2</v>
      </c>
    </row>
    <row r="81" spans="1:3" ht="17.25" x14ac:dyDescent="0.2">
      <c r="A81" s="59" t="s">
        <v>118</v>
      </c>
      <c r="B81" s="71" t="s">
        <v>119</v>
      </c>
      <c r="C81" s="35">
        <f>[12]С2!F31</f>
        <v>0.13880000000000001</v>
      </c>
    </row>
    <row r="82" spans="1:3" s="63" customFormat="1" ht="18" thickBot="1" x14ac:dyDescent="0.25">
      <c r="A82" s="72" t="s">
        <v>120</v>
      </c>
      <c r="B82" s="73" t="s">
        <v>121</v>
      </c>
      <c r="C82" s="74">
        <f>[12]С2!F32</f>
        <v>0.12640000000000001</v>
      </c>
    </row>
    <row r="83" spans="1:3" ht="13.5" thickBot="1" x14ac:dyDescent="0.25">
      <c r="A83" s="47"/>
      <c r="B83" s="75"/>
      <c r="C83" s="15"/>
    </row>
    <row r="84" spans="1:3" s="63" customFormat="1" ht="30" customHeight="1" x14ac:dyDescent="0.2">
      <c r="A84" s="76" t="s">
        <v>122</v>
      </c>
      <c r="B84" s="165" t="s">
        <v>123</v>
      </c>
      <c r="C84" s="165"/>
    </row>
    <row r="85" spans="1:3" s="63" customFormat="1" ht="30" x14ac:dyDescent="0.2">
      <c r="A85" s="77" t="s">
        <v>124</v>
      </c>
      <c r="B85" s="33" t="s">
        <v>125</v>
      </c>
      <c r="C85" s="34">
        <f>[12]С3!F14</f>
        <v>6117.6201782637581</v>
      </c>
    </row>
    <row r="86" spans="1:3" s="63" customFormat="1" ht="42.75" x14ac:dyDescent="0.2">
      <c r="A86" s="77" t="s">
        <v>126</v>
      </c>
      <c r="B86" s="53" t="s">
        <v>127</v>
      </c>
      <c r="C86" s="78">
        <f>[12]С3!F15</f>
        <v>0.2</v>
      </c>
    </row>
    <row r="87" spans="1:3" s="63" customFormat="1" ht="14.25" x14ac:dyDescent="0.2">
      <c r="A87" s="77" t="s">
        <v>128</v>
      </c>
      <c r="B87" s="79" t="s">
        <v>129</v>
      </c>
      <c r="C87" s="62">
        <f>[12]С3!F18</f>
        <v>15</v>
      </c>
    </row>
    <row r="88" spans="1:3" s="63" customFormat="1" ht="17.25" x14ac:dyDescent="0.2">
      <c r="A88" s="77" t="s">
        <v>130</v>
      </c>
      <c r="B88" s="33" t="s">
        <v>131</v>
      </c>
      <c r="C88" s="34">
        <f>[12]С3!F19</f>
        <v>3778.1614077800232</v>
      </c>
    </row>
    <row r="89" spans="1:3" s="63" customFormat="1" ht="55.5" x14ac:dyDescent="0.2">
      <c r="A89" s="77" t="s">
        <v>132</v>
      </c>
      <c r="B89" s="53" t="s">
        <v>133</v>
      </c>
      <c r="C89" s="80">
        <f>[12]С3!F20</f>
        <v>2.1999999999999999E-2</v>
      </c>
    </row>
    <row r="90" spans="1:3" s="63" customFormat="1" ht="14.25" x14ac:dyDescent="0.2">
      <c r="A90" s="77" t="s">
        <v>134</v>
      </c>
      <c r="B90" s="58" t="s">
        <v>80</v>
      </c>
      <c r="C90" s="62">
        <f>[12]С3!F21</f>
        <v>10</v>
      </c>
    </row>
    <row r="91" spans="1:3" s="63" customFormat="1" ht="17.25" x14ac:dyDescent="0.2">
      <c r="A91" s="77" t="s">
        <v>135</v>
      </c>
      <c r="B91" s="33" t="s">
        <v>136</v>
      </c>
      <c r="C91" s="34">
        <f>[12]С3!F22</f>
        <v>8.3423602855286667</v>
      </c>
    </row>
    <row r="92" spans="1:3" s="63" customFormat="1" ht="55.5" x14ac:dyDescent="0.2">
      <c r="A92" s="77" t="s">
        <v>137</v>
      </c>
      <c r="B92" s="53" t="s">
        <v>138</v>
      </c>
      <c r="C92" s="80">
        <f>[12]С3!F23</f>
        <v>3.0000000000000001E-3</v>
      </c>
    </row>
    <row r="93" spans="1:3" s="63" customFormat="1" ht="27.75" thickBot="1" x14ac:dyDescent="0.25">
      <c r="A93" s="81" t="s">
        <v>139</v>
      </c>
      <c r="B93" s="82" t="s">
        <v>140</v>
      </c>
      <c r="C93" s="83">
        <f>[12]С3!F24</f>
        <v>2780.7867618428891</v>
      </c>
    </row>
    <row r="94" spans="1:3" ht="13.5" thickBot="1" x14ac:dyDescent="0.25">
      <c r="A94" s="47"/>
      <c r="B94" s="75"/>
      <c r="C94" s="15"/>
    </row>
    <row r="95" spans="1:3" ht="30" customHeight="1" x14ac:dyDescent="0.2">
      <c r="A95" s="84" t="s">
        <v>141</v>
      </c>
      <c r="B95" s="165" t="s">
        <v>142</v>
      </c>
      <c r="C95" s="165"/>
    </row>
    <row r="96" spans="1:3" ht="30" x14ac:dyDescent="0.2">
      <c r="A96" s="59" t="s">
        <v>143</v>
      </c>
      <c r="B96" s="33" t="s">
        <v>144</v>
      </c>
      <c r="C96" s="34">
        <f>[12]С4!F16</f>
        <v>1652.5</v>
      </c>
    </row>
    <row r="97" spans="1:3" ht="30" x14ac:dyDescent="0.2">
      <c r="A97" s="59" t="s">
        <v>145</v>
      </c>
      <c r="B97" s="58" t="s">
        <v>146</v>
      </c>
      <c r="C97" s="34">
        <f>[12]С4!F17</f>
        <v>73547</v>
      </c>
    </row>
    <row r="98" spans="1:3" ht="17.25" x14ac:dyDescent="0.2">
      <c r="A98" s="59" t="s">
        <v>147</v>
      </c>
      <c r="B98" s="58" t="s">
        <v>148</v>
      </c>
      <c r="C98" s="40">
        <f>[12]С4!F18</f>
        <v>0.02</v>
      </c>
    </row>
    <row r="99" spans="1:3" ht="30" x14ac:dyDescent="0.2">
      <c r="A99" s="59" t="s">
        <v>149</v>
      </c>
      <c r="B99" s="58" t="s">
        <v>150</v>
      </c>
      <c r="C99" s="34">
        <f>[12]С4!F19</f>
        <v>12104</v>
      </c>
    </row>
    <row r="100" spans="1:3" ht="31.5" x14ac:dyDescent="0.2">
      <c r="A100" s="59" t="s">
        <v>151</v>
      </c>
      <c r="B100" s="58" t="s">
        <v>152</v>
      </c>
      <c r="C100" s="40">
        <f>[12]С4!F20</f>
        <v>1.4999999999999999E-2</v>
      </c>
    </row>
    <row r="101" spans="1:3" ht="30" x14ac:dyDescent="0.2">
      <c r="A101" s="59" t="s">
        <v>153</v>
      </c>
      <c r="B101" s="33" t="s">
        <v>154</v>
      </c>
      <c r="C101" s="34">
        <f>[12]С4!F21</f>
        <v>1933.1949342509995</v>
      </c>
    </row>
    <row r="102" spans="1:3" ht="24" customHeight="1" x14ac:dyDescent="0.2">
      <c r="A102" s="59" t="s">
        <v>155</v>
      </c>
      <c r="B102" s="53" t="s">
        <v>156</v>
      </c>
      <c r="C102" s="85">
        <f>IF([12]С4.2!F8="да",[12]С4.2!D21,[12]С4.2!D15)</f>
        <v>0</v>
      </c>
    </row>
    <row r="103" spans="1:3" ht="68.25" x14ac:dyDescent="0.2">
      <c r="A103" s="59" t="s">
        <v>157</v>
      </c>
      <c r="B103" s="53" t="s">
        <v>158</v>
      </c>
      <c r="C103" s="34">
        <f>[12]С4!F22</f>
        <v>3.6112641666666665</v>
      </c>
    </row>
    <row r="104" spans="1:3" ht="30" x14ac:dyDescent="0.2">
      <c r="A104" s="59" t="s">
        <v>159</v>
      </c>
      <c r="B104" s="58" t="s">
        <v>160</v>
      </c>
      <c r="C104" s="34">
        <f>[12]С4!F23</f>
        <v>180</v>
      </c>
    </row>
    <row r="105" spans="1:3" ht="14.25" x14ac:dyDescent="0.2">
      <c r="A105" s="59" t="s">
        <v>161</v>
      </c>
      <c r="B105" s="53" t="s">
        <v>162</v>
      </c>
      <c r="C105" s="34">
        <f>[12]С4!F24</f>
        <v>8497.1999999999989</v>
      </c>
    </row>
    <row r="106" spans="1:3" ht="14.25" x14ac:dyDescent="0.2">
      <c r="A106" s="59" t="s">
        <v>163</v>
      </c>
      <c r="B106" s="58" t="s">
        <v>164</v>
      </c>
      <c r="C106" s="40">
        <f>[12]С4!F25</f>
        <v>0.35</v>
      </c>
    </row>
    <row r="107" spans="1:3" ht="17.25" x14ac:dyDescent="0.2">
      <c r="A107" s="59" t="s">
        <v>165</v>
      </c>
      <c r="B107" s="33" t="s">
        <v>166</v>
      </c>
      <c r="C107" s="34">
        <f>[12]С4!F26</f>
        <v>85.988129999999998</v>
      </c>
    </row>
    <row r="108" spans="1:3" ht="25.5" x14ac:dyDescent="0.2">
      <c r="A108" s="59" t="s">
        <v>167</v>
      </c>
      <c r="B108" s="53" t="s">
        <v>94</v>
      </c>
      <c r="C108" s="85">
        <f>[12]С4.3!E16</f>
        <v>0</v>
      </c>
    </row>
    <row r="109" spans="1:3" ht="25.5" x14ac:dyDescent="0.2">
      <c r="A109" s="59" t="s">
        <v>168</v>
      </c>
      <c r="B109" s="53" t="s">
        <v>169</v>
      </c>
      <c r="C109" s="34">
        <f>[12]С4.3!E17</f>
        <v>20.350000000000001</v>
      </c>
    </row>
    <row r="110" spans="1:3" ht="38.25" x14ac:dyDescent="0.2">
      <c r="A110" s="59" t="s">
        <v>170</v>
      </c>
      <c r="B110" s="53" t="s">
        <v>106</v>
      </c>
      <c r="C110" s="85">
        <f>[12]С4.3!E18</f>
        <v>0</v>
      </c>
    </row>
    <row r="111" spans="1:3" x14ac:dyDescent="0.2">
      <c r="A111" s="59" t="s">
        <v>171</v>
      </c>
      <c r="B111" s="53" t="s">
        <v>172</v>
      </c>
      <c r="C111" s="34">
        <f>[12]С4.3!E19</f>
        <v>71.67</v>
      </c>
    </row>
    <row r="112" spans="1:3" x14ac:dyDescent="0.2">
      <c r="A112" s="59" t="s">
        <v>173</v>
      </c>
      <c r="B112" s="58" t="s">
        <v>174</v>
      </c>
      <c r="C112" s="34">
        <f>[12]С4.3!E11</f>
        <v>1871</v>
      </c>
    </row>
    <row r="113" spans="1:3" x14ac:dyDescent="0.2">
      <c r="A113" s="59" t="s">
        <v>175</v>
      </c>
      <c r="B113" s="58" t="s">
        <v>176</v>
      </c>
      <c r="C113" s="52">
        <f>[12]С4.3!E12</f>
        <v>1636</v>
      </c>
    </row>
    <row r="114" spans="1:3" x14ac:dyDescent="0.2">
      <c r="A114" s="59" t="s">
        <v>177</v>
      </c>
      <c r="B114" s="58" t="s">
        <v>178</v>
      </c>
      <c r="C114" s="52">
        <f>[12]С4.3!E13</f>
        <v>204</v>
      </c>
    </row>
    <row r="115" spans="1:3" ht="30" x14ac:dyDescent="0.2">
      <c r="A115" s="59" t="s">
        <v>179</v>
      </c>
      <c r="B115" s="33" t="s">
        <v>180</v>
      </c>
      <c r="C115" s="34">
        <f>[12]С4!F27</f>
        <v>1291.2863994686898</v>
      </c>
    </row>
    <row r="116" spans="1:3" ht="25.5" x14ac:dyDescent="0.2">
      <c r="A116" s="59" t="s">
        <v>181</v>
      </c>
      <c r="B116" s="53" t="s">
        <v>182</v>
      </c>
      <c r="C116" s="34">
        <f>[12]С4!F28</f>
        <v>991.77142816335618</v>
      </c>
    </row>
    <row r="117" spans="1:3" ht="42.75" x14ac:dyDescent="0.2">
      <c r="A117" s="59" t="s">
        <v>183</v>
      </c>
      <c r="B117" s="53" t="s">
        <v>184</v>
      </c>
      <c r="C117" s="34">
        <f>[12]С4!F29</f>
        <v>299.51497130533357</v>
      </c>
    </row>
    <row r="118" spans="1:3" ht="30" x14ac:dyDescent="0.2">
      <c r="A118" s="59" t="s">
        <v>185</v>
      </c>
      <c r="B118" s="39" t="s">
        <v>186</v>
      </c>
      <c r="C118" s="34">
        <f>[12]С4!F30</f>
        <v>1651.6512818834203</v>
      </c>
    </row>
    <row r="119" spans="1:3" ht="42.75" x14ac:dyDescent="0.2">
      <c r="A119" s="59" t="s">
        <v>187</v>
      </c>
      <c r="B119" s="86" t="s">
        <v>188</v>
      </c>
      <c r="C119" s="34">
        <f>[12]С4!F33</f>
        <v>929.5715335437668</v>
      </c>
    </row>
    <row r="120" spans="1:3" ht="30" x14ac:dyDescent="0.2">
      <c r="A120" s="59" t="s">
        <v>189</v>
      </c>
      <c r="B120" s="87" t="s">
        <v>190</v>
      </c>
      <c r="C120" s="34">
        <f>[12]С4!F35</f>
        <v>17.040680999999999</v>
      </c>
    </row>
    <row r="121" spans="1:3" ht="14.25" x14ac:dyDescent="0.2">
      <c r="A121" s="59" t="s">
        <v>191</v>
      </c>
      <c r="B121" s="56" t="s">
        <v>192</v>
      </c>
      <c r="C121" s="34">
        <f>[12]С4!F36</f>
        <v>14319.9</v>
      </c>
    </row>
    <row r="122" spans="1:3" ht="28.5" thickBot="1" x14ac:dyDescent="0.25">
      <c r="A122" s="72" t="s">
        <v>193</v>
      </c>
      <c r="B122" s="88" t="s">
        <v>194</v>
      </c>
      <c r="C122" s="83">
        <f>[12]С4!F37</f>
        <v>1.19</v>
      </c>
    </row>
    <row r="123" spans="1:3" s="89" customFormat="1" ht="13.5" thickBot="1" x14ac:dyDescent="0.25">
      <c r="A123" s="47"/>
      <c r="B123" s="75"/>
      <c r="C123" s="15"/>
    </row>
    <row r="124" spans="1:3" s="63" customFormat="1" ht="30" customHeight="1" x14ac:dyDescent="0.2">
      <c r="A124" s="76" t="s">
        <v>195</v>
      </c>
      <c r="B124" s="165" t="s">
        <v>196</v>
      </c>
      <c r="C124" s="165"/>
    </row>
    <row r="125" spans="1:3" ht="16.5" thickBot="1" x14ac:dyDescent="0.25">
      <c r="A125" s="27" t="s">
        <v>197</v>
      </c>
      <c r="B125" s="90" t="s">
        <v>198</v>
      </c>
      <c r="C125" s="83">
        <f>[12]С5!F17</f>
        <v>0.02</v>
      </c>
    </row>
    <row r="126" spans="1:3" s="89" customFormat="1" ht="13.5" thickBot="1" x14ac:dyDescent="0.25">
      <c r="A126" s="47"/>
      <c r="B126" s="75"/>
      <c r="C126" s="15"/>
    </row>
    <row r="127" spans="1:3" ht="42.75" customHeight="1" x14ac:dyDescent="0.2">
      <c r="A127" s="84" t="s">
        <v>199</v>
      </c>
      <c r="B127" s="166" t="s">
        <v>200</v>
      </c>
      <c r="C127" s="166"/>
    </row>
    <row r="128" spans="1:3" ht="68.25" x14ac:dyDescent="0.2">
      <c r="A128" s="59" t="s">
        <v>201</v>
      </c>
      <c r="B128" s="91" t="s">
        <v>202</v>
      </c>
      <c r="C128" s="34" t="s">
        <v>203</v>
      </c>
    </row>
    <row r="129" spans="1:4" ht="42.75" hidden="1" x14ac:dyDescent="0.2">
      <c r="A129" s="59" t="s">
        <v>204</v>
      </c>
      <c r="B129" s="86" t="s">
        <v>205</v>
      </c>
      <c r="C129" s="92"/>
    </row>
    <row r="130" spans="1:4" ht="69" thickBot="1" x14ac:dyDescent="0.25">
      <c r="A130" s="72" t="s">
        <v>206</v>
      </c>
      <c r="B130" s="93" t="s">
        <v>207</v>
      </c>
      <c r="C130" s="94" t="s">
        <v>203</v>
      </c>
    </row>
    <row r="131" spans="1:4" ht="62.25" hidden="1" customHeight="1" x14ac:dyDescent="0.2">
      <c r="A131" s="95" t="s">
        <v>208</v>
      </c>
      <c r="B131" s="96" t="s">
        <v>209</v>
      </c>
      <c r="C131" s="97"/>
    </row>
    <row r="132" spans="1:4" ht="68.25" hidden="1" x14ac:dyDescent="0.2">
      <c r="A132" s="59" t="s">
        <v>210</v>
      </c>
      <c r="B132" s="86" t="s">
        <v>211</v>
      </c>
      <c r="C132" s="35"/>
    </row>
    <row r="133" spans="1:4" ht="69" hidden="1" thickBot="1" x14ac:dyDescent="0.25">
      <c r="A133" s="72" t="s">
        <v>212</v>
      </c>
      <c r="B133" s="98" t="s">
        <v>213</v>
      </c>
      <c r="C133" s="74"/>
    </row>
    <row r="134" spans="1:4" s="89" customFormat="1" ht="13.5" thickBot="1" x14ac:dyDescent="0.25">
      <c r="A134" s="47"/>
      <c r="B134" s="75"/>
      <c r="C134" s="15"/>
    </row>
    <row r="135" spans="1:4" ht="26.25" customHeight="1" x14ac:dyDescent="0.2">
      <c r="A135" s="84" t="s">
        <v>214</v>
      </c>
      <c r="B135" s="99" t="s">
        <v>215</v>
      </c>
      <c r="C135" s="100">
        <f>[12]С2!F37</f>
        <v>20.818139999999996</v>
      </c>
    </row>
    <row r="136" spans="1:4" ht="14.25" x14ac:dyDescent="0.2">
      <c r="A136" s="59" t="s">
        <v>216</v>
      </c>
      <c r="B136" s="101" t="s">
        <v>217</v>
      </c>
      <c r="C136" s="34">
        <f>[12]С2!F38</f>
        <v>7</v>
      </c>
    </row>
    <row r="137" spans="1:4" ht="17.25" x14ac:dyDescent="0.2">
      <c r="A137" s="59" t="s">
        <v>218</v>
      </c>
      <c r="B137" s="101" t="s">
        <v>219</v>
      </c>
      <c r="C137" s="34">
        <f>[12]С2!F40</f>
        <v>0.97</v>
      </c>
    </row>
    <row r="138" spans="1:4" ht="15" thickBot="1" x14ac:dyDescent="0.25">
      <c r="A138" s="72" t="s">
        <v>220</v>
      </c>
      <c r="B138" s="102" t="s">
        <v>221</v>
      </c>
      <c r="C138" s="46">
        <f>[12]С2!F42</f>
        <v>0.35</v>
      </c>
    </row>
    <row r="139" spans="1:4" s="89" customFormat="1" ht="13.5" thickBot="1" x14ac:dyDescent="0.25">
      <c r="A139" s="47"/>
      <c r="B139" s="75"/>
      <c r="C139" s="15"/>
    </row>
    <row r="140" spans="1:4" ht="30" x14ac:dyDescent="0.2">
      <c r="A140" s="84" t="s">
        <v>222</v>
      </c>
      <c r="B140" s="103" t="s">
        <v>223</v>
      </c>
      <c r="C140" s="104">
        <f>[12]С2!F35</f>
        <v>1.4976266307379205</v>
      </c>
      <c r="D140" s="89"/>
    </row>
    <row r="141" spans="1:4" ht="22.7" customHeight="1" thickBot="1" x14ac:dyDescent="0.25">
      <c r="A141" s="72" t="s">
        <v>224</v>
      </c>
      <c r="B141" s="161" t="s">
        <v>225</v>
      </c>
      <c r="C141" s="161"/>
      <c r="D141" s="89"/>
    </row>
    <row r="142" spans="1:4" ht="13.5" thickBot="1" x14ac:dyDescent="0.25">
      <c r="A142" s="105"/>
      <c r="B142" s="106" t="s">
        <v>226</v>
      </c>
      <c r="C142" s="107"/>
      <c r="D142" s="89"/>
    </row>
    <row r="143" spans="1:4" x14ac:dyDescent="0.2">
      <c r="A143" s="105"/>
      <c r="B143" s="108">
        <v>2020</v>
      </c>
      <c r="C143" s="109">
        <f>[12]С2.5!$E$11</f>
        <v>-2.9000000000000026E-2</v>
      </c>
      <c r="D143" s="89"/>
    </row>
    <row r="144" spans="1:4" x14ac:dyDescent="0.2">
      <c r="A144" s="105"/>
      <c r="B144" s="110">
        <f>B143+1</f>
        <v>2021</v>
      </c>
      <c r="C144" s="111">
        <f>[12]С2.5!$F$11</f>
        <v>0.245</v>
      </c>
      <c r="D144" s="89"/>
    </row>
    <row r="145" spans="1:4" x14ac:dyDescent="0.2">
      <c r="A145" s="105"/>
      <c r="B145" s="110">
        <f t="shared" ref="B145:B208" si="0">B144+1</f>
        <v>2022</v>
      </c>
      <c r="C145" s="111">
        <f>[12]С2.5!$G$11</f>
        <v>0.114</v>
      </c>
      <c r="D145" s="89"/>
    </row>
    <row r="146" spans="1:4" ht="13.5" thickBot="1" x14ac:dyDescent="0.25">
      <c r="A146" s="105"/>
      <c r="B146" s="112">
        <f t="shared" si="0"/>
        <v>2023</v>
      </c>
      <c r="C146" s="113">
        <f>[12]С2.5!$H$11</f>
        <v>2.4E-2</v>
      </c>
      <c r="D146" s="89"/>
    </row>
    <row r="147" spans="1:4" x14ac:dyDescent="0.2">
      <c r="A147" s="105"/>
      <c r="B147" s="114">
        <f t="shared" si="0"/>
        <v>2024</v>
      </c>
      <c r="C147" s="115">
        <f>[12]С2.5!$I$11</f>
        <v>8.5999999999999993E-2</v>
      </c>
      <c r="D147" s="89"/>
    </row>
    <row r="148" spans="1:4" hidden="1" x14ac:dyDescent="0.2">
      <c r="A148" s="105"/>
      <c r="B148" s="110">
        <f t="shared" si="0"/>
        <v>2025</v>
      </c>
      <c r="C148" s="111">
        <f>[12]С2.5!$J$11</f>
        <v>0.21215960863291</v>
      </c>
      <c r="D148" s="89"/>
    </row>
    <row r="149" spans="1:4" hidden="1" x14ac:dyDescent="0.2">
      <c r="A149" s="105"/>
      <c r="B149" s="110">
        <f t="shared" si="0"/>
        <v>2026</v>
      </c>
      <c r="C149" s="111">
        <f>[12]С2.5!$K$11</f>
        <v>3.5813361771260002E-2</v>
      </c>
      <c r="D149" s="89"/>
    </row>
    <row r="150" spans="1:4" hidden="1" x14ac:dyDescent="0.2">
      <c r="A150" s="105"/>
      <c r="B150" s="110">
        <f t="shared" si="0"/>
        <v>2027</v>
      </c>
      <c r="C150" s="111">
        <f>[12]С2.5!$L$11</f>
        <v>3.2682303599220003E-2</v>
      </c>
      <c r="D150" s="89"/>
    </row>
    <row r="151" spans="1:4" hidden="1" x14ac:dyDescent="0.2">
      <c r="A151" s="105"/>
      <c r="B151" s="110">
        <f t="shared" si="0"/>
        <v>2028</v>
      </c>
      <c r="C151" s="111">
        <f>[12]С2.5!$M$11</f>
        <v>0</v>
      </c>
      <c r="D151" s="89"/>
    </row>
    <row r="152" spans="1:4" hidden="1" x14ac:dyDescent="0.2">
      <c r="A152" s="105"/>
      <c r="B152" s="110">
        <f t="shared" si="0"/>
        <v>2029</v>
      </c>
      <c r="C152" s="111">
        <f>[12]С2.5!$N$11</f>
        <v>0</v>
      </c>
      <c r="D152" s="89"/>
    </row>
    <row r="153" spans="1:4" hidden="1" x14ac:dyDescent="0.2">
      <c r="A153" s="105"/>
      <c r="B153" s="110">
        <f t="shared" si="0"/>
        <v>2030</v>
      </c>
      <c r="C153" s="111">
        <f>[12]С2.5!$O$11</f>
        <v>0</v>
      </c>
      <c r="D153" s="89"/>
    </row>
    <row r="154" spans="1:4" hidden="1" x14ac:dyDescent="0.2">
      <c r="A154" s="105"/>
      <c r="B154" s="110">
        <f t="shared" si="0"/>
        <v>2031</v>
      </c>
      <c r="C154" s="111">
        <f>[12]С2.5!$P$11</f>
        <v>0</v>
      </c>
      <c r="D154" s="89"/>
    </row>
    <row r="155" spans="1:4" hidden="1" x14ac:dyDescent="0.2">
      <c r="A155" s="89"/>
      <c r="B155" s="110">
        <f t="shared" si="0"/>
        <v>2032</v>
      </c>
      <c r="C155" s="111">
        <f>[12]С2.5!$Q$11</f>
        <v>0</v>
      </c>
      <c r="D155" s="89"/>
    </row>
    <row r="156" spans="1:4" hidden="1" x14ac:dyDescent="0.2">
      <c r="A156" s="89"/>
      <c r="B156" s="110">
        <f t="shared" si="0"/>
        <v>2033</v>
      </c>
      <c r="C156" s="111">
        <f>[12]С2.5!$R$11</f>
        <v>0</v>
      </c>
      <c r="D156" s="89"/>
    </row>
    <row r="157" spans="1:4" hidden="1" x14ac:dyDescent="0.2">
      <c r="B157" s="110">
        <f t="shared" si="0"/>
        <v>2034</v>
      </c>
      <c r="C157" s="111">
        <f>[12]С2.5!$S$11</f>
        <v>0</v>
      </c>
    </row>
    <row r="158" spans="1:4" hidden="1" x14ac:dyDescent="0.2">
      <c r="B158" s="110">
        <f t="shared" si="0"/>
        <v>2035</v>
      </c>
      <c r="C158" s="111">
        <f>[12]С2.5!$T$11</f>
        <v>0</v>
      </c>
    </row>
    <row r="159" spans="1:4" hidden="1" x14ac:dyDescent="0.2">
      <c r="B159" s="110">
        <f t="shared" si="0"/>
        <v>2036</v>
      </c>
      <c r="C159" s="111">
        <f>[12]С2.5!$U$11</f>
        <v>0</v>
      </c>
    </row>
    <row r="160" spans="1:4" hidden="1" x14ac:dyDescent="0.2">
      <c r="B160" s="110">
        <f t="shared" si="0"/>
        <v>2037</v>
      </c>
      <c r="C160" s="111">
        <f>[12]С2.5!$V$11</f>
        <v>0</v>
      </c>
    </row>
    <row r="161" spans="2:3" hidden="1" x14ac:dyDescent="0.2">
      <c r="B161" s="110">
        <f t="shared" si="0"/>
        <v>2038</v>
      </c>
      <c r="C161" s="111">
        <f>[12]С2.5!$W$11</f>
        <v>0</v>
      </c>
    </row>
    <row r="162" spans="2:3" hidden="1" x14ac:dyDescent="0.2">
      <c r="B162" s="110">
        <f t="shared" si="0"/>
        <v>2039</v>
      </c>
      <c r="C162" s="111">
        <f>[12]С2.5!$X$11</f>
        <v>0</v>
      </c>
    </row>
    <row r="163" spans="2:3" hidden="1" x14ac:dyDescent="0.2">
      <c r="B163" s="110">
        <f t="shared" si="0"/>
        <v>2040</v>
      </c>
      <c r="C163" s="111">
        <f>[12]С2.5!$Y$11</f>
        <v>0</v>
      </c>
    </row>
    <row r="164" spans="2:3" hidden="1" x14ac:dyDescent="0.2">
      <c r="B164" s="110">
        <f t="shared" si="0"/>
        <v>2041</v>
      </c>
      <c r="C164" s="111">
        <f>[12]С2.5!$Z$11</f>
        <v>0</v>
      </c>
    </row>
    <row r="165" spans="2:3" hidden="1" x14ac:dyDescent="0.2">
      <c r="B165" s="110">
        <f t="shared" si="0"/>
        <v>2042</v>
      </c>
      <c r="C165" s="111">
        <f>[12]С2.5!$AA$11</f>
        <v>0</v>
      </c>
    </row>
    <row r="166" spans="2:3" hidden="1" x14ac:dyDescent="0.2">
      <c r="B166" s="110">
        <f t="shared" si="0"/>
        <v>2043</v>
      </c>
      <c r="C166" s="111">
        <f>[12]С2.5!$AB$11</f>
        <v>0</v>
      </c>
    </row>
    <row r="167" spans="2:3" hidden="1" x14ac:dyDescent="0.2">
      <c r="B167" s="110">
        <f t="shared" si="0"/>
        <v>2044</v>
      </c>
      <c r="C167" s="111">
        <f>[12]С2.5!$AC$11</f>
        <v>0</v>
      </c>
    </row>
    <row r="168" spans="2:3" hidden="1" x14ac:dyDescent="0.2">
      <c r="B168" s="110">
        <f t="shared" si="0"/>
        <v>2045</v>
      </c>
      <c r="C168" s="111">
        <f>[12]С2.5!$AD$11</f>
        <v>0</v>
      </c>
    </row>
    <row r="169" spans="2:3" hidden="1" x14ac:dyDescent="0.2">
      <c r="B169" s="110">
        <f t="shared" si="0"/>
        <v>2046</v>
      </c>
      <c r="C169" s="111">
        <f>[12]С2.5!$AE$11</f>
        <v>0</v>
      </c>
    </row>
    <row r="170" spans="2:3" hidden="1" x14ac:dyDescent="0.2">
      <c r="B170" s="110">
        <f t="shared" si="0"/>
        <v>2047</v>
      </c>
      <c r="C170" s="111">
        <f>[12]С2.5!$AF$11</f>
        <v>0</v>
      </c>
    </row>
    <row r="171" spans="2:3" hidden="1" x14ac:dyDescent="0.2">
      <c r="B171" s="110">
        <f t="shared" si="0"/>
        <v>2048</v>
      </c>
      <c r="C171" s="111">
        <f>[12]С2.5!$AG$11</f>
        <v>0</v>
      </c>
    </row>
    <row r="172" spans="2:3" hidden="1" x14ac:dyDescent="0.2">
      <c r="B172" s="110">
        <f t="shared" si="0"/>
        <v>2049</v>
      </c>
      <c r="C172" s="111">
        <f>[12]С2.5!$AH$11</f>
        <v>0</v>
      </c>
    </row>
    <row r="173" spans="2:3" hidden="1" x14ac:dyDescent="0.2">
      <c r="B173" s="110">
        <f t="shared" si="0"/>
        <v>2050</v>
      </c>
      <c r="C173" s="111">
        <f>[12]С2.5!$AI$11</f>
        <v>0</v>
      </c>
    </row>
    <row r="174" spans="2:3" hidden="1" x14ac:dyDescent="0.2">
      <c r="B174" s="110">
        <f t="shared" si="0"/>
        <v>2051</v>
      </c>
      <c r="C174" s="111">
        <f>[12]С2.5!$AJ$11</f>
        <v>0</v>
      </c>
    </row>
    <row r="175" spans="2:3" hidden="1" x14ac:dyDescent="0.2">
      <c r="B175" s="110">
        <f t="shared" si="0"/>
        <v>2052</v>
      </c>
      <c r="C175" s="111">
        <f>[12]С2.5!$AK$11</f>
        <v>0</v>
      </c>
    </row>
    <row r="176" spans="2:3" hidden="1" x14ac:dyDescent="0.2">
      <c r="B176" s="110">
        <f t="shared" si="0"/>
        <v>2053</v>
      </c>
      <c r="C176" s="111">
        <f>[12]С2.5!$AL$11</f>
        <v>0</v>
      </c>
    </row>
    <row r="177" spans="2:3" hidden="1" x14ac:dyDescent="0.2">
      <c r="B177" s="110">
        <f t="shared" si="0"/>
        <v>2054</v>
      </c>
      <c r="C177" s="111">
        <f>[12]С2.5!$AM$11</f>
        <v>0</v>
      </c>
    </row>
    <row r="178" spans="2:3" hidden="1" x14ac:dyDescent="0.2">
      <c r="B178" s="110">
        <f t="shared" si="0"/>
        <v>2055</v>
      </c>
      <c r="C178" s="111">
        <f>[12]С2.5!$AN$11</f>
        <v>0</v>
      </c>
    </row>
    <row r="179" spans="2:3" hidden="1" x14ac:dyDescent="0.2">
      <c r="B179" s="110">
        <f t="shared" si="0"/>
        <v>2056</v>
      </c>
      <c r="C179" s="111">
        <f>[12]С2.5!$AO$11</f>
        <v>0</v>
      </c>
    </row>
    <row r="180" spans="2:3" hidden="1" x14ac:dyDescent="0.2">
      <c r="B180" s="110">
        <f t="shared" si="0"/>
        <v>2057</v>
      </c>
      <c r="C180" s="111">
        <f>[12]С2.5!$AP$11</f>
        <v>0</v>
      </c>
    </row>
    <row r="181" spans="2:3" hidden="1" x14ac:dyDescent="0.2">
      <c r="B181" s="110">
        <f t="shared" si="0"/>
        <v>2058</v>
      </c>
      <c r="C181" s="111">
        <f>[12]С2.5!$AQ$11</f>
        <v>0</v>
      </c>
    </row>
    <row r="182" spans="2:3" hidden="1" x14ac:dyDescent="0.2">
      <c r="B182" s="110">
        <f t="shared" si="0"/>
        <v>2059</v>
      </c>
      <c r="C182" s="111">
        <f>[12]С2.5!$AR$11</f>
        <v>0</v>
      </c>
    </row>
    <row r="183" spans="2:3" hidden="1" x14ac:dyDescent="0.2">
      <c r="B183" s="110">
        <f t="shared" si="0"/>
        <v>2060</v>
      </c>
      <c r="C183" s="111">
        <f>[12]С2.5!$AS$11</f>
        <v>0</v>
      </c>
    </row>
    <row r="184" spans="2:3" hidden="1" x14ac:dyDescent="0.2">
      <c r="B184" s="110">
        <f t="shared" si="0"/>
        <v>2061</v>
      </c>
      <c r="C184" s="111">
        <f>[12]С2.5!$AT$11</f>
        <v>0</v>
      </c>
    </row>
    <row r="185" spans="2:3" hidden="1" x14ac:dyDescent="0.2">
      <c r="B185" s="110">
        <f t="shared" si="0"/>
        <v>2062</v>
      </c>
      <c r="C185" s="111">
        <f>[12]С2.5!$AU$11</f>
        <v>0</v>
      </c>
    </row>
    <row r="186" spans="2:3" hidden="1" x14ac:dyDescent="0.2">
      <c r="B186" s="110">
        <f t="shared" si="0"/>
        <v>2063</v>
      </c>
      <c r="C186" s="111">
        <f>[12]С2.5!$AV$11</f>
        <v>0</v>
      </c>
    </row>
    <row r="187" spans="2:3" hidden="1" x14ac:dyDescent="0.2">
      <c r="B187" s="110">
        <f t="shared" si="0"/>
        <v>2064</v>
      </c>
      <c r="C187" s="111">
        <f>[12]С2.5!$AW$11</f>
        <v>0</v>
      </c>
    </row>
    <row r="188" spans="2:3" hidden="1" x14ac:dyDescent="0.2">
      <c r="B188" s="110">
        <f t="shared" si="0"/>
        <v>2065</v>
      </c>
      <c r="C188" s="111">
        <f>[12]С2.5!$AX$11</f>
        <v>0</v>
      </c>
    </row>
    <row r="189" spans="2:3" hidden="1" x14ac:dyDescent="0.2">
      <c r="B189" s="110">
        <f t="shared" si="0"/>
        <v>2066</v>
      </c>
      <c r="C189" s="111">
        <f>[12]С2.5!$AY$11</f>
        <v>0</v>
      </c>
    </row>
    <row r="190" spans="2:3" hidden="1" x14ac:dyDescent="0.2">
      <c r="B190" s="110">
        <f t="shared" si="0"/>
        <v>2067</v>
      </c>
      <c r="C190" s="111">
        <f>[12]С2.5!$AZ$11</f>
        <v>0</v>
      </c>
    </row>
    <row r="191" spans="2:3" hidden="1" x14ac:dyDescent="0.2">
      <c r="B191" s="110">
        <f t="shared" si="0"/>
        <v>2068</v>
      </c>
      <c r="C191" s="111">
        <f>[12]С2.5!$BA$11</f>
        <v>0</v>
      </c>
    </row>
    <row r="192" spans="2:3" hidden="1" x14ac:dyDescent="0.2">
      <c r="B192" s="110">
        <f t="shared" si="0"/>
        <v>2069</v>
      </c>
      <c r="C192" s="111">
        <f>[12]С2.5!$BB$11</f>
        <v>0</v>
      </c>
    </row>
    <row r="193" spans="2:3" hidden="1" x14ac:dyDescent="0.2">
      <c r="B193" s="110">
        <f t="shared" si="0"/>
        <v>2070</v>
      </c>
      <c r="C193" s="111">
        <f>[12]С2.5!$BC$11</f>
        <v>0</v>
      </c>
    </row>
    <row r="194" spans="2:3" hidden="1" x14ac:dyDescent="0.2">
      <c r="B194" s="110">
        <f t="shared" si="0"/>
        <v>2071</v>
      </c>
      <c r="C194" s="111">
        <f>[12]С2.5!$BD$11</f>
        <v>0</v>
      </c>
    </row>
    <row r="195" spans="2:3" hidden="1" x14ac:dyDescent="0.2">
      <c r="B195" s="110">
        <f t="shared" si="0"/>
        <v>2072</v>
      </c>
      <c r="C195" s="111">
        <f>[12]С2.5!$BE$11</f>
        <v>0</v>
      </c>
    </row>
    <row r="196" spans="2:3" hidden="1" x14ac:dyDescent="0.2">
      <c r="B196" s="110">
        <f t="shared" si="0"/>
        <v>2073</v>
      </c>
      <c r="C196" s="111">
        <f>[12]С2.5!$BF$11</f>
        <v>0</v>
      </c>
    </row>
    <row r="197" spans="2:3" hidden="1" x14ac:dyDescent="0.2">
      <c r="B197" s="110">
        <f t="shared" si="0"/>
        <v>2074</v>
      </c>
      <c r="C197" s="111">
        <f>[12]С2.5!$BG$11</f>
        <v>0</v>
      </c>
    </row>
    <row r="198" spans="2:3" hidden="1" x14ac:dyDescent="0.2">
      <c r="B198" s="110">
        <f t="shared" si="0"/>
        <v>2075</v>
      </c>
      <c r="C198" s="111">
        <f>[12]С2.5!$BH$11</f>
        <v>0</v>
      </c>
    </row>
    <row r="199" spans="2:3" hidden="1" x14ac:dyDescent="0.2">
      <c r="B199" s="110">
        <f t="shared" si="0"/>
        <v>2076</v>
      </c>
      <c r="C199" s="111">
        <f>[12]С2.5!$BI$11</f>
        <v>0</v>
      </c>
    </row>
    <row r="200" spans="2:3" hidden="1" x14ac:dyDescent="0.2">
      <c r="B200" s="110">
        <f t="shared" si="0"/>
        <v>2077</v>
      </c>
      <c r="C200" s="111">
        <f>[12]С2.5!$BJ$11</f>
        <v>0</v>
      </c>
    </row>
    <row r="201" spans="2:3" hidden="1" x14ac:dyDescent="0.2">
      <c r="B201" s="110">
        <f t="shared" si="0"/>
        <v>2078</v>
      </c>
      <c r="C201" s="111">
        <f>[12]С2.5!$BK$11</f>
        <v>0</v>
      </c>
    </row>
    <row r="202" spans="2:3" hidden="1" x14ac:dyDescent="0.2">
      <c r="B202" s="110">
        <f t="shared" si="0"/>
        <v>2079</v>
      </c>
      <c r="C202" s="111">
        <f>[12]С2.5!$BL$11</f>
        <v>0</v>
      </c>
    </row>
    <row r="203" spans="2:3" hidden="1" x14ac:dyDescent="0.2">
      <c r="B203" s="110">
        <f t="shared" si="0"/>
        <v>2080</v>
      </c>
      <c r="C203" s="111">
        <f>[12]С2.5!$BM$11</f>
        <v>0</v>
      </c>
    </row>
    <row r="204" spans="2:3" hidden="1" x14ac:dyDescent="0.2">
      <c r="B204" s="110">
        <f t="shared" si="0"/>
        <v>2081</v>
      </c>
      <c r="C204" s="111">
        <f>[12]С2.5!$BN$11</f>
        <v>0</v>
      </c>
    </row>
    <row r="205" spans="2:3" hidden="1" x14ac:dyDescent="0.2">
      <c r="B205" s="110">
        <f t="shared" si="0"/>
        <v>2082</v>
      </c>
      <c r="C205" s="111">
        <f>[12]С2.5!$BO$11</f>
        <v>0</v>
      </c>
    </row>
    <row r="206" spans="2:3" hidden="1" x14ac:dyDescent="0.2">
      <c r="B206" s="110">
        <f t="shared" si="0"/>
        <v>2083</v>
      </c>
      <c r="C206" s="111">
        <f>[12]С2.5!$BP$11</f>
        <v>0</v>
      </c>
    </row>
    <row r="207" spans="2:3" hidden="1" x14ac:dyDescent="0.2">
      <c r="B207" s="110">
        <f t="shared" si="0"/>
        <v>2084</v>
      </c>
      <c r="C207" s="111">
        <f>[12]С2.5!$BQ$11</f>
        <v>0</v>
      </c>
    </row>
    <row r="208" spans="2:3" hidden="1" x14ac:dyDescent="0.2">
      <c r="B208" s="110">
        <f t="shared" si="0"/>
        <v>2085</v>
      </c>
      <c r="C208" s="111">
        <f>[12]С2.5!$BR$11</f>
        <v>0</v>
      </c>
    </row>
    <row r="209" spans="2:3" hidden="1" x14ac:dyDescent="0.2">
      <c r="B209" s="110">
        <f t="shared" ref="B209:B223" si="1">B208+1</f>
        <v>2086</v>
      </c>
      <c r="C209" s="111">
        <f>[12]С2.5!$BS$11</f>
        <v>0</v>
      </c>
    </row>
    <row r="210" spans="2:3" hidden="1" x14ac:dyDescent="0.2">
      <c r="B210" s="110">
        <f t="shared" si="1"/>
        <v>2087</v>
      </c>
      <c r="C210" s="111">
        <f>[12]С2.5!$BT$11</f>
        <v>0</v>
      </c>
    </row>
    <row r="211" spans="2:3" hidden="1" x14ac:dyDescent="0.2">
      <c r="B211" s="110">
        <f t="shared" si="1"/>
        <v>2088</v>
      </c>
      <c r="C211" s="111">
        <f>[12]С2.5!$BU$11</f>
        <v>0</v>
      </c>
    </row>
    <row r="212" spans="2:3" hidden="1" x14ac:dyDescent="0.2">
      <c r="B212" s="110">
        <f t="shared" si="1"/>
        <v>2089</v>
      </c>
      <c r="C212" s="111">
        <f>[12]С2.5!$BV$11</f>
        <v>0</v>
      </c>
    </row>
    <row r="213" spans="2:3" hidden="1" x14ac:dyDescent="0.2">
      <c r="B213" s="110">
        <f t="shared" si="1"/>
        <v>2090</v>
      </c>
      <c r="C213" s="111">
        <f>[12]С2.5!$BW$11</f>
        <v>0</v>
      </c>
    </row>
    <row r="214" spans="2:3" hidden="1" x14ac:dyDescent="0.2">
      <c r="B214" s="110">
        <f t="shared" si="1"/>
        <v>2091</v>
      </c>
      <c r="C214" s="111">
        <f>[12]С2.5!$BX$11</f>
        <v>0</v>
      </c>
    </row>
    <row r="215" spans="2:3" hidden="1" x14ac:dyDescent="0.2">
      <c r="B215" s="110">
        <f t="shared" si="1"/>
        <v>2092</v>
      </c>
      <c r="C215" s="111">
        <f>[12]С2.5!$BY$11</f>
        <v>0</v>
      </c>
    </row>
    <row r="216" spans="2:3" hidden="1" x14ac:dyDescent="0.2">
      <c r="B216" s="110">
        <f t="shared" si="1"/>
        <v>2093</v>
      </c>
      <c r="C216" s="111">
        <f>[12]С2.5!$BZ$11</f>
        <v>0</v>
      </c>
    </row>
    <row r="217" spans="2:3" hidden="1" x14ac:dyDescent="0.2">
      <c r="B217" s="110">
        <f t="shared" si="1"/>
        <v>2094</v>
      </c>
      <c r="C217" s="111">
        <f>[12]С2.5!$CA$11</f>
        <v>0</v>
      </c>
    </row>
    <row r="218" spans="2:3" hidden="1" x14ac:dyDescent="0.2">
      <c r="B218" s="110">
        <f t="shared" si="1"/>
        <v>2095</v>
      </c>
      <c r="C218" s="111">
        <f>[12]С2.5!$CB$11</f>
        <v>0</v>
      </c>
    </row>
    <row r="219" spans="2:3" hidden="1" x14ac:dyDescent="0.2">
      <c r="B219" s="110">
        <f t="shared" si="1"/>
        <v>2096</v>
      </c>
      <c r="C219" s="111">
        <f>[12]С2.5!$CC$11</f>
        <v>0</v>
      </c>
    </row>
    <row r="220" spans="2:3" hidden="1" x14ac:dyDescent="0.2">
      <c r="B220" s="110">
        <f t="shared" si="1"/>
        <v>2097</v>
      </c>
      <c r="C220" s="111">
        <f>[12]С2.5!$CD$11</f>
        <v>0</v>
      </c>
    </row>
    <row r="221" spans="2:3" hidden="1" x14ac:dyDescent="0.2">
      <c r="B221" s="110">
        <f t="shared" si="1"/>
        <v>2098</v>
      </c>
      <c r="C221" s="111">
        <f>[12]С2.5!$CE$11</f>
        <v>0</v>
      </c>
    </row>
    <row r="222" spans="2:3" hidden="1" x14ac:dyDescent="0.2">
      <c r="B222" s="110">
        <f t="shared" si="1"/>
        <v>2099</v>
      </c>
      <c r="C222" s="111">
        <f>[12]С2.5!$CF$11</f>
        <v>0</v>
      </c>
    </row>
    <row r="223" spans="2:3" ht="13.5" hidden="1" thickBot="1" x14ac:dyDescent="0.25">
      <c r="B223" s="112">
        <f t="shared" si="1"/>
        <v>2100</v>
      </c>
      <c r="C223" s="113">
        <f>[12]С2.5!$CG$11</f>
        <v>0</v>
      </c>
    </row>
    <row r="224" spans="2:3" hidden="1" x14ac:dyDescent="0.2">
      <c r="C224" s="116"/>
    </row>
    <row r="225" spans="3:3" hidden="1" x14ac:dyDescent="0.2">
      <c r="C225" s="116"/>
    </row>
    <row r="226" spans="3:3" x14ac:dyDescent="0.2">
      <c r="C226" s="116"/>
    </row>
  </sheetData>
  <mergeCells count="9">
    <mergeCell ref="B141:C141"/>
    <mergeCell ref="A14:C14"/>
    <mergeCell ref="B1:C1"/>
    <mergeCell ref="B27:C27"/>
    <mergeCell ref="B40:C40"/>
    <mergeCell ref="B84:C84"/>
    <mergeCell ref="B95:C95"/>
    <mergeCell ref="B124:C124"/>
    <mergeCell ref="B127:C12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Button 1">
              <controlPr defaultSize="0" print="0" autoFill="0" autoPict="0" macro="[8]!Лист29.PrintBlock">
                <anchor moveWithCells="1" sizeWithCells="1">
                  <from>
                    <xdr:col>3</xdr:col>
                    <xdr:colOff>0</xdr:colOff>
                    <xdr:row>0</xdr:row>
                    <xdr:rowOff>85725</xdr:rowOff>
                  </from>
                  <to>
                    <xdr:col>4</xdr:col>
                    <xdr:colOff>0</xdr:colOff>
                    <xdr:row>0</xdr:row>
                    <xdr:rowOff>238125</xdr:rowOff>
                  </to>
                </anchor>
              </controlPr>
            </control>
          </mc:Choice>
        </mc:AlternateContent>
        <mc:AlternateContent xmlns:mc="http://schemas.openxmlformats.org/markup-compatibility/2006">
          <mc:Choice Requires="x14">
            <control shapeId="8194" r:id="rId4" name="Button 2">
              <controlPr defaultSize="0" print="0" autoFill="0" autoPict="0" macro="[12]!Лист29.PrintBlock">
                <anchor moveWithCells="1" sizeWithCells="1">
                  <from>
                    <xdr:col>3</xdr:col>
                    <xdr:colOff>38100</xdr:colOff>
                    <xdr:row>0</xdr:row>
                    <xdr:rowOff>85725</xdr:rowOff>
                  </from>
                  <to>
                    <xdr:col>4</xdr:col>
                    <xdr:colOff>1000125</xdr:colOff>
                    <xdr:row>0</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26"/>
  <sheetViews>
    <sheetView workbookViewId="0">
      <selection activeCell="C2" sqref="C2"/>
    </sheetView>
  </sheetViews>
  <sheetFormatPr defaultRowHeight="12.75" x14ac:dyDescent="0.2"/>
  <cols>
    <col min="1" max="1" width="7.28515625" style="2" customWidth="1"/>
    <col min="2" max="2" width="100.7109375" style="2" customWidth="1"/>
    <col min="3" max="3" width="20.85546875" style="139" customWidth="1"/>
    <col min="4" max="4" width="22.85546875" style="159" customWidth="1"/>
    <col min="5" max="5" width="5.140625" style="2" customWidth="1"/>
    <col min="6" max="6" width="17.5703125" style="2" customWidth="1"/>
    <col min="7" max="159" width="9.140625" style="2"/>
    <col min="160" max="241" width="0" style="2" hidden="1" customWidth="1"/>
    <col min="242" max="250" width="9.140625" style="2"/>
    <col min="251" max="251" width="3.7109375" style="2" customWidth="1"/>
    <col min="252" max="252" width="96.85546875" style="2" customWidth="1"/>
    <col min="253" max="253" width="30.85546875" style="2" customWidth="1"/>
    <col min="254" max="254" width="12.5703125" style="2" customWidth="1"/>
    <col min="255" max="255" width="5.140625" style="2" customWidth="1"/>
    <col min="256" max="256" width="9.140625" style="2"/>
    <col min="257" max="257" width="4.85546875" style="2" customWidth="1"/>
    <col min="258" max="258" width="30.5703125" style="2" customWidth="1"/>
    <col min="259" max="259" width="33.85546875" style="2" customWidth="1"/>
    <col min="260" max="260" width="5.140625" style="2" customWidth="1"/>
    <col min="261" max="262" width="17.5703125" style="2" customWidth="1"/>
    <col min="263" max="506" width="9.140625" style="2"/>
    <col min="507" max="507" width="3.7109375" style="2" customWidth="1"/>
    <col min="508" max="508" width="96.85546875" style="2" customWidth="1"/>
    <col min="509" max="509" width="30.85546875" style="2" customWidth="1"/>
    <col min="510" max="510" width="12.5703125" style="2" customWidth="1"/>
    <col min="511" max="511" width="5.140625" style="2" customWidth="1"/>
    <col min="512" max="512" width="9.140625" style="2"/>
    <col min="513" max="513" width="4.85546875" style="2" customWidth="1"/>
    <col min="514" max="514" width="30.5703125" style="2" customWidth="1"/>
    <col min="515" max="515" width="33.85546875" style="2" customWidth="1"/>
    <col min="516" max="516" width="5.140625" style="2" customWidth="1"/>
    <col min="517" max="518" width="17.5703125" style="2" customWidth="1"/>
    <col min="519" max="762" width="9.140625" style="2"/>
    <col min="763" max="763" width="3.7109375" style="2" customWidth="1"/>
    <col min="764" max="764" width="96.85546875" style="2" customWidth="1"/>
    <col min="765" max="765" width="30.85546875" style="2" customWidth="1"/>
    <col min="766" max="766" width="12.5703125" style="2" customWidth="1"/>
    <col min="767" max="767" width="5.140625" style="2" customWidth="1"/>
    <col min="768" max="768" width="9.140625" style="2"/>
    <col min="769" max="769" width="4.85546875" style="2" customWidth="1"/>
    <col min="770" max="770" width="30.5703125" style="2" customWidth="1"/>
    <col min="771" max="771" width="33.85546875" style="2" customWidth="1"/>
    <col min="772" max="772" width="5.140625" style="2" customWidth="1"/>
    <col min="773" max="774" width="17.5703125" style="2" customWidth="1"/>
    <col min="775" max="1018" width="9.140625" style="2"/>
    <col min="1019" max="1019" width="3.7109375" style="2" customWidth="1"/>
    <col min="1020" max="1020" width="96.85546875" style="2" customWidth="1"/>
    <col min="1021" max="1021" width="30.85546875" style="2" customWidth="1"/>
    <col min="1022" max="1022" width="12.5703125" style="2" customWidth="1"/>
    <col min="1023" max="1023" width="5.140625" style="2" customWidth="1"/>
    <col min="1024" max="1024" width="9.140625" style="2"/>
    <col min="1025" max="1025" width="4.85546875" style="2" customWidth="1"/>
    <col min="1026" max="1026" width="30.5703125" style="2" customWidth="1"/>
    <col min="1027" max="1027" width="33.85546875" style="2" customWidth="1"/>
    <col min="1028" max="1028" width="5.140625" style="2" customWidth="1"/>
    <col min="1029" max="1030" width="17.5703125" style="2" customWidth="1"/>
    <col min="1031" max="1274" width="9.140625" style="2"/>
    <col min="1275" max="1275" width="3.7109375" style="2" customWidth="1"/>
    <col min="1276" max="1276" width="96.85546875" style="2" customWidth="1"/>
    <col min="1277" max="1277" width="30.85546875" style="2" customWidth="1"/>
    <col min="1278" max="1278" width="12.5703125" style="2" customWidth="1"/>
    <col min="1279" max="1279" width="5.140625" style="2" customWidth="1"/>
    <col min="1280" max="1280" width="9.140625" style="2"/>
    <col min="1281" max="1281" width="4.85546875" style="2" customWidth="1"/>
    <col min="1282" max="1282" width="30.5703125" style="2" customWidth="1"/>
    <col min="1283" max="1283" width="33.85546875" style="2" customWidth="1"/>
    <col min="1284" max="1284" width="5.140625" style="2" customWidth="1"/>
    <col min="1285" max="1286" width="17.5703125" style="2" customWidth="1"/>
    <col min="1287" max="1530" width="9.140625" style="2"/>
    <col min="1531" max="1531" width="3.7109375" style="2" customWidth="1"/>
    <col min="1532" max="1532" width="96.85546875" style="2" customWidth="1"/>
    <col min="1533" max="1533" width="30.85546875" style="2" customWidth="1"/>
    <col min="1534" max="1534" width="12.5703125" style="2" customWidth="1"/>
    <col min="1535" max="1535" width="5.140625" style="2" customWidth="1"/>
    <col min="1536" max="1536" width="9.140625" style="2"/>
    <col min="1537" max="1537" width="4.85546875" style="2" customWidth="1"/>
    <col min="1538" max="1538" width="30.5703125" style="2" customWidth="1"/>
    <col min="1539" max="1539" width="33.85546875" style="2" customWidth="1"/>
    <col min="1540" max="1540" width="5.140625" style="2" customWidth="1"/>
    <col min="1541" max="1542" width="17.5703125" style="2" customWidth="1"/>
    <col min="1543" max="1786" width="9.140625" style="2"/>
    <col min="1787" max="1787" width="3.7109375" style="2" customWidth="1"/>
    <col min="1788" max="1788" width="96.85546875" style="2" customWidth="1"/>
    <col min="1789" max="1789" width="30.85546875" style="2" customWidth="1"/>
    <col min="1790" max="1790" width="12.5703125" style="2" customWidth="1"/>
    <col min="1791" max="1791" width="5.140625" style="2" customWidth="1"/>
    <col min="1792" max="1792" width="9.140625" style="2"/>
    <col min="1793" max="1793" width="4.85546875" style="2" customWidth="1"/>
    <col min="1794" max="1794" width="30.5703125" style="2" customWidth="1"/>
    <col min="1795" max="1795" width="33.85546875" style="2" customWidth="1"/>
    <col min="1796" max="1796" width="5.140625" style="2" customWidth="1"/>
    <col min="1797" max="1798" width="17.5703125" style="2" customWidth="1"/>
    <col min="1799" max="2042" width="9.140625" style="2"/>
    <col min="2043" max="2043" width="3.7109375" style="2" customWidth="1"/>
    <col min="2044" max="2044" width="96.85546875" style="2" customWidth="1"/>
    <col min="2045" max="2045" width="30.85546875" style="2" customWidth="1"/>
    <col min="2046" max="2046" width="12.5703125" style="2" customWidth="1"/>
    <col min="2047" max="2047" width="5.140625" style="2" customWidth="1"/>
    <col min="2048" max="2048" width="9.140625" style="2"/>
    <col min="2049" max="2049" width="4.85546875" style="2" customWidth="1"/>
    <col min="2050" max="2050" width="30.5703125" style="2" customWidth="1"/>
    <col min="2051" max="2051" width="33.85546875" style="2" customWidth="1"/>
    <col min="2052" max="2052" width="5.140625" style="2" customWidth="1"/>
    <col min="2053" max="2054" width="17.5703125" style="2" customWidth="1"/>
    <col min="2055" max="2298" width="9.140625" style="2"/>
    <col min="2299" max="2299" width="3.7109375" style="2" customWidth="1"/>
    <col min="2300" max="2300" width="96.85546875" style="2" customWidth="1"/>
    <col min="2301" max="2301" width="30.85546875" style="2" customWidth="1"/>
    <col min="2302" max="2302" width="12.5703125" style="2" customWidth="1"/>
    <col min="2303" max="2303" width="5.140625" style="2" customWidth="1"/>
    <col min="2304" max="2304" width="9.140625" style="2"/>
    <col min="2305" max="2305" width="4.85546875" style="2" customWidth="1"/>
    <col min="2306" max="2306" width="30.5703125" style="2" customWidth="1"/>
    <col min="2307" max="2307" width="33.85546875" style="2" customWidth="1"/>
    <col min="2308" max="2308" width="5.140625" style="2" customWidth="1"/>
    <col min="2309" max="2310" width="17.5703125" style="2" customWidth="1"/>
    <col min="2311" max="2554" width="9.140625" style="2"/>
    <col min="2555" max="2555" width="3.7109375" style="2" customWidth="1"/>
    <col min="2556" max="2556" width="96.85546875" style="2" customWidth="1"/>
    <col min="2557" max="2557" width="30.85546875" style="2" customWidth="1"/>
    <col min="2558" max="2558" width="12.5703125" style="2" customWidth="1"/>
    <col min="2559" max="2559" width="5.140625" style="2" customWidth="1"/>
    <col min="2560" max="2560" width="9.140625" style="2"/>
    <col min="2561" max="2561" width="4.85546875" style="2" customWidth="1"/>
    <col min="2562" max="2562" width="30.5703125" style="2" customWidth="1"/>
    <col min="2563" max="2563" width="33.85546875" style="2" customWidth="1"/>
    <col min="2564" max="2564" width="5.140625" style="2" customWidth="1"/>
    <col min="2565" max="2566" width="17.5703125" style="2" customWidth="1"/>
    <col min="2567" max="2810" width="9.140625" style="2"/>
    <col min="2811" max="2811" width="3.7109375" style="2" customWidth="1"/>
    <col min="2812" max="2812" width="96.85546875" style="2" customWidth="1"/>
    <col min="2813" max="2813" width="30.85546875" style="2" customWidth="1"/>
    <col min="2814" max="2814" width="12.5703125" style="2" customWidth="1"/>
    <col min="2815" max="2815" width="5.140625" style="2" customWidth="1"/>
    <col min="2816" max="2816" width="9.140625" style="2"/>
    <col min="2817" max="2817" width="4.85546875" style="2" customWidth="1"/>
    <col min="2818" max="2818" width="30.5703125" style="2" customWidth="1"/>
    <col min="2819" max="2819" width="33.85546875" style="2" customWidth="1"/>
    <col min="2820" max="2820" width="5.140625" style="2" customWidth="1"/>
    <col min="2821" max="2822" width="17.5703125" style="2" customWidth="1"/>
    <col min="2823" max="3066" width="9.140625" style="2"/>
    <col min="3067" max="3067" width="3.7109375" style="2" customWidth="1"/>
    <col min="3068" max="3068" width="96.85546875" style="2" customWidth="1"/>
    <col min="3069" max="3069" width="30.85546875" style="2" customWidth="1"/>
    <col min="3070" max="3070" width="12.5703125" style="2" customWidth="1"/>
    <col min="3071" max="3071" width="5.140625" style="2" customWidth="1"/>
    <col min="3072" max="3072" width="9.140625" style="2"/>
    <col min="3073" max="3073" width="4.85546875" style="2" customWidth="1"/>
    <col min="3074" max="3074" width="30.5703125" style="2" customWidth="1"/>
    <col min="3075" max="3075" width="33.85546875" style="2" customWidth="1"/>
    <col min="3076" max="3076" width="5.140625" style="2" customWidth="1"/>
    <col min="3077" max="3078" width="17.5703125" style="2" customWidth="1"/>
    <col min="3079" max="3322" width="9.140625" style="2"/>
    <col min="3323" max="3323" width="3.7109375" style="2" customWidth="1"/>
    <col min="3324" max="3324" width="96.85546875" style="2" customWidth="1"/>
    <col min="3325" max="3325" width="30.85546875" style="2" customWidth="1"/>
    <col min="3326" max="3326" width="12.5703125" style="2" customWidth="1"/>
    <col min="3327" max="3327" width="5.140625" style="2" customWidth="1"/>
    <col min="3328" max="3328" width="9.140625" style="2"/>
    <col min="3329" max="3329" width="4.85546875" style="2" customWidth="1"/>
    <col min="3330" max="3330" width="30.5703125" style="2" customWidth="1"/>
    <col min="3331" max="3331" width="33.85546875" style="2" customWidth="1"/>
    <col min="3332" max="3332" width="5.140625" style="2" customWidth="1"/>
    <col min="3333" max="3334" width="17.5703125" style="2" customWidth="1"/>
    <col min="3335" max="3578" width="9.140625" style="2"/>
    <col min="3579" max="3579" width="3.7109375" style="2" customWidth="1"/>
    <col min="3580" max="3580" width="96.85546875" style="2" customWidth="1"/>
    <col min="3581" max="3581" width="30.85546875" style="2" customWidth="1"/>
    <col min="3582" max="3582" width="12.5703125" style="2" customWidth="1"/>
    <col min="3583" max="3583" width="5.140625" style="2" customWidth="1"/>
    <col min="3584" max="3584" width="9.140625" style="2"/>
    <col min="3585" max="3585" width="4.85546875" style="2" customWidth="1"/>
    <col min="3586" max="3586" width="30.5703125" style="2" customWidth="1"/>
    <col min="3587" max="3587" width="33.85546875" style="2" customWidth="1"/>
    <col min="3588" max="3588" width="5.140625" style="2" customWidth="1"/>
    <col min="3589" max="3590" width="17.5703125" style="2" customWidth="1"/>
    <col min="3591" max="3834" width="9.140625" style="2"/>
    <col min="3835" max="3835" width="3.7109375" style="2" customWidth="1"/>
    <col min="3836" max="3836" width="96.85546875" style="2" customWidth="1"/>
    <col min="3837" max="3837" width="30.85546875" style="2" customWidth="1"/>
    <col min="3838" max="3838" width="12.5703125" style="2" customWidth="1"/>
    <col min="3839" max="3839" width="5.140625" style="2" customWidth="1"/>
    <col min="3840" max="3840" width="9.140625" style="2"/>
    <col min="3841" max="3841" width="4.85546875" style="2" customWidth="1"/>
    <col min="3842" max="3842" width="30.5703125" style="2" customWidth="1"/>
    <col min="3843" max="3843" width="33.85546875" style="2" customWidth="1"/>
    <col min="3844" max="3844" width="5.140625" style="2" customWidth="1"/>
    <col min="3845" max="3846" width="17.5703125" style="2" customWidth="1"/>
    <col min="3847" max="4090" width="9.140625" style="2"/>
    <col min="4091" max="4091" width="3.7109375" style="2" customWidth="1"/>
    <col min="4092" max="4092" width="96.85546875" style="2" customWidth="1"/>
    <col min="4093" max="4093" width="30.85546875" style="2" customWidth="1"/>
    <col min="4094" max="4094" width="12.5703125" style="2" customWidth="1"/>
    <col min="4095" max="4095" width="5.140625" style="2" customWidth="1"/>
    <col min="4096" max="4096" width="9.140625" style="2"/>
    <col min="4097" max="4097" width="4.85546875" style="2" customWidth="1"/>
    <col min="4098" max="4098" width="30.5703125" style="2" customWidth="1"/>
    <col min="4099" max="4099" width="33.85546875" style="2" customWidth="1"/>
    <col min="4100" max="4100" width="5.140625" style="2" customWidth="1"/>
    <col min="4101" max="4102" width="17.5703125" style="2" customWidth="1"/>
    <col min="4103" max="4346" width="9.140625" style="2"/>
    <col min="4347" max="4347" width="3.7109375" style="2" customWidth="1"/>
    <col min="4348" max="4348" width="96.85546875" style="2" customWidth="1"/>
    <col min="4349" max="4349" width="30.85546875" style="2" customWidth="1"/>
    <col min="4350" max="4350" width="12.5703125" style="2" customWidth="1"/>
    <col min="4351" max="4351" width="5.140625" style="2" customWidth="1"/>
    <col min="4352" max="4352" width="9.140625" style="2"/>
    <col min="4353" max="4353" width="4.85546875" style="2" customWidth="1"/>
    <col min="4354" max="4354" width="30.5703125" style="2" customWidth="1"/>
    <col min="4355" max="4355" width="33.85546875" style="2" customWidth="1"/>
    <col min="4356" max="4356" width="5.140625" style="2" customWidth="1"/>
    <col min="4357" max="4358" width="17.5703125" style="2" customWidth="1"/>
    <col min="4359" max="4602" width="9.140625" style="2"/>
    <col min="4603" max="4603" width="3.7109375" style="2" customWidth="1"/>
    <col min="4604" max="4604" width="96.85546875" style="2" customWidth="1"/>
    <col min="4605" max="4605" width="30.85546875" style="2" customWidth="1"/>
    <col min="4606" max="4606" width="12.5703125" style="2" customWidth="1"/>
    <col min="4607" max="4607" width="5.140625" style="2" customWidth="1"/>
    <col min="4608" max="4608" width="9.140625" style="2"/>
    <col min="4609" max="4609" width="4.85546875" style="2" customWidth="1"/>
    <col min="4610" max="4610" width="30.5703125" style="2" customWidth="1"/>
    <col min="4611" max="4611" width="33.85546875" style="2" customWidth="1"/>
    <col min="4612" max="4612" width="5.140625" style="2" customWidth="1"/>
    <col min="4613" max="4614" width="17.5703125" style="2" customWidth="1"/>
    <col min="4615" max="4858" width="9.140625" style="2"/>
    <col min="4859" max="4859" width="3.7109375" style="2" customWidth="1"/>
    <col min="4860" max="4860" width="96.85546875" style="2" customWidth="1"/>
    <col min="4861" max="4861" width="30.85546875" style="2" customWidth="1"/>
    <col min="4862" max="4862" width="12.5703125" style="2" customWidth="1"/>
    <col min="4863" max="4863" width="5.140625" style="2" customWidth="1"/>
    <col min="4864" max="4864" width="9.140625" style="2"/>
    <col min="4865" max="4865" width="4.85546875" style="2" customWidth="1"/>
    <col min="4866" max="4866" width="30.5703125" style="2" customWidth="1"/>
    <col min="4867" max="4867" width="33.85546875" style="2" customWidth="1"/>
    <col min="4868" max="4868" width="5.140625" style="2" customWidth="1"/>
    <col min="4869" max="4870" width="17.5703125" style="2" customWidth="1"/>
    <col min="4871" max="5114" width="9.140625" style="2"/>
    <col min="5115" max="5115" width="3.7109375" style="2" customWidth="1"/>
    <col min="5116" max="5116" width="96.85546875" style="2" customWidth="1"/>
    <col min="5117" max="5117" width="30.85546875" style="2" customWidth="1"/>
    <col min="5118" max="5118" width="12.5703125" style="2" customWidth="1"/>
    <col min="5119" max="5119" width="5.140625" style="2" customWidth="1"/>
    <col min="5120" max="5120" width="9.140625" style="2"/>
    <col min="5121" max="5121" width="4.85546875" style="2" customWidth="1"/>
    <col min="5122" max="5122" width="30.5703125" style="2" customWidth="1"/>
    <col min="5123" max="5123" width="33.85546875" style="2" customWidth="1"/>
    <col min="5124" max="5124" width="5.140625" style="2" customWidth="1"/>
    <col min="5125" max="5126" width="17.5703125" style="2" customWidth="1"/>
    <col min="5127" max="5370" width="9.140625" style="2"/>
    <col min="5371" max="5371" width="3.7109375" style="2" customWidth="1"/>
    <col min="5372" max="5372" width="96.85546875" style="2" customWidth="1"/>
    <col min="5373" max="5373" width="30.85546875" style="2" customWidth="1"/>
    <col min="5374" max="5374" width="12.5703125" style="2" customWidth="1"/>
    <col min="5375" max="5375" width="5.140625" style="2" customWidth="1"/>
    <col min="5376" max="5376" width="9.140625" style="2"/>
    <col min="5377" max="5377" width="4.85546875" style="2" customWidth="1"/>
    <col min="5378" max="5378" width="30.5703125" style="2" customWidth="1"/>
    <col min="5379" max="5379" width="33.85546875" style="2" customWidth="1"/>
    <col min="5380" max="5380" width="5.140625" style="2" customWidth="1"/>
    <col min="5381" max="5382" width="17.5703125" style="2" customWidth="1"/>
    <col min="5383" max="5626" width="9.140625" style="2"/>
    <col min="5627" max="5627" width="3.7109375" style="2" customWidth="1"/>
    <col min="5628" max="5628" width="96.85546875" style="2" customWidth="1"/>
    <col min="5629" max="5629" width="30.85546875" style="2" customWidth="1"/>
    <col min="5630" max="5630" width="12.5703125" style="2" customWidth="1"/>
    <col min="5631" max="5631" width="5.140625" style="2" customWidth="1"/>
    <col min="5632" max="5632" width="9.140625" style="2"/>
    <col min="5633" max="5633" width="4.85546875" style="2" customWidth="1"/>
    <col min="5634" max="5634" width="30.5703125" style="2" customWidth="1"/>
    <col min="5635" max="5635" width="33.85546875" style="2" customWidth="1"/>
    <col min="5636" max="5636" width="5.140625" style="2" customWidth="1"/>
    <col min="5637" max="5638" width="17.5703125" style="2" customWidth="1"/>
    <col min="5639" max="5882" width="9.140625" style="2"/>
    <col min="5883" max="5883" width="3.7109375" style="2" customWidth="1"/>
    <col min="5884" max="5884" width="96.85546875" style="2" customWidth="1"/>
    <col min="5885" max="5885" width="30.85546875" style="2" customWidth="1"/>
    <col min="5886" max="5886" width="12.5703125" style="2" customWidth="1"/>
    <col min="5887" max="5887" width="5.140625" style="2" customWidth="1"/>
    <col min="5888" max="5888" width="9.140625" style="2"/>
    <col min="5889" max="5889" width="4.85546875" style="2" customWidth="1"/>
    <col min="5890" max="5890" width="30.5703125" style="2" customWidth="1"/>
    <col min="5891" max="5891" width="33.85546875" style="2" customWidth="1"/>
    <col min="5892" max="5892" width="5.140625" style="2" customWidth="1"/>
    <col min="5893" max="5894" width="17.5703125" style="2" customWidth="1"/>
    <col min="5895" max="6138" width="9.140625" style="2"/>
    <col min="6139" max="6139" width="3.7109375" style="2" customWidth="1"/>
    <col min="6140" max="6140" width="96.85546875" style="2" customWidth="1"/>
    <col min="6141" max="6141" width="30.85546875" style="2" customWidth="1"/>
    <col min="6142" max="6142" width="12.5703125" style="2" customWidth="1"/>
    <col min="6143" max="6143" width="5.140625" style="2" customWidth="1"/>
    <col min="6144" max="6144" width="9.140625" style="2"/>
    <col min="6145" max="6145" width="4.85546875" style="2" customWidth="1"/>
    <col min="6146" max="6146" width="30.5703125" style="2" customWidth="1"/>
    <col min="6147" max="6147" width="33.85546875" style="2" customWidth="1"/>
    <col min="6148" max="6148" width="5.140625" style="2" customWidth="1"/>
    <col min="6149" max="6150" width="17.5703125" style="2" customWidth="1"/>
    <col min="6151" max="6394" width="9.140625" style="2"/>
    <col min="6395" max="6395" width="3.7109375" style="2" customWidth="1"/>
    <col min="6396" max="6396" width="96.85546875" style="2" customWidth="1"/>
    <col min="6397" max="6397" width="30.85546875" style="2" customWidth="1"/>
    <col min="6398" max="6398" width="12.5703125" style="2" customWidth="1"/>
    <col min="6399" max="6399" width="5.140625" style="2" customWidth="1"/>
    <col min="6400" max="6400" width="9.140625" style="2"/>
    <col min="6401" max="6401" width="4.85546875" style="2" customWidth="1"/>
    <col min="6402" max="6402" width="30.5703125" style="2" customWidth="1"/>
    <col min="6403" max="6403" width="33.85546875" style="2" customWidth="1"/>
    <col min="6404" max="6404" width="5.140625" style="2" customWidth="1"/>
    <col min="6405" max="6406" width="17.5703125" style="2" customWidth="1"/>
    <col min="6407" max="6650" width="9.140625" style="2"/>
    <col min="6651" max="6651" width="3.7109375" style="2" customWidth="1"/>
    <col min="6652" max="6652" width="96.85546875" style="2" customWidth="1"/>
    <col min="6653" max="6653" width="30.85546875" style="2" customWidth="1"/>
    <col min="6654" max="6654" width="12.5703125" style="2" customWidth="1"/>
    <col min="6655" max="6655" width="5.140625" style="2" customWidth="1"/>
    <col min="6656" max="6656" width="9.140625" style="2"/>
    <col min="6657" max="6657" width="4.85546875" style="2" customWidth="1"/>
    <col min="6658" max="6658" width="30.5703125" style="2" customWidth="1"/>
    <col min="6659" max="6659" width="33.85546875" style="2" customWidth="1"/>
    <col min="6660" max="6660" width="5.140625" style="2" customWidth="1"/>
    <col min="6661" max="6662" width="17.5703125" style="2" customWidth="1"/>
    <col min="6663" max="6906" width="9.140625" style="2"/>
    <col min="6907" max="6907" width="3.7109375" style="2" customWidth="1"/>
    <col min="6908" max="6908" width="96.85546875" style="2" customWidth="1"/>
    <col min="6909" max="6909" width="30.85546875" style="2" customWidth="1"/>
    <col min="6910" max="6910" width="12.5703125" style="2" customWidth="1"/>
    <col min="6911" max="6911" width="5.140625" style="2" customWidth="1"/>
    <col min="6912" max="6912" width="9.140625" style="2"/>
    <col min="6913" max="6913" width="4.85546875" style="2" customWidth="1"/>
    <col min="6914" max="6914" width="30.5703125" style="2" customWidth="1"/>
    <col min="6915" max="6915" width="33.85546875" style="2" customWidth="1"/>
    <col min="6916" max="6916" width="5.140625" style="2" customWidth="1"/>
    <col min="6917" max="6918" width="17.5703125" style="2" customWidth="1"/>
    <col min="6919" max="7162" width="9.140625" style="2"/>
    <col min="7163" max="7163" width="3.7109375" style="2" customWidth="1"/>
    <col min="7164" max="7164" width="96.85546875" style="2" customWidth="1"/>
    <col min="7165" max="7165" width="30.85546875" style="2" customWidth="1"/>
    <col min="7166" max="7166" width="12.5703125" style="2" customWidth="1"/>
    <col min="7167" max="7167" width="5.140625" style="2" customWidth="1"/>
    <col min="7168" max="7168" width="9.140625" style="2"/>
    <col min="7169" max="7169" width="4.85546875" style="2" customWidth="1"/>
    <col min="7170" max="7170" width="30.5703125" style="2" customWidth="1"/>
    <col min="7171" max="7171" width="33.85546875" style="2" customWidth="1"/>
    <col min="7172" max="7172" width="5.140625" style="2" customWidth="1"/>
    <col min="7173" max="7174" width="17.5703125" style="2" customWidth="1"/>
    <col min="7175" max="7418" width="9.140625" style="2"/>
    <col min="7419" max="7419" width="3.7109375" style="2" customWidth="1"/>
    <col min="7420" max="7420" width="96.85546875" style="2" customWidth="1"/>
    <col min="7421" max="7421" width="30.85546875" style="2" customWidth="1"/>
    <col min="7422" max="7422" width="12.5703125" style="2" customWidth="1"/>
    <col min="7423" max="7423" width="5.140625" style="2" customWidth="1"/>
    <col min="7424" max="7424" width="9.140625" style="2"/>
    <col min="7425" max="7425" width="4.85546875" style="2" customWidth="1"/>
    <col min="7426" max="7426" width="30.5703125" style="2" customWidth="1"/>
    <col min="7427" max="7427" width="33.85546875" style="2" customWidth="1"/>
    <col min="7428" max="7428" width="5.140625" style="2" customWidth="1"/>
    <col min="7429" max="7430" width="17.5703125" style="2" customWidth="1"/>
    <col min="7431" max="7674" width="9.140625" style="2"/>
    <col min="7675" max="7675" width="3.7109375" style="2" customWidth="1"/>
    <col min="7676" max="7676" width="96.85546875" style="2" customWidth="1"/>
    <col min="7677" max="7677" width="30.85546875" style="2" customWidth="1"/>
    <col min="7678" max="7678" width="12.5703125" style="2" customWidth="1"/>
    <col min="7679" max="7679" width="5.140625" style="2" customWidth="1"/>
    <col min="7680" max="7680" width="9.140625" style="2"/>
    <col min="7681" max="7681" width="4.85546875" style="2" customWidth="1"/>
    <col min="7682" max="7682" width="30.5703125" style="2" customWidth="1"/>
    <col min="7683" max="7683" width="33.85546875" style="2" customWidth="1"/>
    <col min="7684" max="7684" width="5.140625" style="2" customWidth="1"/>
    <col min="7685" max="7686" width="17.5703125" style="2" customWidth="1"/>
    <col min="7687" max="7930" width="9.140625" style="2"/>
    <col min="7931" max="7931" width="3.7109375" style="2" customWidth="1"/>
    <col min="7932" max="7932" width="96.85546875" style="2" customWidth="1"/>
    <col min="7933" max="7933" width="30.85546875" style="2" customWidth="1"/>
    <col min="7934" max="7934" width="12.5703125" style="2" customWidth="1"/>
    <col min="7935" max="7935" width="5.140625" style="2" customWidth="1"/>
    <col min="7936" max="7936" width="9.140625" style="2"/>
    <col min="7937" max="7937" width="4.85546875" style="2" customWidth="1"/>
    <col min="7938" max="7938" width="30.5703125" style="2" customWidth="1"/>
    <col min="7939" max="7939" width="33.85546875" style="2" customWidth="1"/>
    <col min="7940" max="7940" width="5.140625" style="2" customWidth="1"/>
    <col min="7941" max="7942" width="17.5703125" style="2" customWidth="1"/>
    <col min="7943" max="8186" width="9.140625" style="2"/>
    <col min="8187" max="8187" width="3.7109375" style="2" customWidth="1"/>
    <col min="8188" max="8188" width="96.85546875" style="2" customWidth="1"/>
    <col min="8189" max="8189" width="30.85546875" style="2" customWidth="1"/>
    <col min="8190" max="8190" width="12.5703125" style="2" customWidth="1"/>
    <col min="8191" max="8191" width="5.140625" style="2" customWidth="1"/>
    <col min="8192" max="8192" width="9.140625" style="2"/>
    <col min="8193" max="8193" width="4.85546875" style="2" customWidth="1"/>
    <col min="8194" max="8194" width="30.5703125" style="2" customWidth="1"/>
    <col min="8195" max="8195" width="33.85546875" style="2" customWidth="1"/>
    <col min="8196" max="8196" width="5.140625" style="2" customWidth="1"/>
    <col min="8197" max="8198" width="17.5703125" style="2" customWidth="1"/>
    <col min="8199" max="8442" width="9.140625" style="2"/>
    <col min="8443" max="8443" width="3.7109375" style="2" customWidth="1"/>
    <col min="8444" max="8444" width="96.85546875" style="2" customWidth="1"/>
    <col min="8445" max="8445" width="30.85546875" style="2" customWidth="1"/>
    <col min="8446" max="8446" width="12.5703125" style="2" customWidth="1"/>
    <col min="8447" max="8447" width="5.140625" style="2" customWidth="1"/>
    <col min="8448" max="8448" width="9.140625" style="2"/>
    <col min="8449" max="8449" width="4.85546875" style="2" customWidth="1"/>
    <col min="8450" max="8450" width="30.5703125" style="2" customWidth="1"/>
    <col min="8451" max="8451" width="33.85546875" style="2" customWidth="1"/>
    <col min="8452" max="8452" width="5.140625" style="2" customWidth="1"/>
    <col min="8453" max="8454" width="17.5703125" style="2" customWidth="1"/>
    <col min="8455" max="8698" width="9.140625" style="2"/>
    <col min="8699" max="8699" width="3.7109375" style="2" customWidth="1"/>
    <col min="8700" max="8700" width="96.85546875" style="2" customWidth="1"/>
    <col min="8701" max="8701" width="30.85546875" style="2" customWidth="1"/>
    <col min="8702" max="8702" width="12.5703125" style="2" customWidth="1"/>
    <col min="8703" max="8703" width="5.140625" style="2" customWidth="1"/>
    <col min="8704" max="8704" width="9.140625" style="2"/>
    <col min="8705" max="8705" width="4.85546875" style="2" customWidth="1"/>
    <col min="8706" max="8706" width="30.5703125" style="2" customWidth="1"/>
    <col min="8707" max="8707" width="33.85546875" style="2" customWidth="1"/>
    <col min="8708" max="8708" width="5.140625" style="2" customWidth="1"/>
    <col min="8709" max="8710" width="17.5703125" style="2" customWidth="1"/>
    <col min="8711" max="8954" width="9.140625" style="2"/>
    <col min="8955" max="8955" width="3.7109375" style="2" customWidth="1"/>
    <col min="8956" max="8956" width="96.85546875" style="2" customWidth="1"/>
    <col min="8957" max="8957" width="30.85546875" style="2" customWidth="1"/>
    <col min="8958" max="8958" width="12.5703125" style="2" customWidth="1"/>
    <col min="8959" max="8959" width="5.140625" style="2" customWidth="1"/>
    <col min="8960" max="8960" width="9.140625" style="2"/>
    <col min="8961" max="8961" width="4.85546875" style="2" customWidth="1"/>
    <col min="8962" max="8962" width="30.5703125" style="2" customWidth="1"/>
    <col min="8963" max="8963" width="33.85546875" style="2" customWidth="1"/>
    <col min="8964" max="8964" width="5.140625" style="2" customWidth="1"/>
    <col min="8965" max="8966" width="17.5703125" style="2" customWidth="1"/>
    <col min="8967" max="9210" width="9.140625" style="2"/>
    <col min="9211" max="9211" width="3.7109375" style="2" customWidth="1"/>
    <col min="9212" max="9212" width="96.85546875" style="2" customWidth="1"/>
    <col min="9213" max="9213" width="30.85546875" style="2" customWidth="1"/>
    <col min="9214" max="9214" width="12.5703125" style="2" customWidth="1"/>
    <col min="9215" max="9215" width="5.140625" style="2" customWidth="1"/>
    <col min="9216" max="9216" width="9.140625" style="2"/>
    <col min="9217" max="9217" width="4.85546875" style="2" customWidth="1"/>
    <col min="9218" max="9218" width="30.5703125" style="2" customWidth="1"/>
    <col min="9219" max="9219" width="33.85546875" style="2" customWidth="1"/>
    <col min="9220" max="9220" width="5.140625" style="2" customWidth="1"/>
    <col min="9221" max="9222" width="17.5703125" style="2" customWidth="1"/>
    <col min="9223" max="9466" width="9.140625" style="2"/>
    <col min="9467" max="9467" width="3.7109375" style="2" customWidth="1"/>
    <col min="9468" max="9468" width="96.85546875" style="2" customWidth="1"/>
    <col min="9469" max="9469" width="30.85546875" style="2" customWidth="1"/>
    <col min="9470" max="9470" width="12.5703125" style="2" customWidth="1"/>
    <col min="9471" max="9471" width="5.140625" style="2" customWidth="1"/>
    <col min="9472" max="9472" width="9.140625" style="2"/>
    <col min="9473" max="9473" width="4.85546875" style="2" customWidth="1"/>
    <col min="9474" max="9474" width="30.5703125" style="2" customWidth="1"/>
    <col min="9475" max="9475" width="33.85546875" style="2" customWidth="1"/>
    <col min="9476" max="9476" width="5.140625" style="2" customWidth="1"/>
    <col min="9477" max="9478" width="17.5703125" style="2" customWidth="1"/>
    <col min="9479" max="9722" width="9.140625" style="2"/>
    <col min="9723" max="9723" width="3.7109375" style="2" customWidth="1"/>
    <col min="9724" max="9724" width="96.85546875" style="2" customWidth="1"/>
    <col min="9725" max="9725" width="30.85546875" style="2" customWidth="1"/>
    <col min="9726" max="9726" width="12.5703125" style="2" customWidth="1"/>
    <col min="9727" max="9727" width="5.140625" style="2" customWidth="1"/>
    <col min="9728" max="9728" width="9.140625" style="2"/>
    <col min="9729" max="9729" width="4.85546875" style="2" customWidth="1"/>
    <col min="9730" max="9730" width="30.5703125" style="2" customWidth="1"/>
    <col min="9731" max="9731" width="33.85546875" style="2" customWidth="1"/>
    <col min="9732" max="9732" width="5.140625" style="2" customWidth="1"/>
    <col min="9733" max="9734" width="17.5703125" style="2" customWidth="1"/>
    <col min="9735" max="9978" width="9.140625" style="2"/>
    <col min="9979" max="9979" width="3.7109375" style="2" customWidth="1"/>
    <col min="9980" max="9980" width="96.85546875" style="2" customWidth="1"/>
    <col min="9981" max="9981" width="30.85546875" style="2" customWidth="1"/>
    <col min="9982" max="9982" width="12.5703125" style="2" customWidth="1"/>
    <col min="9983" max="9983" width="5.140625" style="2" customWidth="1"/>
    <col min="9984" max="9984" width="9.140625" style="2"/>
    <col min="9985" max="9985" width="4.85546875" style="2" customWidth="1"/>
    <col min="9986" max="9986" width="30.5703125" style="2" customWidth="1"/>
    <col min="9987" max="9987" width="33.85546875" style="2" customWidth="1"/>
    <col min="9988" max="9988" width="5.140625" style="2" customWidth="1"/>
    <col min="9989" max="9990" width="17.5703125" style="2" customWidth="1"/>
    <col min="9991" max="10234" width="9.140625" style="2"/>
    <col min="10235" max="10235" width="3.7109375" style="2" customWidth="1"/>
    <col min="10236" max="10236" width="96.85546875" style="2" customWidth="1"/>
    <col min="10237" max="10237" width="30.85546875" style="2" customWidth="1"/>
    <col min="10238" max="10238" width="12.5703125" style="2" customWidth="1"/>
    <col min="10239" max="10239" width="5.140625" style="2" customWidth="1"/>
    <col min="10240" max="10240" width="9.140625" style="2"/>
    <col min="10241" max="10241" width="4.85546875" style="2" customWidth="1"/>
    <col min="10242" max="10242" width="30.5703125" style="2" customWidth="1"/>
    <col min="10243" max="10243" width="33.85546875" style="2" customWidth="1"/>
    <col min="10244" max="10244" width="5.140625" style="2" customWidth="1"/>
    <col min="10245" max="10246" width="17.5703125" style="2" customWidth="1"/>
    <col min="10247" max="10490" width="9.140625" style="2"/>
    <col min="10491" max="10491" width="3.7109375" style="2" customWidth="1"/>
    <col min="10492" max="10492" width="96.85546875" style="2" customWidth="1"/>
    <col min="10493" max="10493" width="30.85546875" style="2" customWidth="1"/>
    <col min="10494" max="10494" width="12.5703125" style="2" customWidth="1"/>
    <col min="10495" max="10495" width="5.140625" style="2" customWidth="1"/>
    <col min="10496" max="10496" width="9.140625" style="2"/>
    <col min="10497" max="10497" width="4.85546875" style="2" customWidth="1"/>
    <col min="10498" max="10498" width="30.5703125" style="2" customWidth="1"/>
    <col min="10499" max="10499" width="33.85546875" style="2" customWidth="1"/>
    <col min="10500" max="10500" width="5.140625" style="2" customWidth="1"/>
    <col min="10501" max="10502" width="17.5703125" style="2" customWidth="1"/>
    <col min="10503" max="10746" width="9.140625" style="2"/>
    <col min="10747" max="10747" width="3.7109375" style="2" customWidth="1"/>
    <col min="10748" max="10748" width="96.85546875" style="2" customWidth="1"/>
    <col min="10749" max="10749" width="30.85546875" style="2" customWidth="1"/>
    <col min="10750" max="10750" width="12.5703125" style="2" customWidth="1"/>
    <col min="10751" max="10751" width="5.140625" style="2" customWidth="1"/>
    <col min="10752" max="10752" width="9.140625" style="2"/>
    <col min="10753" max="10753" width="4.85546875" style="2" customWidth="1"/>
    <col min="10754" max="10754" width="30.5703125" style="2" customWidth="1"/>
    <col min="10755" max="10755" width="33.85546875" style="2" customWidth="1"/>
    <col min="10756" max="10756" width="5.140625" style="2" customWidth="1"/>
    <col min="10757" max="10758" width="17.5703125" style="2" customWidth="1"/>
    <col min="10759" max="11002" width="9.140625" style="2"/>
    <col min="11003" max="11003" width="3.7109375" style="2" customWidth="1"/>
    <col min="11004" max="11004" width="96.85546875" style="2" customWidth="1"/>
    <col min="11005" max="11005" width="30.85546875" style="2" customWidth="1"/>
    <col min="11006" max="11006" width="12.5703125" style="2" customWidth="1"/>
    <col min="11007" max="11007" width="5.140625" style="2" customWidth="1"/>
    <col min="11008" max="11008" width="9.140625" style="2"/>
    <col min="11009" max="11009" width="4.85546875" style="2" customWidth="1"/>
    <col min="11010" max="11010" width="30.5703125" style="2" customWidth="1"/>
    <col min="11011" max="11011" width="33.85546875" style="2" customWidth="1"/>
    <col min="11012" max="11012" width="5.140625" style="2" customWidth="1"/>
    <col min="11013" max="11014" width="17.5703125" style="2" customWidth="1"/>
    <col min="11015" max="11258" width="9.140625" style="2"/>
    <col min="11259" max="11259" width="3.7109375" style="2" customWidth="1"/>
    <col min="11260" max="11260" width="96.85546875" style="2" customWidth="1"/>
    <col min="11261" max="11261" width="30.85546875" style="2" customWidth="1"/>
    <col min="11262" max="11262" width="12.5703125" style="2" customWidth="1"/>
    <col min="11263" max="11263" width="5.140625" style="2" customWidth="1"/>
    <col min="11264" max="11264" width="9.140625" style="2"/>
    <col min="11265" max="11265" width="4.85546875" style="2" customWidth="1"/>
    <col min="11266" max="11266" width="30.5703125" style="2" customWidth="1"/>
    <col min="11267" max="11267" width="33.85546875" style="2" customWidth="1"/>
    <col min="11268" max="11268" width="5.140625" style="2" customWidth="1"/>
    <col min="11269" max="11270" width="17.5703125" style="2" customWidth="1"/>
    <col min="11271" max="11514" width="9.140625" style="2"/>
    <col min="11515" max="11515" width="3.7109375" style="2" customWidth="1"/>
    <col min="11516" max="11516" width="96.85546875" style="2" customWidth="1"/>
    <col min="11517" max="11517" width="30.85546875" style="2" customWidth="1"/>
    <col min="11518" max="11518" width="12.5703125" style="2" customWidth="1"/>
    <col min="11519" max="11519" width="5.140625" style="2" customWidth="1"/>
    <col min="11520" max="11520" width="9.140625" style="2"/>
    <col min="11521" max="11521" width="4.85546875" style="2" customWidth="1"/>
    <col min="11522" max="11522" width="30.5703125" style="2" customWidth="1"/>
    <col min="11523" max="11523" width="33.85546875" style="2" customWidth="1"/>
    <col min="11524" max="11524" width="5.140625" style="2" customWidth="1"/>
    <col min="11525" max="11526" width="17.5703125" style="2" customWidth="1"/>
    <col min="11527" max="11770" width="9.140625" style="2"/>
    <col min="11771" max="11771" width="3.7109375" style="2" customWidth="1"/>
    <col min="11772" max="11772" width="96.85546875" style="2" customWidth="1"/>
    <col min="11773" max="11773" width="30.85546875" style="2" customWidth="1"/>
    <col min="11774" max="11774" width="12.5703125" style="2" customWidth="1"/>
    <col min="11775" max="11775" width="5.140625" style="2" customWidth="1"/>
    <col min="11776" max="11776" width="9.140625" style="2"/>
    <col min="11777" max="11777" width="4.85546875" style="2" customWidth="1"/>
    <col min="11778" max="11778" width="30.5703125" style="2" customWidth="1"/>
    <col min="11779" max="11779" width="33.85546875" style="2" customWidth="1"/>
    <col min="11780" max="11780" width="5.140625" style="2" customWidth="1"/>
    <col min="11781" max="11782" width="17.5703125" style="2" customWidth="1"/>
    <col min="11783" max="12026" width="9.140625" style="2"/>
    <col min="12027" max="12027" width="3.7109375" style="2" customWidth="1"/>
    <col min="12028" max="12028" width="96.85546875" style="2" customWidth="1"/>
    <col min="12029" max="12029" width="30.85546875" style="2" customWidth="1"/>
    <col min="12030" max="12030" width="12.5703125" style="2" customWidth="1"/>
    <col min="12031" max="12031" width="5.140625" style="2" customWidth="1"/>
    <col min="12032" max="12032" width="9.140625" style="2"/>
    <col min="12033" max="12033" width="4.85546875" style="2" customWidth="1"/>
    <col min="12034" max="12034" width="30.5703125" style="2" customWidth="1"/>
    <col min="12035" max="12035" width="33.85546875" style="2" customWidth="1"/>
    <col min="12036" max="12036" width="5.140625" style="2" customWidth="1"/>
    <col min="12037" max="12038" width="17.5703125" style="2" customWidth="1"/>
    <col min="12039" max="12282" width="9.140625" style="2"/>
    <col min="12283" max="12283" width="3.7109375" style="2" customWidth="1"/>
    <col min="12284" max="12284" width="96.85546875" style="2" customWidth="1"/>
    <col min="12285" max="12285" width="30.85546875" style="2" customWidth="1"/>
    <col min="12286" max="12286" width="12.5703125" style="2" customWidth="1"/>
    <col min="12287" max="12287" width="5.140625" style="2" customWidth="1"/>
    <col min="12288" max="12288" width="9.140625" style="2"/>
    <col min="12289" max="12289" width="4.85546875" style="2" customWidth="1"/>
    <col min="12290" max="12290" width="30.5703125" style="2" customWidth="1"/>
    <col min="12291" max="12291" width="33.85546875" style="2" customWidth="1"/>
    <col min="12292" max="12292" width="5.140625" style="2" customWidth="1"/>
    <col min="12293" max="12294" width="17.5703125" style="2" customWidth="1"/>
    <col min="12295" max="12538" width="9.140625" style="2"/>
    <col min="12539" max="12539" width="3.7109375" style="2" customWidth="1"/>
    <col min="12540" max="12540" width="96.85546875" style="2" customWidth="1"/>
    <col min="12541" max="12541" width="30.85546875" style="2" customWidth="1"/>
    <col min="12542" max="12542" width="12.5703125" style="2" customWidth="1"/>
    <col min="12543" max="12543" width="5.140625" style="2" customWidth="1"/>
    <col min="12544" max="12544" width="9.140625" style="2"/>
    <col min="12545" max="12545" width="4.85546875" style="2" customWidth="1"/>
    <col min="12546" max="12546" width="30.5703125" style="2" customWidth="1"/>
    <col min="12547" max="12547" width="33.85546875" style="2" customWidth="1"/>
    <col min="12548" max="12548" width="5.140625" style="2" customWidth="1"/>
    <col min="12549" max="12550" width="17.5703125" style="2" customWidth="1"/>
    <col min="12551" max="12794" width="9.140625" style="2"/>
    <col min="12795" max="12795" width="3.7109375" style="2" customWidth="1"/>
    <col min="12796" max="12796" width="96.85546875" style="2" customWidth="1"/>
    <col min="12797" max="12797" width="30.85546875" style="2" customWidth="1"/>
    <col min="12798" max="12798" width="12.5703125" style="2" customWidth="1"/>
    <col min="12799" max="12799" width="5.140625" style="2" customWidth="1"/>
    <col min="12800" max="12800" width="9.140625" style="2"/>
    <col min="12801" max="12801" width="4.85546875" style="2" customWidth="1"/>
    <col min="12802" max="12802" width="30.5703125" style="2" customWidth="1"/>
    <col min="12803" max="12803" width="33.85546875" style="2" customWidth="1"/>
    <col min="12804" max="12804" width="5.140625" style="2" customWidth="1"/>
    <col min="12805" max="12806" width="17.5703125" style="2" customWidth="1"/>
    <col min="12807" max="13050" width="9.140625" style="2"/>
    <col min="13051" max="13051" width="3.7109375" style="2" customWidth="1"/>
    <col min="13052" max="13052" width="96.85546875" style="2" customWidth="1"/>
    <col min="13053" max="13053" width="30.85546875" style="2" customWidth="1"/>
    <col min="13054" max="13054" width="12.5703125" style="2" customWidth="1"/>
    <col min="13055" max="13055" width="5.140625" style="2" customWidth="1"/>
    <col min="13056" max="13056" width="9.140625" style="2"/>
    <col min="13057" max="13057" width="4.85546875" style="2" customWidth="1"/>
    <col min="13058" max="13058" width="30.5703125" style="2" customWidth="1"/>
    <col min="13059" max="13059" width="33.85546875" style="2" customWidth="1"/>
    <col min="13060" max="13060" width="5.140625" style="2" customWidth="1"/>
    <col min="13061" max="13062" width="17.5703125" style="2" customWidth="1"/>
    <col min="13063" max="13306" width="9.140625" style="2"/>
    <col min="13307" max="13307" width="3.7109375" style="2" customWidth="1"/>
    <col min="13308" max="13308" width="96.85546875" style="2" customWidth="1"/>
    <col min="13309" max="13309" width="30.85546875" style="2" customWidth="1"/>
    <col min="13310" max="13310" width="12.5703125" style="2" customWidth="1"/>
    <col min="13311" max="13311" width="5.140625" style="2" customWidth="1"/>
    <col min="13312" max="13312" width="9.140625" style="2"/>
    <col min="13313" max="13313" width="4.85546875" style="2" customWidth="1"/>
    <col min="13314" max="13314" width="30.5703125" style="2" customWidth="1"/>
    <col min="13315" max="13315" width="33.85546875" style="2" customWidth="1"/>
    <col min="13316" max="13316" width="5.140625" style="2" customWidth="1"/>
    <col min="13317" max="13318" width="17.5703125" style="2" customWidth="1"/>
    <col min="13319" max="13562" width="9.140625" style="2"/>
    <col min="13563" max="13563" width="3.7109375" style="2" customWidth="1"/>
    <col min="13564" max="13564" width="96.85546875" style="2" customWidth="1"/>
    <col min="13565" max="13565" width="30.85546875" style="2" customWidth="1"/>
    <col min="13566" max="13566" width="12.5703125" style="2" customWidth="1"/>
    <col min="13567" max="13567" width="5.140625" style="2" customWidth="1"/>
    <col min="13568" max="13568" width="9.140625" style="2"/>
    <col min="13569" max="13569" width="4.85546875" style="2" customWidth="1"/>
    <col min="13570" max="13570" width="30.5703125" style="2" customWidth="1"/>
    <col min="13571" max="13571" width="33.85546875" style="2" customWidth="1"/>
    <col min="13572" max="13572" width="5.140625" style="2" customWidth="1"/>
    <col min="13573" max="13574" width="17.5703125" style="2" customWidth="1"/>
    <col min="13575" max="13818" width="9.140625" style="2"/>
    <col min="13819" max="13819" width="3.7109375" style="2" customWidth="1"/>
    <col min="13820" max="13820" width="96.85546875" style="2" customWidth="1"/>
    <col min="13821" max="13821" width="30.85546875" style="2" customWidth="1"/>
    <col min="13822" max="13822" width="12.5703125" style="2" customWidth="1"/>
    <col min="13823" max="13823" width="5.140625" style="2" customWidth="1"/>
    <col min="13824" max="13824" width="9.140625" style="2"/>
    <col min="13825" max="13825" width="4.85546875" style="2" customWidth="1"/>
    <col min="13826" max="13826" width="30.5703125" style="2" customWidth="1"/>
    <col min="13827" max="13827" width="33.85546875" style="2" customWidth="1"/>
    <col min="13828" max="13828" width="5.140625" style="2" customWidth="1"/>
    <col min="13829" max="13830" width="17.5703125" style="2" customWidth="1"/>
    <col min="13831" max="14074" width="9.140625" style="2"/>
    <col min="14075" max="14075" width="3.7109375" style="2" customWidth="1"/>
    <col min="14076" max="14076" width="96.85546875" style="2" customWidth="1"/>
    <col min="14077" max="14077" width="30.85546875" style="2" customWidth="1"/>
    <col min="14078" max="14078" width="12.5703125" style="2" customWidth="1"/>
    <col min="14079" max="14079" width="5.140625" style="2" customWidth="1"/>
    <col min="14080" max="14080" width="9.140625" style="2"/>
    <col min="14081" max="14081" width="4.85546875" style="2" customWidth="1"/>
    <col min="14082" max="14082" width="30.5703125" style="2" customWidth="1"/>
    <col min="14083" max="14083" width="33.85546875" style="2" customWidth="1"/>
    <col min="14084" max="14084" width="5.140625" style="2" customWidth="1"/>
    <col min="14085" max="14086" width="17.5703125" style="2" customWidth="1"/>
    <col min="14087" max="14330" width="9.140625" style="2"/>
    <col min="14331" max="14331" width="3.7109375" style="2" customWidth="1"/>
    <col min="14332" max="14332" width="96.85546875" style="2" customWidth="1"/>
    <col min="14333" max="14333" width="30.85546875" style="2" customWidth="1"/>
    <col min="14334" max="14334" width="12.5703125" style="2" customWidth="1"/>
    <col min="14335" max="14335" width="5.140625" style="2" customWidth="1"/>
    <col min="14336" max="14336" width="9.140625" style="2"/>
    <col min="14337" max="14337" width="4.85546875" style="2" customWidth="1"/>
    <col min="14338" max="14338" width="30.5703125" style="2" customWidth="1"/>
    <col min="14339" max="14339" width="33.85546875" style="2" customWidth="1"/>
    <col min="14340" max="14340" width="5.140625" style="2" customWidth="1"/>
    <col min="14341" max="14342" width="17.5703125" style="2" customWidth="1"/>
    <col min="14343" max="14586" width="9.140625" style="2"/>
    <col min="14587" max="14587" width="3.7109375" style="2" customWidth="1"/>
    <col min="14588" max="14588" width="96.85546875" style="2" customWidth="1"/>
    <col min="14589" max="14589" width="30.85546875" style="2" customWidth="1"/>
    <col min="14590" max="14590" width="12.5703125" style="2" customWidth="1"/>
    <col min="14591" max="14591" width="5.140625" style="2" customWidth="1"/>
    <col min="14592" max="14592" width="9.140625" style="2"/>
    <col min="14593" max="14593" width="4.85546875" style="2" customWidth="1"/>
    <col min="14594" max="14594" width="30.5703125" style="2" customWidth="1"/>
    <col min="14595" max="14595" width="33.85546875" style="2" customWidth="1"/>
    <col min="14596" max="14596" width="5.140625" style="2" customWidth="1"/>
    <col min="14597" max="14598" width="17.5703125" style="2" customWidth="1"/>
    <col min="14599" max="14842" width="9.140625" style="2"/>
    <col min="14843" max="14843" width="3.7109375" style="2" customWidth="1"/>
    <col min="14844" max="14844" width="96.85546875" style="2" customWidth="1"/>
    <col min="14845" max="14845" width="30.85546875" style="2" customWidth="1"/>
    <col min="14846" max="14846" width="12.5703125" style="2" customWidth="1"/>
    <col min="14847" max="14847" width="5.140625" style="2" customWidth="1"/>
    <col min="14848" max="14848" width="9.140625" style="2"/>
    <col min="14849" max="14849" width="4.85546875" style="2" customWidth="1"/>
    <col min="14850" max="14850" width="30.5703125" style="2" customWidth="1"/>
    <col min="14851" max="14851" width="33.85546875" style="2" customWidth="1"/>
    <col min="14852" max="14852" width="5.140625" style="2" customWidth="1"/>
    <col min="14853" max="14854" width="17.5703125" style="2" customWidth="1"/>
    <col min="14855" max="15098" width="9.140625" style="2"/>
    <col min="15099" max="15099" width="3.7109375" style="2" customWidth="1"/>
    <col min="15100" max="15100" width="96.85546875" style="2" customWidth="1"/>
    <col min="15101" max="15101" width="30.85546875" style="2" customWidth="1"/>
    <col min="15102" max="15102" width="12.5703125" style="2" customWidth="1"/>
    <col min="15103" max="15103" width="5.140625" style="2" customWidth="1"/>
    <col min="15104" max="15104" width="9.140625" style="2"/>
    <col min="15105" max="15105" width="4.85546875" style="2" customWidth="1"/>
    <col min="15106" max="15106" width="30.5703125" style="2" customWidth="1"/>
    <col min="15107" max="15107" width="33.85546875" style="2" customWidth="1"/>
    <col min="15108" max="15108" width="5.140625" style="2" customWidth="1"/>
    <col min="15109" max="15110" width="17.5703125" style="2" customWidth="1"/>
    <col min="15111" max="15354" width="9.140625" style="2"/>
    <col min="15355" max="15355" width="3.7109375" style="2" customWidth="1"/>
    <col min="15356" max="15356" width="96.85546875" style="2" customWidth="1"/>
    <col min="15357" max="15357" width="30.85546875" style="2" customWidth="1"/>
    <col min="15358" max="15358" width="12.5703125" style="2" customWidth="1"/>
    <col min="15359" max="15359" width="5.140625" style="2" customWidth="1"/>
    <col min="15360" max="15360" width="9.140625" style="2"/>
    <col min="15361" max="15361" width="4.85546875" style="2" customWidth="1"/>
    <col min="15362" max="15362" width="30.5703125" style="2" customWidth="1"/>
    <col min="15363" max="15363" width="33.85546875" style="2" customWidth="1"/>
    <col min="15364" max="15364" width="5.140625" style="2" customWidth="1"/>
    <col min="15365" max="15366" width="17.5703125" style="2" customWidth="1"/>
    <col min="15367" max="15610" width="9.140625" style="2"/>
    <col min="15611" max="15611" width="3.7109375" style="2" customWidth="1"/>
    <col min="15612" max="15612" width="96.85546875" style="2" customWidth="1"/>
    <col min="15613" max="15613" width="30.85546875" style="2" customWidth="1"/>
    <col min="15614" max="15614" width="12.5703125" style="2" customWidth="1"/>
    <col min="15615" max="15615" width="5.140625" style="2" customWidth="1"/>
    <col min="15616" max="15616" width="9.140625" style="2"/>
    <col min="15617" max="15617" width="4.85546875" style="2" customWidth="1"/>
    <col min="15618" max="15618" width="30.5703125" style="2" customWidth="1"/>
    <col min="15619" max="15619" width="33.85546875" style="2" customWidth="1"/>
    <col min="15620" max="15620" width="5.140625" style="2" customWidth="1"/>
    <col min="15621" max="15622" width="17.5703125" style="2" customWidth="1"/>
    <col min="15623" max="15866" width="9.140625" style="2"/>
    <col min="15867" max="15867" width="3.7109375" style="2" customWidth="1"/>
    <col min="15868" max="15868" width="96.85546875" style="2" customWidth="1"/>
    <col min="15869" max="15869" width="30.85546875" style="2" customWidth="1"/>
    <col min="15870" max="15870" width="12.5703125" style="2" customWidth="1"/>
    <col min="15871" max="15871" width="5.140625" style="2" customWidth="1"/>
    <col min="15872" max="15872" width="9.140625" style="2"/>
    <col min="15873" max="15873" width="4.85546875" style="2" customWidth="1"/>
    <col min="15874" max="15874" width="30.5703125" style="2" customWidth="1"/>
    <col min="15875" max="15875" width="33.85546875" style="2" customWidth="1"/>
    <col min="15876" max="15876" width="5.140625" style="2" customWidth="1"/>
    <col min="15877" max="15878" width="17.5703125" style="2" customWidth="1"/>
    <col min="15879" max="16122" width="9.140625" style="2"/>
    <col min="16123" max="16123" width="3.7109375" style="2" customWidth="1"/>
    <col min="16124" max="16124" width="96.85546875" style="2" customWidth="1"/>
    <col min="16125" max="16125" width="30.85546875" style="2" customWidth="1"/>
    <col min="16126" max="16126" width="12.5703125" style="2" customWidth="1"/>
    <col min="16127" max="16127" width="5.140625" style="2" customWidth="1"/>
    <col min="16128" max="16128" width="9.140625" style="2"/>
    <col min="16129" max="16129" width="4.85546875" style="2" customWidth="1"/>
    <col min="16130" max="16130" width="30.5703125" style="2" customWidth="1"/>
    <col min="16131" max="16131" width="33.85546875" style="2" customWidth="1"/>
    <col min="16132" max="16132" width="5.140625" style="2" customWidth="1"/>
    <col min="16133" max="16134" width="17.5703125" style="2" customWidth="1"/>
    <col min="16135" max="16384" width="9.140625" style="2"/>
  </cols>
  <sheetData>
    <row r="1" spans="1:4" ht="48" customHeight="1" x14ac:dyDescent="0.2">
      <c r="A1" s="3"/>
      <c r="B1" s="163" t="s">
        <v>227</v>
      </c>
      <c r="C1" s="163"/>
      <c r="D1" s="163"/>
    </row>
    <row r="2" spans="1:4" x14ac:dyDescent="0.2">
      <c r="A2" s="3"/>
      <c r="B2" s="4" t="s">
        <v>1</v>
      </c>
      <c r="C2" s="5">
        <v>45317</v>
      </c>
    </row>
    <row r="3" spans="1:4" x14ac:dyDescent="0.2">
      <c r="A3" s="3"/>
      <c r="B3" s="117" t="s">
        <v>2</v>
      </c>
      <c r="C3" s="7"/>
    </row>
    <row r="4" spans="1:4" ht="25.5" x14ac:dyDescent="0.2">
      <c r="A4" s="8"/>
      <c r="B4" s="9" t="str">
        <f>[13]И1!D13</f>
        <v>Субъект Российской Федерации</v>
      </c>
      <c r="C4" s="10" t="str">
        <f>[13]И1!E13</f>
        <v>Новосибирская область</v>
      </c>
      <c r="D4" s="9"/>
    </row>
    <row r="5" spans="1:4" ht="48.6" customHeight="1" x14ac:dyDescent="0.2">
      <c r="A5" s="8"/>
      <c r="B5" s="9" t="str">
        <f>[13]И1!D14</f>
        <v>Тип муниципального образования (выберите из списка)</v>
      </c>
      <c r="C5" s="10" t="str">
        <f>[13]И1!E14</f>
        <v>поселок Агролес, Искитимский муниципальный район</v>
      </c>
      <c r="D5" s="9"/>
    </row>
    <row r="6" spans="1:4" x14ac:dyDescent="0.2">
      <c r="A6" s="8"/>
      <c r="B6" s="9" t="str">
        <f>IF([13]И1!E15="","",[13]И1!D15)</f>
        <v/>
      </c>
      <c r="C6" s="7" t="str">
        <f>IF([13]И1!E15="","",[13]И1!E15)</f>
        <v/>
      </c>
      <c r="D6" s="9"/>
    </row>
    <row r="7" spans="1:4" x14ac:dyDescent="0.2">
      <c r="A7" s="8"/>
      <c r="B7" s="9" t="str">
        <f>[13]И1!D16</f>
        <v>Код ОКТМО</v>
      </c>
      <c r="C7" s="11" t="str">
        <f>[13]И1!E16</f>
        <v xml:space="preserve"> (50615417101)</v>
      </c>
      <c r="D7" s="9"/>
    </row>
    <row r="8" spans="1:4" x14ac:dyDescent="0.2">
      <c r="A8" s="8"/>
      <c r="B8" s="12" t="str">
        <f>[13]И1!D17</f>
        <v>Система теплоснабжения</v>
      </c>
      <c r="C8" s="13">
        <f>[13]И1!E17</f>
        <v>0</v>
      </c>
      <c r="D8" s="9"/>
    </row>
    <row r="9" spans="1:4" x14ac:dyDescent="0.2">
      <c r="A9" s="8"/>
      <c r="B9" s="9" t="str">
        <f>[13]И1!D8</f>
        <v>Период регулирования (i)-й</v>
      </c>
      <c r="C9" s="14">
        <f>[13]И1!E8</f>
        <v>2024</v>
      </c>
      <c r="D9" s="9"/>
    </row>
    <row r="10" spans="1:4" x14ac:dyDescent="0.2">
      <c r="A10" s="8"/>
      <c r="B10" s="9" t="str">
        <f>[13]И1!D9</f>
        <v>Период регулирования (i-1)-й</v>
      </c>
      <c r="C10" s="14">
        <f>[13]И1!E9</f>
        <v>2023</v>
      </c>
      <c r="D10" s="9"/>
    </row>
    <row r="11" spans="1:4" x14ac:dyDescent="0.2">
      <c r="A11" s="8"/>
      <c r="B11" s="9" t="str">
        <f>[13]И1!D10</f>
        <v>Период регулирования (i-2)-й</v>
      </c>
      <c r="C11" s="14">
        <f>[13]И1!E10</f>
        <v>2022</v>
      </c>
      <c r="D11" s="9"/>
    </row>
    <row r="12" spans="1:4" x14ac:dyDescent="0.2">
      <c r="A12" s="8"/>
      <c r="B12" s="9" t="str">
        <f>[13]И1!D11</f>
        <v>Базовый год (б)</v>
      </c>
      <c r="C12" s="14">
        <f>[13]И1!E11</f>
        <v>2019</v>
      </c>
      <c r="D12" s="9"/>
    </row>
    <row r="13" spans="1:4" x14ac:dyDescent="0.2">
      <c r="A13" s="8"/>
      <c r="B13" s="9" t="str">
        <f>[13]И1!D18</f>
        <v>Вид топлива, использование которого преобладает в системе теплоснабжения</v>
      </c>
      <c r="C13" s="15" t="str">
        <f>[13]И1!E18</f>
        <v>Газ</v>
      </c>
      <c r="D13" s="9"/>
    </row>
    <row r="14" spans="1:4" ht="26.25" customHeight="1" thickBot="1" x14ac:dyDescent="0.25">
      <c r="A14" s="167" t="s">
        <v>3</v>
      </c>
      <c r="B14" s="167"/>
      <c r="C14" s="167"/>
    </row>
    <row r="15" spans="1:4" x14ac:dyDescent="0.2">
      <c r="A15" s="16" t="s">
        <v>4</v>
      </c>
      <c r="B15" s="30" t="s">
        <v>5</v>
      </c>
      <c r="C15" s="118" t="s">
        <v>6</v>
      </c>
    </row>
    <row r="16" spans="1:4" x14ac:dyDescent="0.2">
      <c r="A16" s="19">
        <v>1</v>
      </c>
      <c r="B16" s="119">
        <v>2</v>
      </c>
      <c r="C16" s="120">
        <v>3</v>
      </c>
    </row>
    <row r="17" spans="1:4" x14ac:dyDescent="0.2">
      <c r="A17" s="22">
        <v>1</v>
      </c>
      <c r="B17" s="23" t="s">
        <v>7</v>
      </c>
      <c r="C17" s="24">
        <f>SUM(C18:C23)</f>
        <v>2939.204068798766</v>
      </c>
    </row>
    <row r="18" spans="1:4" ht="42.75" x14ac:dyDescent="0.2">
      <c r="A18" s="22" t="s">
        <v>8</v>
      </c>
      <c r="B18" s="25" t="s">
        <v>9</v>
      </c>
      <c r="C18" s="26">
        <f>[13]С1!F12</f>
        <v>994.35037159416254</v>
      </c>
    </row>
    <row r="19" spans="1:4" ht="42.75" x14ac:dyDescent="0.2">
      <c r="A19" s="22" t="s">
        <v>10</v>
      </c>
      <c r="B19" s="25" t="s">
        <v>11</v>
      </c>
      <c r="C19" s="26">
        <f>[13]С2!F12</f>
        <v>1338.5714783459885</v>
      </c>
    </row>
    <row r="20" spans="1:4" ht="30" x14ac:dyDescent="0.2">
      <c r="A20" s="22" t="s">
        <v>12</v>
      </c>
      <c r="B20" s="25" t="s">
        <v>13</v>
      </c>
      <c r="C20" s="26">
        <f>[13]С3!F12</f>
        <v>317.98065232680995</v>
      </c>
    </row>
    <row r="21" spans="1:4" ht="42.75" x14ac:dyDescent="0.2">
      <c r="A21" s="22" t="s">
        <v>14</v>
      </c>
      <c r="B21" s="25" t="s">
        <v>228</v>
      </c>
      <c r="C21" s="26">
        <f>[13]С4!F12</f>
        <v>230.67011420241766</v>
      </c>
    </row>
    <row r="22" spans="1:4" ht="33" customHeight="1" x14ac:dyDescent="0.2">
      <c r="A22" s="22" t="s">
        <v>16</v>
      </c>
      <c r="B22" s="25" t="s">
        <v>229</v>
      </c>
      <c r="C22" s="26">
        <f>[13]С5!F12</f>
        <v>57.631452329387571</v>
      </c>
    </row>
    <row r="23" spans="1:4" ht="45.75" customHeight="1" thickBot="1" x14ac:dyDescent="0.25">
      <c r="A23" s="27" t="s">
        <v>18</v>
      </c>
      <c r="B23" s="140" t="s">
        <v>230</v>
      </c>
      <c r="C23" s="28">
        <f>[13]С6!F12</f>
        <v>0</v>
      </c>
    </row>
    <row r="24" spans="1:4" ht="13.5" thickBot="1" x14ac:dyDescent="0.25">
      <c r="A24" s="3"/>
      <c r="C24" s="7"/>
    </row>
    <row r="25" spans="1:4" x14ac:dyDescent="0.2">
      <c r="A25" s="16" t="s">
        <v>4</v>
      </c>
      <c r="B25" s="29" t="s">
        <v>5</v>
      </c>
      <c r="C25" s="30" t="s">
        <v>6</v>
      </c>
      <c r="D25" s="143" t="s">
        <v>259</v>
      </c>
    </row>
    <row r="26" spans="1:4" x14ac:dyDescent="0.2">
      <c r="A26" s="19">
        <v>1</v>
      </c>
      <c r="B26" s="31">
        <v>2</v>
      </c>
      <c r="C26" s="32">
        <v>3</v>
      </c>
      <c r="D26" s="144">
        <v>4</v>
      </c>
    </row>
    <row r="27" spans="1:4" ht="30" customHeight="1" x14ac:dyDescent="0.2">
      <c r="A27" s="22">
        <v>1</v>
      </c>
      <c r="B27" s="164" t="s">
        <v>20</v>
      </c>
      <c r="C27" s="164"/>
      <c r="D27" s="169"/>
    </row>
    <row r="28" spans="1:4" ht="25.5" x14ac:dyDescent="0.2">
      <c r="A28" s="22" t="s">
        <v>8</v>
      </c>
      <c r="B28" s="33" t="s">
        <v>231</v>
      </c>
      <c r="C28" s="34">
        <f>[13]С1.1!E16</f>
        <v>7900</v>
      </c>
      <c r="D28" s="145" t="str">
        <f>[13]С1.1!F16</f>
        <v>Приказ ФАС России от 02.06.2021 №545/21</v>
      </c>
    </row>
    <row r="29" spans="1:4" ht="102" x14ac:dyDescent="0.2">
      <c r="A29" s="22" t="s">
        <v>10</v>
      </c>
      <c r="B29" s="33" t="s">
        <v>232</v>
      </c>
      <c r="C29" s="34">
        <f>[13]С1.1!E32</f>
        <v>5751.37</v>
      </c>
      <c r="D29" s="145" t="str">
        <f>IF([13]С1.1!E24=[13]С1.1!I9,[13]С1.1!I9,IF([13]С1.1!E24=[13]С1.1!I10,[13]С1.1!I10,IF([13]С1.1!E24=[13]С1.1!I11,[13]С1.3!G9,IF([13]С1.1!E24=[13]С1.1!I12,[13]С1.1!F30,IF([13]С1.1!E24=[13]С1.1!I13,[13]С1.1!F31,"")))))</f>
        <v>цены (тарифы), подлежащие государственному регулированию, действовавшие на день окончания (i-2)-го расчетного периода в системе теплоснабжения</v>
      </c>
    </row>
    <row r="30" spans="1:4" ht="38.25" x14ac:dyDescent="0.2">
      <c r="A30" s="22" t="s">
        <v>233</v>
      </c>
      <c r="B30" s="33" t="s">
        <v>234</v>
      </c>
      <c r="C30" s="85" t="str">
        <f>[13]С1.1!E25</f>
        <v>ООО "Газпром газораспределение Томск"</v>
      </c>
      <c r="D30" s="145">
        <f>[13]С1.1!F25</f>
        <v>0</v>
      </c>
    </row>
    <row r="31" spans="1:4" ht="38.25" x14ac:dyDescent="0.2">
      <c r="A31" s="22" t="s">
        <v>235</v>
      </c>
      <c r="B31" s="33" t="str">
        <f>[13]С1.1!D26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4">
        <f>[13]С1.1!E26</f>
        <v>4699.5</v>
      </c>
      <c r="D31" s="145" t="str">
        <f>[13]С1.1!F26</f>
        <v>Приказ ФАС России от 02.06.2021 №545/21</v>
      </c>
    </row>
    <row r="32" spans="1:4" ht="25.5" x14ac:dyDescent="0.2">
      <c r="A32" s="22" t="s">
        <v>236</v>
      </c>
      <c r="B32" s="33" t="str">
        <f>[13]С1.1!D27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4">
        <f>[13]С1.1!E27</f>
        <v>795.43</v>
      </c>
      <c r="D32" s="145" t="str">
        <f>[13]С1.1!F27</f>
        <v>Приказ ФАС России от 13.01.2020 №15/20</v>
      </c>
    </row>
    <row r="33" spans="1:4" ht="25.5" x14ac:dyDescent="0.2">
      <c r="A33" s="22" t="s">
        <v>237</v>
      </c>
      <c r="B33" s="33" t="str">
        <f>[13]С1.1!D28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4">
        <f>[13]С1.1!E28</f>
        <v>136.54</v>
      </c>
      <c r="D33" s="145" t="str">
        <f>[13]С1.1!F28</f>
        <v>Приказ ФАС России от 27.05.2016 №682/16</v>
      </c>
    </row>
    <row r="34" spans="1:4" ht="51" x14ac:dyDescent="0.2">
      <c r="A34" s="22" t="s">
        <v>238</v>
      </c>
      <c r="B34" s="33" t="str">
        <f>[13]С1.1!D29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4">
        <f>[13]С1.1!E29</f>
        <v>119.9</v>
      </c>
      <c r="D34" s="145" t="str">
        <f>[13]С1.1!F29</f>
        <v>Приказ департамента по тарифам Новосибирской области от 22.12.2020 №650-Г</v>
      </c>
    </row>
    <row r="35" spans="1:4" ht="369.75" x14ac:dyDescent="0.2">
      <c r="A35" s="22" t="s">
        <v>12</v>
      </c>
      <c r="B35" s="33" t="s">
        <v>23</v>
      </c>
      <c r="C35" s="35">
        <f>[13]С1.1!E20</f>
        <v>8.5000000000000006E-2</v>
      </c>
      <c r="D35" s="145" t="str">
        <f>[13]С1.1!F20</f>
        <v xml:space="preserve"> Прогноз социально-экономического развития Российской Федерации на 2023 год и на плановый период 2024 и 2025 годов (размещен на официальном сайте Министерства экономического развития Российской Федерации (далее − Минэкономразвития России) 28.09.2022): файл в формате PDF, таблица «Прогнозируемые изменения цен (тарифов) на продукцию (услуги) компаний инфраструктурного сектора на 2023-2025 гг.,%, показатель «Газ – индексация оптовых цен для всех категорий потребителей, исключая население»
с 1 июля 2022 - 5%, 
с 1 декабря 2022 - 8,5%</v>
      </c>
    </row>
    <row r="36" spans="1:4" ht="306" x14ac:dyDescent="0.2">
      <c r="A36" s="22" t="s">
        <v>14</v>
      </c>
      <c r="B36" s="33" t="s">
        <v>24</v>
      </c>
      <c r="C36" s="35">
        <f>[13]С1.1!E21</f>
        <v>0.112</v>
      </c>
      <c r="D36" s="145" t="str">
        <f>[13]С1.1!F21</f>
        <v xml:space="preserve">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PDF, таблица «Прогнозируемые изменения цен (тарифов) на продукцию (услуги) компаний инфраструктурного сектора на 2023-2025 гг.,%, показатель «Газ – индексация оптовых цен для всех категорий потребителей, исключая население»
</v>
      </c>
    </row>
    <row r="37" spans="1:4" ht="30" x14ac:dyDescent="0.2">
      <c r="A37" s="22" t="s">
        <v>16</v>
      </c>
      <c r="B37" s="36" t="s">
        <v>239</v>
      </c>
      <c r="C37" s="121">
        <f>[13]С1!F13</f>
        <v>156.1</v>
      </c>
      <c r="D37" s="145" t="s">
        <v>260</v>
      </c>
    </row>
    <row r="38" spans="1:4" x14ac:dyDescent="0.2">
      <c r="A38" s="22" t="s">
        <v>18</v>
      </c>
      <c r="B38" s="36" t="s">
        <v>26</v>
      </c>
      <c r="C38" s="38">
        <f>[13]С1!F16</f>
        <v>7000</v>
      </c>
      <c r="D38" s="147" t="s">
        <v>261</v>
      </c>
    </row>
    <row r="39" spans="1:4" ht="14.25" x14ac:dyDescent="0.2">
      <c r="A39" s="122" t="s">
        <v>27</v>
      </c>
      <c r="B39" s="39" t="s">
        <v>240</v>
      </c>
      <c r="C39" s="40">
        <f>[13]С1!F17</f>
        <v>1.1285714285714286</v>
      </c>
      <c r="D39" s="145"/>
    </row>
    <row r="40" spans="1:4" ht="15.75" x14ac:dyDescent="0.2">
      <c r="A40" s="123" t="s">
        <v>29</v>
      </c>
      <c r="B40" s="42" t="s">
        <v>30</v>
      </c>
      <c r="C40" s="40">
        <f>[13]С1!F20</f>
        <v>22.307053372799995</v>
      </c>
      <c r="D40" s="145"/>
    </row>
    <row r="41" spans="1:4" ht="15.75" x14ac:dyDescent="0.2">
      <c r="A41" s="123" t="s">
        <v>31</v>
      </c>
      <c r="B41" s="43" t="s">
        <v>32</v>
      </c>
      <c r="C41" s="40">
        <f>[13]С1!F21</f>
        <v>21.531904799999996</v>
      </c>
      <c r="D41" s="145"/>
    </row>
    <row r="42" spans="1:4" ht="14.25" x14ac:dyDescent="0.2">
      <c r="A42" s="123" t="s">
        <v>33</v>
      </c>
      <c r="B42" s="44" t="s">
        <v>34</v>
      </c>
      <c r="C42" s="40">
        <f>[13]С1!F22</f>
        <v>1.036</v>
      </c>
      <c r="D42" s="145" t="s">
        <v>262</v>
      </c>
    </row>
    <row r="43" spans="1:4" ht="53.25" thickBot="1" x14ac:dyDescent="0.25">
      <c r="A43" s="27" t="s">
        <v>35</v>
      </c>
      <c r="B43" s="45" t="s">
        <v>36</v>
      </c>
      <c r="C43" s="46" t="str">
        <f>[13]С1!F23</f>
        <v>-</v>
      </c>
      <c r="D43" s="148" t="s">
        <v>263</v>
      </c>
    </row>
    <row r="44" spans="1:4" ht="13.5" thickBot="1" x14ac:dyDescent="0.25">
      <c r="A44" s="47"/>
      <c r="B44" s="75"/>
      <c r="C44" s="15"/>
      <c r="D44" s="160"/>
    </row>
    <row r="45" spans="1:4" ht="30" customHeight="1" x14ac:dyDescent="0.2">
      <c r="A45" s="50" t="s">
        <v>37</v>
      </c>
      <c r="B45" s="165" t="s">
        <v>38</v>
      </c>
      <c r="C45" s="165"/>
      <c r="D45" s="170"/>
    </row>
    <row r="46" spans="1:4" ht="25.5" x14ac:dyDescent="0.2">
      <c r="A46" s="22" t="s">
        <v>39</v>
      </c>
      <c r="B46" s="36" t="s">
        <v>40</v>
      </c>
      <c r="C46" s="51" t="str">
        <f>[13]С2.1!E12</f>
        <v>V</v>
      </c>
      <c r="D46" s="145" t="s">
        <v>264</v>
      </c>
    </row>
    <row r="47" spans="1:4" ht="331.5" x14ac:dyDescent="0.2">
      <c r="A47" s="22" t="s">
        <v>41</v>
      </c>
      <c r="B47" s="33" t="s">
        <v>42</v>
      </c>
      <c r="C47" s="51" t="str">
        <f>[13]С2.1!E13</f>
        <v>6 и менее баллов</v>
      </c>
      <c r="D47" s="145" t="str">
        <f>[13]С2.1!F13</f>
        <v xml:space="preserve"> Приложение А (обязательное) "Общее сейсмическое районирование территории Российской Федерации ОСР-2015. Список населенных пунктов Российской Федерации, расположенных в сейсмических районах, с указанием расчетной сейсмической интенсивности в баллах шкалы MSK-64 для средних грунтовых условий и трех степеней сейсмической опасности - A (10%), B (5%), C (1%) в течение 50 лет" к своду правил "СП 14.13330.2018 Строительство в сейсмических районах. Актуализир. редакция СНиП II-7-81".</v>
      </c>
    </row>
    <row r="48" spans="1:4" ht="204" x14ac:dyDescent="0.2">
      <c r="A48" s="22" t="s">
        <v>43</v>
      </c>
      <c r="B48" s="33" t="s">
        <v>241</v>
      </c>
      <c r="C48" s="51" t="str">
        <f>[13]С2.1!E14</f>
        <v>от 200 до 500</v>
      </c>
      <c r="D48" s="145" t="str">
        <f>[13]С2.1!F14</f>
        <v>Карта Российской Федерации в масштабе, позволяющем определить расстояние на транспортировку основных средств котельной, определяется как расстояние от границы системы теплоснабжения до границы ближайшего административного центра субъекта РФ с железнодорожным сообщением</v>
      </c>
    </row>
    <row r="49" spans="1:4" ht="25.5" x14ac:dyDescent="0.2">
      <c r="A49" s="22" t="s">
        <v>45</v>
      </c>
      <c r="B49" s="33" t="s">
        <v>242</v>
      </c>
      <c r="C49" s="52" t="str">
        <f>[13]С2.1!E15</f>
        <v>нет</v>
      </c>
      <c r="D49" s="145">
        <f>[13]С2.1!F15</f>
        <v>0</v>
      </c>
    </row>
    <row r="50" spans="1:4" ht="30" x14ac:dyDescent="0.2">
      <c r="A50" s="22" t="s">
        <v>47</v>
      </c>
      <c r="B50" s="33" t="s">
        <v>48</v>
      </c>
      <c r="C50" s="34">
        <f>[13]С2!F18</f>
        <v>35106.652004551666</v>
      </c>
      <c r="D50" s="145"/>
    </row>
    <row r="51" spans="1:4" ht="30" x14ac:dyDescent="0.2">
      <c r="A51" s="22" t="s">
        <v>49</v>
      </c>
      <c r="B51" s="53" t="s">
        <v>50</v>
      </c>
      <c r="C51" s="34">
        <f>IF([13]С2!F19&gt;0,[13]С2!F19,[13]С2!F20)</f>
        <v>23441.524932855718</v>
      </c>
      <c r="D51" s="145"/>
    </row>
    <row r="52" spans="1:4" ht="140.25" x14ac:dyDescent="0.2">
      <c r="A52" s="22" t="s">
        <v>51</v>
      </c>
      <c r="B52" s="54" t="s">
        <v>52</v>
      </c>
      <c r="C52" s="34">
        <f>[13]С2.1!E20</f>
        <v>-38</v>
      </c>
      <c r="D52" s="145" t="str">
        <f>CONCATENATE([13]С2.1!F20,"  ",[13]С2.1!F21)</f>
        <v>Свод правил СП 131.13330.2020 "СНиП 23-01-99* Строительная климатология" "Температура воздуха наиболее холодной пятидневки с обеспеченностью 0,92"  Значение принято по ближайшему населенному пункту</v>
      </c>
    </row>
    <row r="53" spans="1:4" ht="25.5" x14ac:dyDescent="0.2">
      <c r="A53" s="22" t="s">
        <v>53</v>
      </c>
      <c r="B53" s="54" t="s">
        <v>54</v>
      </c>
      <c r="C53" s="34" t="str">
        <f>[13]С2.1!E23</f>
        <v>нет</v>
      </c>
      <c r="D53" s="150" t="str">
        <f>IF([13]С2.1!F23="","",[13]С2.1!F23)</f>
        <v/>
      </c>
    </row>
    <row r="54" spans="1:4" ht="38.25" x14ac:dyDescent="0.2">
      <c r="A54" s="22" t="s">
        <v>55</v>
      </c>
      <c r="B54" s="55" t="s">
        <v>56</v>
      </c>
      <c r="C54" s="34">
        <f>[13]С2.2!E10</f>
        <v>1287</v>
      </c>
      <c r="D54" s="145" t="s">
        <v>265</v>
      </c>
    </row>
    <row r="55" spans="1:4" ht="25.5" x14ac:dyDescent="0.2">
      <c r="A55" s="22" t="s">
        <v>57</v>
      </c>
      <c r="B55" s="56" t="s">
        <v>58</v>
      </c>
      <c r="C55" s="34">
        <f>[13]С2.2!E12</f>
        <v>5.97</v>
      </c>
      <c r="D55" s="145" t="s">
        <v>266</v>
      </c>
    </row>
    <row r="56" spans="1:4" ht="52.5" x14ac:dyDescent="0.2">
      <c r="A56" s="22" t="s">
        <v>59</v>
      </c>
      <c r="B56" s="57" t="s">
        <v>60</v>
      </c>
      <c r="C56" s="34">
        <f>[13]С2.2!E13</f>
        <v>1</v>
      </c>
      <c r="D56" s="147" t="s">
        <v>261</v>
      </c>
    </row>
    <row r="57" spans="1:4" ht="27.75" x14ac:dyDescent="0.2">
      <c r="A57" s="22" t="s">
        <v>61</v>
      </c>
      <c r="B57" s="56" t="s">
        <v>62</v>
      </c>
      <c r="C57" s="34">
        <f>[13]С2.2!E14</f>
        <v>12104</v>
      </c>
      <c r="D57" s="145" t="s">
        <v>265</v>
      </c>
    </row>
    <row r="58" spans="1:4" ht="89.25" x14ac:dyDescent="0.2">
      <c r="A58" s="22" t="s">
        <v>63</v>
      </c>
      <c r="B58" s="57" t="s">
        <v>64</v>
      </c>
      <c r="C58" s="35">
        <f>[13]С2.2!E15</f>
        <v>4.8000000000000001E-2</v>
      </c>
      <c r="D58" s="145" t="s">
        <v>267</v>
      </c>
    </row>
    <row r="59" spans="1:4" ht="89.25" x14ac:dyDescent="0.2">
      <c r="A59" s="22" t="s">
        <v>65</v>
      </c>
      <c r="B59" s="57" t="s">
        <v>66</v>
      </c>
      <c r="C59" s="124">
        <f>[13]С2.2!E16</f>
        <v>1</v>
      </c>
      <c r="D59" s="145" t="s">
        <v>268</v>
      </c>
    </row>
    <row r="60" spans="1:4" ht="15.75" x14ac:dyDescent="0.2">
      <c r="A60" s="22" t="s">
        <v>67</v>
      </c>
      <c r="B60" s="58" t="s">
        <v>68</v>
      </c>
      <c r="C60" s="34">
        <f>[13]С2!F21</f>
        <v>1</v>
      </c>
      <c r="D60" s="145" t="s">
        <v>269</v>
      </c>
    </row>
    <row r="61" spans="1:4" ht="30" x14ac:dyDescent="0.2">
      <c r="A61" s="59" t="s">
        <v>69</v>
      </c>
      <c r="B61" s="33" t="s">
        <v>243</v>
      </c>
      <c r="C61" s="34">
        <f>[13]С2!F13</f>
        <v>105136.23090983224</v>
      </c>
      <c r="D61" s="145"/>
    </row>
    <row r="62" spans="1:4" ht="30" x14ac:dyDescent="0.2">
      <c r="A62" s="59" t="s">
        <v>71</v>
      </c>
      <c r="B62" s="60" t="s">
        <v>244</v>
      </c>
      <c r="C62" s="34">
        <f>[13]С2!F14</f>
        <v>64899</v>
      </c>
      <c r="D62" s="145" t="s">
        <v>260</v>
      </c>
    </row>
    <row r="63" spans="1:4" ht="15.75" x14ac:dyDescent="0.2">
      <c r="A63" s="59" t="s">
        <v>73</v>
      </c>
      <c r="B63" s="60" t="s">
        <v>74</v>
      </c>
      <c r="C63" s="40">
        <f>[13]С2!F15</f>
        <v>1.071</v>
      </c>
      <c r="D63" s="145" t="s">
        <v>270</v>
      </c>
    </row>
    <row r="64" spans="1:4" ht="15.75" x14ac:dyDescent="0.2">
      <c r="A64" s="59" t="s">
        <v>75</v>
      </c>
      <c r="B64" s="60" t="s">
        <v>76</v>
      </c>
      <c r="C64" s="125">
        <f>[13]С2!F16</f>
        <v>1</v>
      </c>
      <c r="D64" s="145" t="s">
        <v>269</v>
      </c>
    </row>
    <row r="65" spans="1:4" ht="17.25" x14ac:dyDescent="0.2">
      <c r="A65" s="59" t="s">
        <v>77</v>
      </c>
      <c r="B65" s="60" t="s">
        <v>78</v>
      </c>
      <c r="C65" s="126">
        <f>[13]С2!F17</f>
        <v>1.01</v>
      </c>
      <c r="D65" s="145" t="s">
        <v>271</v>
      </c>
    </row>
    <row r="66" spans="1:4" s="63" customFormat="1" ht="14.25" x14ac:dyDescent="0.2">
      <c r="A66" s="59" t="s">
        <v>79</v>
      </c>
      <c r="B66" s="61" t="s">
        <v>80</v>
      </c>
      <c r="C66" s="62">
        <f>[13]С2!F35</f>
        <v>10</v>
      </c>
      <c r="D66" s="145" t="s">
        <v>272</v>
      </c>
    </row>
    <row r="67" spans="1:4" ht="30" x14ac:dyDescent="0.2">
      <c r="A67" s="59" t="s">
        <v>81</v>
      </c>
      <c r="B67" s="64" t="s">
        <v>82</v>
      </c>
      <c r="C67" s="34">
        <f>[13]С2!F28</f>
        <v>331.04604307653443</v>
      </c>
      <c r="D67" s="145"/>
    </row>
    <row r="68" spans="1:4" ht="242.25" x14ac:dyDescent="0.2">
      <c r="A68" s="59" t="s">
        <v>83</v>
      </c>
      <c r="B68" s="53" t="s">
        <v>245</v>
      </c>
      <c r="C68" s="40">
        <f>[13]С2!F29</f>
        <v>0.44209422600000003</v>
      </c>
      <c r="D68" s="145" t="str">
        <f>[13]С2.4!F12</f>
        <v>Постановление Правительства Новосибирской области от 29.11.2011 №535-п (ред. 14.04.2014) "Об утверждении результатов государственной кадастровой оценки земель населенных пунктов в новосибирской области и среднего уровня кадастровой стоимости земель населенных пунктов по муниципальным районам и городским округам Новыосибирской области"</v>
      </c>
    </row>
    <row r="69" spans="1:4" ht="17.25" x14ac:dyDescent="0.2">
      <c r="A69" s="59" t="s">
        <v>85</v>
      </c>
      <c r="B69" s="58" t="s">
        <v>246</v>
      </c>
      <c r="C69" s="62">
        <f>[13]С2!F30</f>
        <v>500</v>
      </c>
      <c r="D69" s="145" t="s">
        <v>260</v>
      </c>
    </row>
    <row r="70" spans="1:4" ht="42.75" x14ac:dyDescent="0.2">
      <c r="A70" s="59" t="s">
        <v>87</v>
      </c>
      <c r="B70" s="33" t="s">
        <v>247</v>
      </c>
      <c r="C70" s="34">
        <f>[13]С2!F22</f>
        <v>39638.324046481182</v>
      </c>
      <c r="D70" s="145"/>
    </row>
    <row r="71" spans="1:4" ht="30" x14ac:dyDescent="0.2">
      <c r="A71" s="59" t="s">
        <v>89</v>
      </c>
      <c r="B71" s="60" t="s">
        <v>248</v>
      </c>
      <c r="C71" s="34">
        <f>[13]С2!F23</f>
        <v>21</v>
      </c>
      <c r="D71" s="145" t="s">
        <v>273</v>
      </c>
    </row>
    <row r="72" spans="1:4" ht="30" x14ac:dyDescent="0.2">
      <c r="A72" s="59" t="s">
        <v>91</v>
      </c>
      <c r="B72" s="53" t="s">
        <v>92</v>
      </c>
      <c r="C72" s="34">
        <f>[13]С2.1!E28</f>
        <v>14036.09995</v>
      </c>
      <c r="D72" s="145"/>
    </row>
    <row r="73" spans="1:4" ht="38.25" x14ac:dyDescent="0.2">
      <c r="A73" s="59" t="s">
        <v>93</v>
      </c>
      <c r="B73" s="65" t="s">
        <v>94</v>
      </c>
      <c r="C73" s="52">
        <f>[13]С2.3!E21</f>
        <v>0</v>
      </c>
      <c r="D73" s="145">
        <f>[13]С2.3!F21</f>
        <v>0</v>
      </c>
    </row>
    <row r="74" spans="1:4" ht="25.5" x14ac:dyDescent="0.2">
      <c r="A74" s="59" t="s">
        <v>95</v>
      </c>
      <c r="B74" s="66" t="s">
        <v>96</v>
      </c>
      <c r="C74" s="67">
        <f>[13]С2.3!E11</f>
        <v>5.45</v>
      </c>
      <c r="D74" s="145" t="s">
        <v>274</v>
      </c>
    </row>
    <row r="75" spans="1:4" ht="25.5" x14ac:dyDescent="0.2">
      <c r="A75" s="59" t="s">
        <v>97</v>
      </c>
      <c r="B75" s="66" t="s">
        <v>98</v>
      </c>
      <c r="C75" s="62">
        <f>[13]С2.3!E13</f>
        <v>300</v>
      </c>
      <c r="D75" s="145" t="s">
        <v>274</v>
      </c>
    </row>
    <row r="76" spans="1:4" ht="25.5" x14ac:dyDescent="0.2">
      <c r="A76" s="59" t="s">
        <v>99</v>
      </c>
      <c r="B76" s="65" t="s">
        <v>100</v>
      </c>
      <c r="C76" s="68">
        <f>IF([13]С2.3!E22&gt;0,[13]С2.3!E22,[13]С2.3!E14)</f>
        <v>61211</v>
      </c>
      <c r="D76" s="145" t="str">
        <f>IF(C76=[13]С2.3!E14,"Таблица ТЭП (IV)",[13]С2.3!F22)</f>
        <v>Таблица ТЭП (IV)</v>
      </c>
    </row>
    <row r="77" spans="1:4" ht="38.25" x14ac:dyDescent="0.2">
      <c r="A77" s="59" t="s">
        <v>101</v>
      </c>
      <c r="B77" s="65" t="s">
        <v>102</v>
      </c>
      <c r="C77" s="68">
        <f>IF([13]С2.3!E23&gt;0,[13]С2.3!E23,[13]С2.3!E15)</f>
        <v>45675</v>
      </c>
      <c r="D77" s="145" t="str">
        <f>IF(C77=[13]С2.3!E15,"Таблица ТЭП (IV)",[13]С2.3!F23)</f>
        <v>Таблица ТЭП (IV)</v>
      </c>
    </row>
    <row r="78" spans="1:4" ht="30" x14ac:dyDescent="0.2">
      <c r="A78" s="59" t="s">
        <v>103</v>
      </c>
      <c r="B78" s="53" t="s">
        <v>104</v>
      </c>
      <c r="C78" s="34">
        <f>[13]С2.1!E29</f>
        <v>9518.3274000000001</v>
      </c>
      <c r="D78" s="145"/>
    </row>
    <row r="79" spans="1:4" ht="38.25" x14ac:dyDescent="0.2">
      <c r="A79" s="59" t="s">
        <v>105</v>
      </c>
      <c r="B79" s="65" t="s">
        <v>106</v>
      </c>
      <c r="C79" s="52">
        <f>[13]С2.3!E25</f>
        <v>0</v>
      </c>
      <c r="D79" s="145">
        <f>[13]С2.3!F25</f>
        <v>0</v>
      </c>
    </row>
    <row r="80" spans="1:4" ht="25.5" x14ac:dyDescent="0.2">
      <c r="A80" s="59" t="s">
        <v>107</v>
      </c>
      <c r="B80" s="66" t="s">
        <v>108</v>
      </c>
      <c r="C80" s="67">
        <f>[13]С2.3!E12</f>
        <v>0.2</v>
      </c>
      <c r="D80" s="145" t="s">
        <v>274</v>
      </c>
    </row>
    <row r="81" spans="1:4" ht="25.5" x14ac:dyDescent="0.2">
      <c r="A81" s="59" t="s">
        <v>109</v>
      </c>
      <c r="B81" s="66" t="s">
        <v>98</v>
      </c>
      <c r="C81" s="62">
        <f>[13]С2.3!E13</f>
        <v>300</v>
      </c>
      <c r="D81" s="145" t="s">
        <v>274</v>
      </c>
    </row>
    <row r="82" spans="1:4" ht="25.5" x14ac:dyDescent="0.2">
      <c r="A82" s="59" t="s">
        <v>110</v>
      </c>
      <c r="B82" s="69" t="s">
        <v>111</v>
      </c>
      <c r="C82" s="68">
        <f>IF([13]С2.3!E26&gt;0,[13]С2.3!E26,[13]С2.3!E16)</f>
        <v>65637</v>
      </c>
      <c r="D82" s="145" t="str">
        <f>IF(C82=[13]С2.3!E16,"Таблица ТЭП (IV)",[13]С2.3!F26)</f>
        <v>Таблица ТЭП (IV)</v>
      </c>
    </row>
    <row r="83" spans="1:4" ht="38.25" x14ac:dyDescent="0.2">
      <c r="A83" s="59" t="s">
        <v>112</v>
      </c>
      <c r="B83" s="69" t="s">
        <v>113</v>
      </c>
      <c r="C83" s="68">
        <f>IF([13]С2.3!E27&gt;0,[13]С2.3!E27,[13]С2.3!E17)</f>
        <v>31684</v>
      </c>
      <c r="D83" s="145" t="str">
        <f>IF(C83=[13]С2.3!E17,"Таблица ТЭП (IV)",[13]С2.3!F27)</f>
        <v>Таблица ТЭП (IV)</v>
      </c>
    </row>
    <row r="84" spans="1:4" ht="30" x14ac:dyDescent="0.2">
      <c r="A84" s="59" t="s">
        <v>249</v>
      </c>
      <c r="B84" s="60" t="s">
        <v>250</v>
      </c>
      <c r="C84" s="68">
        <f>IF([13]С2.1!E19&gt;0,[13]С2.1!E19,[13]С2!F26)</f>
        <v>2892</v>
      </c>
      <c r="D84" s="145" t="str">
        <f>IF([13]С2.1!E19&gt;0,[13]С2.1!F19,"Таблица ТЭП (V)")</f>
        <v>Таблица ТЭП (V)</v>
      </c>
    </row>
    <row r="85" spans="1:4" ht="17.25" x14ac:dyDescent="0.2">
      <c r="A85" s="59" t="s">
        <v>114</v>
      </c>
      <c r="B85" s="33" t="s">
        <v>115</v>
      </c>
      <c r="C85" s="35">
        <f>[13]С2!F31</f>
        <v>9.5962865259740182E-2</v>
      </c>
      <c r="D85" s="151"/>
    </row>
    <row r="86" spans="1:4" ht="38.25" x14ac:dyDescent="0.2">
      <c r="A86" s="59" t="s">
        <v>116</v>
      </c>
      <c r="B86" s="53" t="s">
        <v>117</v>
      </c>
      <c r="C86" s="70">
        <f>[13]С2!F32</f>
        <v>8.4029304029304031E-2</v>
      </c>
      <c r="D86" s="145" t="str">
        <f>[13]С2.6!G11</f>
        <v>Информация с официального сайта Банка России</v>
      </c>
    </row>
    <row r="87" spans="1:4" ht="17.25" x14ac:dyDescent="0.2">
      <c r="A87" s="59" t="s">
        <v>118</v>
      </c>
      <c r="B87" s="71" t="s">
        <v>119</v>
      </c>
      <c r="C87" s="35">
        <f>[13]С2!F33</f>
        <v>0.13880000000000001</v>
      </c>
      <c r="D87" s="145" t="s">
        <v>272</v>
      </c>
    </row>
    <row r="88" spans="1:4" s="63" customFormat="1" ht="18" thickBot="1" x14ac:dyDescent="0.25">
      <c r="A88" s="72" t="s">
        <v>120</v>
      </c>
      <c r="B88" s="73" t="s">
        <v>121</v>
      </c>
      <c r="C88" s="74">
        <f>[13]С2!F34</f>
        <v>0.12640000000000001</v>
      </c>
      <c r="D88" s="148" t="s">
        <v>272</v>
      </c>
    </row>
    <row r="89" spans="1:4" ht="13.5" thickBot="1" x14ac:dyDescent="0.25">
      <c r="A89" s="47"/>
      <c r="B89" s="75"/>
      <c r="C89" s="15"/>
      <c r="D89" s="160"/>
    </row>
    <row r="90" spans="1:4" s="63" customFormat="1" ht="30" customHeight="1" x14ac:dyDescent="0.2">
      <c r="A90" s="76" t="s">
        <v>122</v>
      </c>
      <c r="B90" s="165" t="s">
        <v>123</v>
      </c>
      <c r="C90" s="165"/>
      <c r="D90" s="170"/>
    </row>
    <row r="91" spans="1:4" s="63" customFormat="1" ht="30" x14ac:dyDescent="0.2">
      <c r="A91" s="77" t="s">
        <v>124</v>
      </c>
      <c r="B91" s="33" t="s">
        <v>125</v>
      </c>
      <c r="C91" s="34">
        <f>[13]С3!F14</f>
        <v>4207.4782939208517</v>
      </c>
      <c r="D91" s="145"/>
    </row>
    <row r="92" spans="1:4" s="63" customFormat="1" ht="42.75" x14ac:dyDescent="0.2">
      <c r="A92" s="77" t="s">
        <v>126</v>
      </c>
      <c r="B92" s="53" t="s">
        <v>127</v>
      </c>
      <c r="C92" s="78">
        <f>[13]С3!F15</f>
        <v>0.2</v>
      </c>
      <c r="D92" s="145" t="str">
        <f>[13]С3.1!F12</f>
        <v xml:space="preserve">Налоговый кодекс Российской Федерации </v>
      </c>
    </row>
    <row r="93" spans="1:4" s="63" customFormat="1" ht="14.25" x14ac:dyDescent="0.2">
      <c r="A93" s="77" t="s">
        <v>128</v>
      </c>
      <c r="B93" s="79" t="s">
        <v>129</v>
      </c>
      <c r="C93" s="62">
        <f>[13]С3!F18</f>
        <v>15</v>
      </c>
      <c r="D93" s="145" t="s">
        <v>272</v>
      </c>
    </row>
    <row r="94" spans="1:4" s="63" customFormat="1" ht="17.25" x14ac:dyDescent="0.2">
      <c r="A94" s="77" t="s">
        <v>130</v>
      </c>
      <c r="B94" s="33" t="s">
        <v>131</v>
      </c>
      <c r="C94" s="34">
        <f>[13]С3!F19</f>
        <v>2638.2577020926874</v>
      </c>
      <c r="D94" s="145"/>
    </row>
    <row r="95" spans="1:4" s="63" customFormat="1" ht="55.5" x14ac:dyDescent="0.2">
      <c r="A95" s="77" t="s">
        <v>132</v>
      </c>
      <c r="B95" s="53" t="s">
        <v>133</v>
      </c>
      <c r="C95" s="80">
        <f>[13]С3!F20</f>
        <v>2.1999999999999999E-2</v>
      </c>
      <c r="D95" s="145" t="str">
        <f>[13]С3.1!F13</f>
        <v xml:space="preserve">Налоговый кодекс Российской Федерации </v>
      </c>
    </row>
    <row r="96" spans="1:4" s="63" customFormat="1" ht="14.25" x14ac:dyDescent="0.2">
      <c r="A96" s="77" t="s">
        <v>134</v>
      </c>
      <c r="B96" s="58" t="s">
        <v>80</v>
      </c>
      <c r="C96" s="62">
        <f>[13]С3!F21</f>
        <v>10</v>
      </c>
      <c r="D96" s="145" t="s">
        <v>272</v>
      </c>
    </row>
    <row r="97" spans="1:4" s="63" customFormat="1" ht="17.25" x14ac:dyDescent="0.2">
      <c r="A97" s="77" t="s">
        <v>135</v>
      </c>
      <c r="B97" s="33" t="s">
        <v>136</v>
      </c>
      <c r="C97" s="34">
        <f>[13]С3!F22</f>
        <v>0.99313812922960332</v>
      </c>
      <c r="D97" s="145"/>
    </row>
    <row r="98" spans="1:4" s="63" customFormat="1" ht="55.5" x14ac:dyDescent="0.2">
      <c r="A98" s="77" t="s">
        <v>137</v>
      </c>
      <c r="B98" s="53" t="s">
        <v>138</v>
      </c>
      <c r="C98" s="80">
        <f>[13]С3!F23</f>
        <v>3.0000000000000001E-3</v>
      </c>
      <c r="D98" s="145">
        <f>[13]С3.1!F14</f>
        <v>0</v>
      </c>
    </row>
    <row r="99" spans="1:4" s="63" customFormat="1" ht="30.75" thickBot="1" x14ac:dyDescent="0.25">
      <c r="A99" s="81" t="s">
        <v>139</v>
      </c>
      <c r="B99" s="82" t="s">
        <v>82</v>
      </c>
      <c r="C99" s="83">
        <f>[13]С3!F24</f>
        <v>331.04604307653443</v>
      </c>
      <c r="D99" s="148"/>
    </row>
    <row r="100" spans="1:4" ht="13.5" thickBot="1" x14ac:dyDescent="0.25">
      <c r="A100" s="47"/>
      <c r="B100" s="75"/>
      <c r="C100" s="15"/>
      <c r="D100" s="160"/>
    </row>
    <row r="101" spans="1:4" ht="30" customHeight="1" x14ac:dyDescent="0.2">
      <c r="A101" s="84" t="s">
        <v>141</v>
      </c>
      <c r="B101" s="165" t="s">
        <v>142</v>
      </c>
      <c r="C101" s="165"/>
      <c r="D101" s="170"/>
    </row>
    <row r="102" spans="1:4" ht="30" x14ac:dyDescent="0.2">
      <c r="A102" s="59" t="s">
        <v>143</v>
      </c>
      <c r="B102" s="33" t="s">
        <v>251</v>
      </c>
      <c r="C102" s="34">
        <f>[13]С4!F16</f>
        <v>832.33500000000004</v>
      </c>
      <c r="D102" s="145"/>
    </row>
    <row r="103" spans="1:4" ht="30" x14ac:dyDescent="0.2">
      <c r="A103" s="59" t="s">
        <v>145</v>
      </c>
      <c r="B103" s="58" t="s">
        <v>252</v>
      </c>
      <c r="C103" s="34">
        <f>[13]С4!F17</f>
        <v>43385</v>
      </c>
      <c r="D103" s="145" t="s">
        <v>260</v>
      </c>
    </row>
    <row r="104" spans="1:4" ht="17.25" x14ac:dyDescent="0.2">
      <c r="A104" s="59" t="s">
        <v>147</v>
      </c>
      <c r="B104" s="58" t="s">
        <v>148</v>
      </c>
      <c r="C104" s="40">
        <f>[13]С4!F18</f>
        <v>1.4999999999999999E-2</v>
      </c>
      <c r="D104" s="145" t="s">
        <v>260</v>
      </c>
    </row>
    <row r="105" spans="1:4" ht="30" x14ac:dyDescent="0.2">
      <c r="A105" s="59" t="s">
        <v>149</v>
      </c>
      <c r="B105" s="58" t="s">
        <v>150</v>
      </c>
      <c r="C105" s="34">
        <f>[13]С4!F19</f>
        <v>12104</v>
      </c>
      <c r="D105" s="145" t="s">
        <v>275</v>
      </c>
    </row>
    <row r="106" spans="1:4" ht="31.5" x14ac:dyDescent="0.2">
      <c r="A106" s="59" t="s">
        <v>151</v>
      </c>
      <c r="B106" s="58" t="s">
        <v>152</v>
      </c>
      <c r="C106" s="40">
        <f>[13]С4!F20</f>
        <v>1.4999999999999999E-2</v>
      </c>
      <c r="D106" s="145" t="s">
        <v>275</v>
      </c>
    </row>
    <row r="107" spans="1:4" ht="30" x14ac:dyDescent="0.2">
      <c r="A107" s="59" t="s">
        <v>153</v>
      </c>
      <c r="B107" s="33" t="s">
        <v>253</v>
      </c>
      <c r="C107" s="34">
        <f>[13]С4!F21</f>
        <v>1221.9019409821399</v>
      </c>
      <c r="D107" s="145"/>
    </row>
    <row r="108" spans="1:4" ht="45.6" customHeight="1" x14ac:dyDescent="0.2">
      <c r="A108" s="59" t="s">
        <v>155</v>
      </c>
      <c r="B108" s="53" t="s">
        <v>156</v>
      </c>
      <c r="C108" s="85" t="str">
        <f>IF([13]С4.2!F8="да",[13]С4.2!D21,[13]С4.2!D15)</f>
        <v>АО "Новосибирскэнергосбыт"</v>
      </c>
      <c r="D108" s="145"/>
    </row>
    <row r="109" spans="1:4" ht="68.25" customHeight="1" x14ac:dyDescent="0.2">
      <c r="A109" s="59" t="s">
        <v>157</v>
      </c>
      <c r="B109" s="53" t="s">
        <v>158</v>
      </c>
      <c r="C109" s="34">
        <f>[13]С4!F22</f>
        <v>3.6112641666666665</v>
      </c>
      <c r="D109" s="145" t="str">
        <f>IF([13]С4.2!F8="да",[13]С4.2!E21,[13]С4.2!E15)</f>
        <v>https://www.nskes.ru/dlya-biznesa/tarify-i-oplata/nereguliruemye-tseny/</v>
      </c>
    </row>
    <row r="110" spans="1:4" ht="30" x14ac:dyDescent="0.2">
      <c r="A110" s="59" t="s">
        <v>159</v>
      </c>
      <c r="B110" s="58" t="s">
        <v>254</v>
      </c>
      <c r="C110" s="62">
        <f>[13]С4!F23</f>
        <v>110</v>
      </c>
      <c r="D110" s="145" t="s">
        <v>273</v>
      </c>
    </row>
    <row r="111" spans="1:4" ht="14.25" x14ac:dyDescent="0.2">
      <c r="A111" s="59" t="s">
        <v>161</v>
      </c>
      <c r="B111" s="53" t="s">
        <v>162</v>
      </c>
      <c r="C111" s="34">
        <f>[13]С4!F24</f>
        <v>8497.1999999999989</v>
      </c>
      <c r="D111" s="145" t="s">
        <v>260</v>
      </c>
    </row>
    <row r="112" spans="1:4" ht="14.25" x14ac:dyDescent="0.2">
      <c r="A112" s="59" t="s">
        <v>163</v>
      </c>
      <c r="B112" s="58" t="s">
        <v>164</v>
      </c>
      <c r="C112" s="40">
        <f>[13]С4!F25</f>
        <v>0.36199999999999999</v>
      </c>
      <c r="D112" s="145" t="s">
        <v>276</v>
      </c>
    </row>
    <row r="113" spans="1:4" ht="17.25" x14ac:dyDescent="0.2">
      <c r="A113" s="59" t="s">
        <v>165</v>
      </c>
      <c r="B113" s="33" t="s">
        <v>166</v>
      </c>
      <c r="C113" s="34">
        <f>[13]С4!F26</f>
        <v>40.123830000000005</v>
      </c>
      <c r="D113" s="145"/>
    </row>
    <row r="114" spans="1:4" ht="25.5" x14ac:dyDescent="0.2">
      <c r="A114" s="59" t="s">
        <v>167</v>
      </c>
      <c r="B114" s="53" t="s">
        <v>94</v>
      </c>
      <c r="C114" s="85">
        <f>[13]С4.3!E16</f>
        <v>0</v>
      </c>
      <c r="D114" s="145">
        <f>[13]С4.3!F16</f>
        <v>0</v>
      </c>
    </row>
    <row r="115" spans="1:4" ht="25.5" x14ac:dyDescent="0.2">
      <c r="A115" s="59" t="s">
        <v>168</v>
      </c>
      <c r="B115" s="53" t="s">
        <v>169</v>
      </c>
      <c r="C115" s="34">
        <f>[13]С4.3!E17</f>
        <v>18.059999999999999</v>
      </c>
      <c r="D115" s="150">
        <f>[13]С4.3!F17</f>
        <v>0</v>
      </c>
    </row>
    <row r="116" spans="1:4" ht="38.25" x14ac:dyDescent="0.2">
      <c r="A116" s="59" t="s">
        <v>170</v>
      </c>
      <c r="B116" s="53" t="s">
        <v>106</v>
      </c>
      <c r="C116" s="85">
        <f>[13]С4.3!E18</f>
        <v>0</v>
      </c>
      <c r="D116" s="145">
        <f>[13]С4.3!F18</f>
        <v>0</v>
      </c>
    </row>
    <row r="117" spans="1:4" x14ac:dyDescent="0.2">
      <c r="A117" s="59" t="s">
        <v>171</v>
      </c>
      <c r="B117" s="53" t="s">
        <v>172</v>
      </c>
      <c r="C117" s="34">
        <f>[13]С4.3!E19</f>
        <v>71.67</v>
      </c>
      <c r="D117" s="150">
        <f>[13]С4.3!F19</f>
        <v>0</v>
      </c>
    </row>
    <row r="118" spans="1:4" x14ac:dyDescent="0.2">
      <c r="A118" s="59" t="s">
        <v>173</v>
      </c>
      <c r="B118" s="58" t="s">
        <v>174</v>
      </c>
      <c r="C118" s="62">
        <f>[13]С4.3!E11</f>
        <v>1871</v>
      </c>
      <c r="D118" s="145" t="s">
        <v>260</v>
      </c>
    </row>
    <row r="119" spans="1:4" x14ac:dyDescent="0.2">
      <c r="A119" s="59" t="s">
        <v>175</v>
      </c>
      <c r="B119" s="58" t="s">
        <v>176</v>
      </c>
      <c r="C119" s="52">
        <f>[13]С4.3!E12</f>
        <v>61</v>
      </c>
      <c r="D119" s="145" t="s">
        <v>260</v>
      </c>
    </row>
    <row r="120" spans="1:4" x14ac:dyDescent="0.2">
      <c r="A120" s="59" t="s">
        <v>177</v>
      </c>
      <c r="B120" s="58" t="s">
        <v>178</v>
      </c>
      <c r="C120" s="52">
        <f>[13]С4.3!E13</f>
        <v>73</v>
      </c>
      <c r="D120" s="145" t="s">
        <v>260</v>
      </c>
    </row>
    <row r="121" spans="1:4" ht="30" x14ac:dyDescent="0.2">
      <c r="A121" s="59" t="s">
        <v>179</v>
      </c>
      <c r="B121" s="33" t="s">
        <v>255</v>
      </c>
      <c r="C121" s="34">
        <f>[13]С4!F27</f>
        <v>904.62444244124072</v>
      </c>
      <c r="D121" s="145"/>
    </row>
    <row r="122" spans="1:4" ht="25.5" x14ac:dyDescent="0.2">
      <c r="A122" s="59" t="s">
        <v>181</v>
      </c>
      <c r="B122" s="53" t="s">
        <v>256</v>
      </c>
      <c r="C122" s="34">
        <f>[13]С4!F28</f>
        <v>694.79603874135228</v>
      </c>
      <c r="D122" s="150"/>
    </row>
    <row r="123" spans="1:4" ht="42.75" x14ac:dyDescent="0.2">
      <c r="A123" s="59" t="s">
        <v>183</v>
      </c>
      <c r="B123" s="53" t="s">
        <v>184</v>
      </c>
      <c r="C123" s="34">
        <f>[13]С4!F29</f>
        <v>209.82840369988838</v>
      </c>
      <c r="D123" s="145"/>
    </row>
    <row r="124" spans="1:4" ht="30.75" thickBot="1" x14ac:dyDescent="0.25">
      <c r="A124" s="72" t="s">
        <v>185</v>
      </c>
      <c r="B124" s="90" t="s">
        <v>186</v>
      </c>
      <c r="C124" s="83">
        <f>[13]С4!F30</f>
        <v>475.40681839948314</v>
      </c>
      <c r="D124" s="148"/>
    </row>
    <row r="125" spans="1:4" s="89" customFormat="1" ht="13.5" thickBot="1" x14ac:dyDescent="0.25">
      <c r="A125" s="47"/>
      <c r="B125" s="75"/>
      <c r="C125" s="15"/>
      <c r="D125" s="160"/>
    </row>
    <row r="126" spans="1:4" s="63" customFormat="1" ht="30" customHeight="1" x14ac:dyDescent="0.2">
      <c r="A126" s="76" t="s">
        <v>195</v>
      </c>
      <c r="B126" s="165" t="s">
        <v>196</v>
      </c>
      <c r="C126" s="165"/>
      <c r="D126" s="170"/>
    </row>
    <row r="127" spans="1:4" ht="30.6" customHeight="1" thickBot="1" x14ac:dyDescent="0.25">
      <c r="A127" s="27" t="s">
        <v>197</v>
      </c>
      <c r="B127" s="90" t="s">
        <v>198</v>
      </c>
      <c r="C127" s="83">
        <f>[13]С5!F17</f>
        <v>0.02</v>
      </c>
      <c r="D127" s="155" t="s">
        <v>261</v>
      </c>
    </row>
    <row r="128" spans="1:4" s="89" customFormat="1" ht="13.5" thickBot="1" x14ac:dyDescent="0.25">
      <c r="A128" s="47"/>
      <c r="B128" s="75"/>
      <c r="C128" s="15"/>
      <c r="D128" s="160"/>
    </row>
    <row r="129" spans="1:5" ht="42.75" customHeight="1" x14ac:dyDescent="0.2">
      <c r="A129" s="84" t="s">
        <v>199</v>
      </c>
      <c r="B129" s="165" t="s">
        <v>200</v>
      </c>
      <c r="C129" s="165"/>
      <c r="D129" s="170"/>
    </row>
    <row r="130" spans="1:5" ht="68.25" x14ac:dyDescent="0.2">
      <c r="A130" s="59" t="s">
        <v>201</v>
      </c>
      <c r="B130" s="91" t="s">
        <v>202</v>
      </c>
      <c r="C130" s="34" t="str">
        <f>IF([13]С6.1!E11="нет",[13]С6!F13,"")</f>
        <v/>
      </c>
      <c r="D130" s="145"/>
    </row>
    <row r="131" spans="1:5" ht="42.75" x14ac:dyDescent="0.2">
      <c r="A131" s="59" t="s">
        <v>204</v>
      </c>
      <c r="B131" s="86" t="s">
        <v>205</v>
      </c>
      <c r="C131" s="92" t="str">
        <f>IF([13]С6.1!E12="нет",[13]С6.1!E17,"")</f>
        <v/>
      </c>
      <c r="D131" s="145" t="str">
        <f>IF([13]С6.1!E12="нет",[13]С6.1!F17,"")</f>
        <v/>
      </c>
    </row>
    <row r="132" spans="1:5" ht="68.25" x14ac:dyDescent="0.2">
      <c r="A132" s="59" t="s">
        <v>206</v>
      </c>
      <c r="B132" s="91" t="s">
        <v>207</v>
      </c>
      <c r="C132" s="127" t="str">
        <f>IF([13]С6.1!E18="нет",[13]С6!F19,"")</f>
        <v/>
      </c>
      <c r="D132" s="147"/>
    </row>
    <row r="133" spans="1:5" ht="55.5" x14ac:dyDescent="0.2">
      <c r="A133" s="59" t="s">
        <v>208</v>
      </c>
      <c r="B133" s="86" t="s">
        <v>209</v>
      </c>
      <c r="C133" s="35" t="str">
        <f>IF([13]С6.1!E18="нет",[13]С6.1!E19,"")</f>
        <v/>
      </c>
      <c r="D133" s="145" t="str">
        <f>IF([13]С6.1!E18="нет",[13]С6.1!F19,"")</f>
        <v/>
      </c>
    </row>
    <row r="134" spans="1:5" ht="61.5" customHeight="1" x14ac:dyDescent="0.2">
      <c r="A134" s="59" t="s">
        <v>210</v>
      </c>
      <c r="B134" s="86" t="s">
        <v>257</v>
      </c>
      <c r="C134" s="35" t="str">
        <f>IF([13]С6.1!E18="нет",[13]С6.1!E22,"")</f>
        <v/>
      </c>
      <c r="D134" s="145" t="str">
        <f>IF([13]С6.1!E18="нет",[13]С6.1!F22,"")</f>
        <v/>
      </c>
    </row>
    <row r="135" spans="1:5" ht="69" thickBot="1" x14ac:dyDescent="0.25">
      <c r="A135" s="72" t="s">
        <v>212</v>
      </c>
      <c r="B135" s="98" t="s">
        <v>213</v>
      </c>
      <c r="C135" s="74" t="str">
        <f>IF([13]С6.1!E18="нет",[13]С6.1!E23,"")</f>
        <v/>
      </c>
      <c r="D135" s="148" t="str">
        <f>IF([13]С6.1!E18="нет",[13]С6.1!F23,"")</f>
        <v/>
      </c>
    </row>
    <row r="136" spans="1:5" s="89" customFormat="1" ht="13.5" thickBot="1" x14ac:dyDescent="0.25">
      <c r="A136" s="47"/>
      <c r="B136" s="75"/>
      <c r="C136" s="15"/>
      <c r="D136" s="160"/>
    </row>
    <row r="137" spans="1:5" ht="15.75" x14ac:dyDescent="0.2">
      <c r="A137" s="84" t="s">
        <v>214</v>
      </c>
      <c r="B137" s="99" t="s">
        <v>215</v>
      </c>
      <c r="C137" s="100">
        <f>[13]С2!F39</f>
        <v>21.531904799999996</v>
      </c>
      <c r="D137" s="157"/>
    </row>
    <row r="138" spans="1:5" ht="14.25" x14ac:dyDescent="0.2">
      <c r="A138" s="59" t="s">
        <v>216</v>
      </c>
      <c r="B138" s="58" t="s">
        <v>217</v>
      </c>
      <c r="C138" s="34">
        <f>[13]С2!F40</f>
        <v>7</v>
      </c>
      <c r="D138" s="145" t="s">
        <v>260</v>
      </c>
    </row>
    <row r="139" spans="1:5" ht="17.25" x14ac:dyDescent="0.2">
      <c r="A139" s="59" t="s">
        <v>218</v>
      </c>
      <c r="B139" s="58" t="s">
        <v>219</v>
      </c>
      <c r="C139" s="34">
        <f>[13]С2!F42</f>
        <v>0.97</v>
      </c>
      <c r="D139" s="145" t="s">
        <v>260</v>
      </c>
    </row>
    <row r="140" spans="1:5" ht="15" thickBot="1" x14ac:dyDescent="0.25">
      <c r="A140" s="72" t="s">
        <v>220</v>
      </c>
      <c r="B140" s="73" t="s">
        <v>221</v>
      </c>
      <c r="C140" s="46">
        <f>[13]С2!F44</f>
        <v>0.36199999999999999</v>
      </c>
      <c r="D140" s="148" t="s">
        <v>276</v>
      </c>
    </row>
    <row r="141" spans="1:5" s="89" customFormat="1" ht="13.5" thickBot="1" x14ac:dyDescent="0.25">
      <c r="A141" s="47"/>
      <c r="B141" s="75"/>
      <c r="C141" s="15"/>
      <c r="D141" s="160"/>
    </row>
    <row r="142" spans="1:5" ht="409.5" x14ac:dyDescent="0.2">
      <c r="A142" s="84" t="s">
        <v>222</v>
      </c>
      <c r="B142" s="103" t="s">
        <v>258</v>
      </c>
      <c r="C142" s="128">
        <f>[13]С2!F37</f>
        <v>1.4976266307379205</v>
      </c>
      <c r="D142" s="157" t="str">
        <f>[13]С2.5!D15</f>
        <v>на 2020: Прогноз социально-экономического развития Российской Федерации на 2022 год и на плановый период 2023 и 2024 годов (размещен на официальном сайте Минэкономразвития России 30.09.2021): файл в формате Microsoft Excel «12. Дефляторы базовый», таблица «Прогноз индексов цен производителей и индексов-дефляторов по видам экономической деятельности, в % г/г (Базовый вариант)», отрасль «Промышленность (BСDE)», (показатель «ИЦП»)
на 2021-2023 годы:  Прогноз социально-экономического развития Российской Федерации на 2023 год и на плановый период 2024 и 2025 годов (размещен на официальном сайте Минэкономразвития России 28.09.2022): файл в формате Microsoft Excel «7. Дефляторы базовый», таблица «Прогноз индексов цен производителей и индексов-дефляторов по видам экономической деятельности, в % г/г  (Базовый)», отрасль «Промышленность (BСDE)», (показатель «ИЦП»)</v>
      </c>
      <c r="E142" s="89"/>
    </row>
    <row r="143" spans="1:5" ht="17.25" customHeight="1" thickBot="1" x14ac:dyDescent="0.25">
      <c r="A143" s="72" t="s">
        <v>224</v>
      </c>
      <c r="B143" s="161" t="s">
        <v>225</v>
      </c>
      <c r="C143" s="161"/>
      <c r="D143" s="168"/>
      <c r="E143" s="89"/>
    </row>
    <row r="144" spans="1:5" x14ac:dyDescent="0.2">
      <c r="A144" s="105"/>
      <c r="B144" s="129" t="s">
        <v>226</v>
      </c>
      <c r="C144" s="130"/>
      <c r="D144" s="9"/>
    </row>
    <row r="145" spans="1:4" x14ac:dyDescent="0.2">
      <c r="A145" s="105"/>
      <c r="B145" s="131">
        <v>2020</v>
      </c>
      <c r="C145" s="132">
        <f>[13]С2.5!$E$11</f>
        <v>-2.9000000000000026E-2</v>
      </c>
      <c r="D145" s="9"/>
    </row>
    <row r="146" spans="1:4" x14ac:dyDescent="0.2">
      <c r="B146" s="131">
        <f>B145+1</f>
        <v>2021</v>
      </c>
      <c r="C146" s="133">
        <f>[13]С2.5!$F$11</f>
        <v>0.245</v>
      </c>
    </row>
    <row r="147" spans="1:4" x14ac:dyDescent="0.2">
      <c r="B147" s="131">
        <f t="shared" ref="B147:B210" si="0">B146+1</f>
        <v>2022</v>
      </c>
      <c r="C147" s="134">
        <f>[13]С2.5!$G$11</f>
        <v>0.114</v>
      </c>
    </row>
    <row r="148" spans="1:4" x14ac:dyDescent="0.2">
      <c r="B148" s="110">
        <f t="shared" si="0"/>
        <v>2023</v>
      </c>
      <c r="C148" s="135">
        <f>[13]С2.5!$H$11</f>
        <v>2.4E-2</v>
      </c>
    </row>
    <row r="149" spans="1:4" ht="13.5" thickBot="1" x14ac:dyDescent="0.25">
      <c r="B149" s="110">
        <f t="shared" si="0"/>
        <v>2024</v>
      </c>
      <c r="C149" s="135">
        <f>[13]С2.5!$I$11</f>
        <v>8.5999999999999993E-2</v>
      </c>
    </row>
    <row r="150" spans="1:4" ht="13.5" hidden="1" thickBot="1" x14ac:dyDescent="0.25">
      <c r="B150" s="110">
        <f t="shared" si="0"/>
        <v>2025</v>
      </c>
      <c r="C150" s="135">
        <f>[13]С2.5!$J$11</f>
        <v>0</v>
      </c>
    </row>
    <row r="151" spans="1:4" ht="13.5" hidden="1" thickBot="1" x14ac:dyDescent="0.25">
      <c r="B151" s="110">
        <f t="shared" si="0"/>
        <v>2026</v>
      </c>
      <c r="C151" s="135">
        <f>[13]С2.5!$K$11</f>
        <v>0</v>
      </c>
    </row>
    <row r="152" spans="1:4" ht="13.5" hidden="1" thickBot="1" x14ac:dyDescent="0.25">
      <c r="B152" s="110">
        <f t="shared" si="0"/>
        <v>2027</v>
      </c>
      <c r="C152" s="135">
        <f>[13]С2.5!$L$11</f>
        <v>0</v>
      </c>
    </row>
    <row r="153" spans="1:4" ht="13.5" hidden="1" thickBot="1" x14ac:dyDescent="0.25">
      <c r="B153" s="110">
        <f t="shared" si="0"/>
        <v>2028</v>
      </c>
      <c r="C153" s="135">
        <f>[13]С2.5!$M$11</f>
        <v>0</v>
      </c>
    </row>
    <row r="154" spans="1:4" ht="13.5" hidden="1" thickBot="1" x14ac:dyDescent="0.25">
      <c r="B154" s="110">
        <f t="shared" si="0"/>
        <v>2029</v>
      </c>
      <c r="C154" s="135">
        <f>[13]С2.5!$N$11</f>
        <v>0</v>
      </c>
    </row>
    <row r="155" spans="1:4" ht="13.5" hidden="1" thickBot="1" x14ac:dyDescent="0.25">
      <c r="B155" s="110">
        <f t="shared" si="0"/>
        <v>2030</v>
      </c>
      <c r="C155" s="135">
        <f>[13]С2.5!$O$11</f>
        <v>0</v>
      </c>
    </row>
    <row r="156" spans="1:4" ht="13.5" hidden="1" thickBot="1" x14ac:dyDescent="0.25">
      <c r="B156" s="110">
        <f t="shared" si="0"/>
        <v>2031</v>
      </c>
      <c r="C156" s="135">
        <f>[13]С2.5!$P$11</f>
        <v>0</v>
      </c>
    </row>
    <row r="157" spans="1:4" ht="13.5" hidden="1" thickBot="1" x14ac:dyDescent="0.25">
      <c r="B157" s="110">
        <f t="shared" si="0"/>
        <v>2032</v>
      </c>
      <c r="C157" s="135">
        <f>[13]С2.5!$Q$11</f>
        <v>0</v>
      </c>
    </row>
    <row r="158" spans="1:4" ht="13.5" hidden="1" thickBot="1" x14ac:dyDescent="0.25">
      <c r="B158" s="110">
        <f t="shared" si="0"/>
        <v>2033</v>
      </c>
      <c r="C158" s="135">
        <f>[13]С2.5!$R$11</f>
        <v>0</v>
      </c>
    </row>
    <row r="159" spans="1:4" ht="13.5" hidden="1" thickBot="1" x14ac:dyDescent="0.25">
      <c r="B159" s="110">
        <f t="shared" si="0"/>
        <v>2034</v>
      </c>
      <c r="C159" s="135">
        <f>[13]С2.5!$S$11</f>
        <v>0</v>
      </c>
    </row>
    <row r="160" spans="1:4" ht="13.5" hidden="1" thickBot="1" x14ac:dyDescent="0.25">
      <c r="B160" s="110">
        <f t="shared" si="0"/>
        <v>2035</v>
      </c>
      <c r="C160" s="135">
        <f>[13]С2.5!$T$11</f>
        <v>0</v>
      </c>
    </row>
    <row r="161" spans="2:3" s="2" customFormat="1" ht="13.5" hidden="1" thickBot="1" x14ac:dyDescent="0.25">
      <c r="B161" s="110">
        <f t="shared" si="0"/>
        <v>2036</v>
      </c>
      <c r="C161" s="135">
        <f>[13]С2.5!$U$11</f>
        <v>0</v>
      </c>
    </row>
    <row r="162" spans="2:3" s="2" customFormat="1" ht="13.5" hidden="1" thickBot="1" x14ac:dyDescent="0.25">
      <c r="B162" s="110">
        <f t="shared" si="0"/>
        <v>2037</v>
      </c>
      <c r="C162" s="135">
        <f>[13]С2.5!$V$11</f>
        <v>0</v>
      </c>
    </row>
    <row r="163" spans="2:3" s="2" customFormat="1" ht="13.5" hidden="1" thickBot="1" x14ac:dyDescent="0.25">
      <c r="B163" s="110">
        <f t="shared" si="0"/>
        <v>2038</v>
      </c>
      <c r="C163" s="135">
        <f>[13]С2.5!$W$11</f>
        <v>0</v>
      </c>
    </row>
    <row r="164" spans="2:3" s="2" customFormat="1" ht="13.5" hidden="1" thickBot="1" x14ac:dyDescent="0.25">
      <c r="B164" s="110">
        <f t="shared" si="0"/>
        <v>2039</v>
      </c>
      <c r="C164" s="135">
        <f>[13]С2.5!$X$11</f>
        <v>0</v>
      </c>
    </row>
    <row r="165" spans="2:3" s="2" customFormat="1" ht="13.5" hidden="1" thickBot="1" x14ac:dyDescent="0.25">
      <c r="B165" s="110">
        <f t="shared" si="0"/>
        <v>2040</v>
      </c>
      <c r="C165" s="135">
        <f>[13]С2.5!$Y$11</f>
        <v>0</v>
      </c>
    </row>
    <row r="166" spans="2:3" s="2" customFormat="1" ht="13.5" hidden="1" thickBot="1" x14ac:dyDescent="0.25">
      <c r="B166" s="110">
        <f t="shared" si="0"/>
        <v>2041</v>
      </c>
      <c r="C166" s="135">
        <f>[13]С2.5!$Z$11</f>
        <v>0</v>
      </c>
    </row>
    <row r="167" spans="2:3" s="2" customFormat="1" ht="13.5" hidden="1" thickBot="1" x14ac:dyDescent="0.25">
      <c r="B167" s="110">
        <f t="shared" si="0"/>
        <v>2042</v>
      </c>
      <c r="C167" s="135">
        <f>[13]С2.5!$AA$11</f>
        <v>0</v>
      </c>
    </row>
    <row r="168" spans="2:3" s="2" customFormat="1" ht="13.5" hidden="1" thickBot="1" x14ac:dyDescent="0.25">
      <c r="B168" s="110">
        <f t="shared" si="0"/>
        <v>2043</v>
      </c>
      <c r="C168" s="135">
        <f>[13]С2.5!$AB$11</f>
        <v>0</v>
      </c>
    </row>
    <row r="169" spans="2:3" s="2" customFormat="1" ht="13.5" hidden="1" thickBot="1" x14ac:dyDescent="0.25">
      <c r="B169" s="110">
        <f t="shared" si="0"/>
        <v>2044</v>
      </c>
      <c r="C169" s="135">
        <f>[13]С2.5!$AC$11</f>
        <v>0</v>
      </c>
    </row>
    <row r="170" spans="2:3" s="2" customFormat="1" ht="13.5" hidden="1" thickBot="1" x14ac:dyDescent="0.25">
      <c r="B170" s="110">
        <f t="shared" si="0"/>
        <v>2045</v>
      </c>
      <c r="C170" s="135">
        <f>[13]С2.5!$AD$11</f>
        <v>0</v>
      </c>
    </row>
    <row r="171" spans="2:3" s="2" customFormat="1" ht="13.5" hidden="1" thickBot="1" x14ac:dyDescent="0.25">
      <c r="B171" s="110">
        <f t="shared" si="0"/>
        <v>2046</v>
      </c>
      <c r="C171" s="135">
        <f>[13]С2.5!$AE$11</f>
        <v>0</v>
      </c>
    </row>
    <row r="172" spans="2:3" s="2" customFormat="1" ht="13.5" hidden="1" thickBot="1" x14ac:dyDescent="0.25">
      <c r="B172" s="110">
        <f t="shared" si="0"/>
        <v>2047</v>
      </c>
      <c r="C172" s="135">
        <f>[13]С2.5!$AF$11</f>
        <v>0</v>
      </c>
    </row>
    <row r="173" spans="2:3" s="2" customFormat="1" ht="13.5" hidden="1" thickBot="1" x14ac:dyDescent="0.25">
      <c r="B173" s="110">
        <f t="shared" si="0"/>
        <v>2048</v>
      </c>
      <c r="C173" s="135">
        <f>[13]С2.5!$AG$11</f>
        <v>0</v>
      </c>
    </row>
    <row r="174" spans="2:3" s="2" customFormat="1" ht="13.5" hidden="1" thickBot="1" x14ac:dyDescent="0.25">
      <c r="B174" s="110">
        <f t="shared" si="0"/>
        <v>2049</v>
      </c>
      <c r="C174" s="135">
        <f>[13]С2.5!$AH$11</f>
        <v>0</v>
      </c>
    </row>
    <row r="175" spans="2:3" s="2" customFormat="1" ht="13.5" hidden="1" thickBot="1" x14ac:dyDescent="0.25">
      <c r="B175" s="110">
        <f t="shared" si="0"/>
        <v>2050</v>
      </c>
      <c r="C175" s="135">
        <f>[13]С2.5!$AI$11</f>
        <v>0</v>
      </c>
    </row>
    <row r="176" spans="2:3" s="2" customFormat="1" ht="13.5" hidden="1" thickBot="1" x14ac:dyDescent="0.25">
      <c r="B176" s="110">
        <f t="shared" si="0"/>
        <v>2051</v>
      </c>
      <c r="C176" s="135">
        <f>[13]С2.5!$AJ$11</f>
        <v>0</v>
      </c>
    </row>
    <row r="177" spans="2:3" s="2" customFormat="1" ht="13.5" hidden="1" thickBot="1" x14ac:dyDescent="0.25">
      <c r="B177" s="110">
        <f t="shared" si="0"/>
        <v>2052</v>
      </c>
      <c r="C177" s="135">
        <f>[13]С2.5!$AK$11</f>
        <v>0</v>
      </c>
    </row>
    <row r="178" spans="2:3" s="2" customFormat="1" ht="13.5" hidden="1" thickBot="1" x14ac:dyDescent="0.25">
      <c r="B178" s="110">
        <f t="shared" si="0"/>
        <v>2053</v>
      </c>
      <c r="C178" s="135">
        <f>[13]С2.5!$AL$11</f>
        <v>0</v>
      </c>
    </row>
    <row r="179" spans="2:3" s="2" customFormat="1" ht="13.5" hidden="1" thickBot="1" x14ac:dyDescent="0.25">
      <c r="B179" s="110">
        <f t="shared" si="0"/>
        <v>2054</v>
      </c>
      <c r="C179" s="135">
        <f>[13]С2.5!$AM$11</f>
        <v>0</v>
      </c>
    </row>
    <row r="180" spans="2:3" s="2" customFormat="1" ht="13.5" hidden="1" thickBot="1" x14ac:dyDescent="0.25">
      <c r="B180" s="110">
        <f t="shared" si="0"/>
        <v>2055</v>
      </c>
      <c r="C180" s="135">
        <f>[13]С2.5!$AN$11</f>
        <v>0</v>
      </c>
    </row>
    <row r="181" spans="2:3" s="2" customFormat="1" ht="13.5" hidden="1" thickBot="1" x14ac:dyDescent="0.25">
      <c r="B181" s="110">
        <f t="shared" si="0"/>
        <v>2056</v>
      </c>
      <c r="C181" s="135">
        <f>[13]С2.5!$AO$11</f>
        <v>0</v>
      </c>
    </row>
    <row r="182" spans="2:3" s="2" customFormat="1" ht="13.5" hidden="1" thickBot="1" x14ac:dyDescent="0.25">
      <c r="B182" s="110">
        <f t="shared" si="0"/>
        <v>2057</v>
      </c>
      <c r="C182" s="135">
        <f>[13]С2.5!$AP$11</f>
        <v>0</v>
      </c>
    </row>
    <row r="183" spans="2:3" s="2" customFormat="1" ht="13.5" hidden="1" thickBot="1" x14ac:dyDescent="0.25">
      <c r="B183" s="110">
        <f t="shared" si="0"/>
        <v>2058</v>
      </c>
      <c r="C183" s="135">
        <f>[13]С2.5!$AQ$11</f>
        <v>0</v>
      </c>
    </row>
    <row r="184" spans="2:3" s="2" customFormat="1" ht="13.5" hidden="1" thickBot="1" x14ac:dyDescent="0.25">
      <c r="B184" s="110">
        <f t="shared" si="0"/>
        <v>2059</v>
      </c>
      <c r="C184" s="135">
        <f>[13]С2.5!$AR$11</f>
        <v>0</v>
      </c>
    </row>
    <row r="185" spans="2:3" s="2" customFormat="1" ht="13.5" hidden="1" thickBot="1" x14ac:dyDescent="0.25">
      <c r="B185" s="110">
        <f t="shared" si="0"/>
        <v>2060</v>
      </c>
      <c r="C185" s="135">
        <f>[13]С2.5!$AS$11</f>
        <v>0</v>
      </c>
    </row>
    <row r="186" spans="2:3" s="2" customFormat="1" ht="13.5" hidden="1" thickBot="1" x14ac:dyDescent="0.25">
      <c r="B186" s="110">
        <f t="shared" si="0"/>
        <v>2061</v>
      </c>
      <c r="C186" s="135">
        <f>[13]С2.5!$AT$11</f>
        <v>0</v>
      </c>
    </row>
    <row r="187" spans="2:3" s="2" customFormat="1" ht="13.5" hidden="1" thickBot="1" x14ac:dyDescent="0.25">
      <c r="B187" s="110">
        <f t="shared" si="0"/>
        <v>2062</v>
      </c>
      <c r="C187" s="135">
        <f>[13]С2.5!$AU$11</f>
        <v>0</v>
      </c>
    </row>
    <row r="188" spans="2:3" s="2" customFormat="1" ht="13.5" hidden="1" thickBot="1" x14ac:dyDescent="0.25">
      <c r="B188" s="110">
        <f t="shared" si="0"/>
        <v>2063</v>
      </c>
      <c r="C188" s="135">
        <f>[13]С2.5!$AV$11</f>
        <v>0</v>
      </c>
    </row>
    <row r="189" spans="2:3" s="2" customFormat="1" ht="13.5" hidden="1" thickBot="1" x14ac:dyDescent="0.25">
      <c r="B189" s="110">
        <f t="shared" si="0"/>
        <v>2064</v>
      </c>
      <c r="C189" s="135">
        <f>[13]С2.5!$AW$11</f>
        <v>0</v>
      </c>
    </row>
    <row r="190" spans="2:3" s="2" customFormat="1" ht="13.5" hidden="1" thickBot="1" x14ac:dyDescent="0.25">
      <c r="B190" s="110">
        <f t="shared" si="0"/>
        <v>2065</v>
      </c>
      <c r="C190" s="135">
        <f>[13]С2.5!$AX$11</f>
        <v>0</v>
      </c>
    </row>
    <row r="191" spans="2:3" s="2" customFormat="1" ht="13.5" hidden="1" thickBot="1" x14ac:dyDescent="0.25">
      <c r="B191" s="110">
        <f t="shared" si="0"/>
        <v>2066</v>
      </c>
      <c r="C191" s="135">
        <f>[13]С2.5!$AY$11</f>
        <v>0</v>
      </c>
    </row>
    <row r="192" spans="2:3" s="2" customFormat="1" ht="13.5" hidden="1" thickBot="1" x14ac:dyDescent="0.25">
      <c r="B192" s="110">
        <f t="shared" si="0"/>
        <v>2067</v>
      </c>
      <c r="C192" s="135">
        <f>[13]С2.5!$AZ$11</f>
        <v>0</v>
      </c>
    </row>
    <row r="193" spans="2:3" s="2" customFormat="1" ht="13.5" hidden="1" thickBot="1" x14ac:dyDescent="0.25">
      <c r="B193" s="110">
        <f t="shared" si="0"/>
        <v>2068</v>
      </c>
      <c r="C193" s="135">
        <f>[13]С2.5!$BA$11</f>
        <v>0</v>
      </c>
    </row>
    <row r="194" spans="2:3" s="2" customFormat="1" ht="13.5" hidden="1" thickBot="1" x14ac:dyDescent="0.25">
      <c r="B194" s="110">
        <f t="shared" si="0"/>
        <v>2069</v>
      </c>
      <c r="C194" s="135">
        <f>[13]С2.5!$BB$11</f>
        <v>0</v>
      </c>
    </row>
    <row r="195" spans="2:3" s="2" customFormat="1" ht="13.5" hidden="1" thickBot="1" x14ac:dyDescent="0.25">
      <c r="B195" s="110">
        <f t="shared" si="0"/>
        <v>2070</v>
      </c>
      <c r="C195" s="135">
        <f>[13]С2.5!$BC$11</f>
        <v>0</v>
      </c>
    </row>
    <row r="196" spans="2:3" s="2" customFormat="1" ht="13.5" hidden="1" thickBot="1" x14ac:dyDescent="0.25">
      <c r="B196" s="110">
        <f t="shared" si="0"/>
        <v>2071</v>
      </c>
      <c r="C196" s="135">
        <f>[13]С2.5!$BD$11</f>
        <v>0</v>
      </c>
    </row>
    <row r="197" spans="2:3" s="2" customFormat="1" ht="13.5" hidden="1" thickBot="1" x14ac:dyDescent="0.25">
      <c r="B197" s="110">
        <f t="shared" si="0"/>
        <v>2072</v>
      </c>
      <c r="C197" s="135">
        <f>[13]С2.5!$BE$11</f>
        <v>0</v>
      </c>
    </row>
    <row r="198" spans="2:3" s="2" customFormat="1" ht="13.5" hidden="1" thickBot="1" x14ac:dyDescent="0.25">
      <c r="B198" s="110">
        <f t="shared" si="0"/>
        <v>2073</v>
      </c>
      <c r="C198" s="135">
        <f>[13]С2.5!$BF$11</f>
        <v>0</v>
      </c>
    </row>
    <row r="199" spans="2:3" s="2" customFormat="1" ht="13.5" hidden="1" thickBot="1" x14ac:dyDescent="0.25">
      <c r="B199" s="110">
        <f t="shared" si="0"/>
        <v>2074</v>
      </c>
      <c r="C199" s="135">
        <f>[13]С2.5!$BG$11</f>
        <v>0</v>
      </c>
    </row>
    <row r="200" spans="2:3" s="2" customFormat="1" ht="13.5" hidden="1" thickBot="1" x14ac:dyDescent="0.25">
      <c r="B200" s="110">
        <f t="shared" si="0"/>
        <v>2075</v>
      </c>
      <c r="C200" s="135">
        <f>[13]С2.5!$BH$11</f>
        <v>0</v>
      </c>
    </row>
    <row r="201" spans="2:3" s="2" customFormat="1" ht="13.5" hidden="1" thickBot="1" x14ac:dyDescent="0.25">
      <c r="B201" s="110">
        <f t="shared" si="0"/>
        <v>2076</v>
      </c>
      <c r="C201" s="135">
        <f>[13]С2.5!$BI$11</f>
        <v>0</v>
      </c>
    </row>
    <row r="202" spans="2:3" s="2" customFormat="1" ht="13.5" hidden="1" thickBot="1" x14ac:dyDescent="0.25">
      <c r="B202" s="110">
        <f t="shared" si="0"/>
        <v>2077</v>
      </c>
      <c r="C202" s="135">
        <f>[13]С2.5!$BJ$11</f>
        <v>0</v>
      </c>
    </row>
    <row r="203" spans="2:3" s="2" customFormat="1" ht="13.5" hidden="1" thickBot="1" x14ac:dyDescent="0.25">
      <c r="B203" s="110">
        <f t="shared" si="0"/>
        <v>2078</v>
      </c>
      <c r="C203" s="135">
        <f>[13]С2.5!$BK$11</f>
        <v>0</v>
      </c>
    </row>
    <row r="204" spans="2:3" s="2" customFormat="1" ht="13.5" hidden="1" thickBot="1" x14ac:dyDescent="0.25">
      <c r="B204" s="110">
        <f t="shared" si="0"/>
        <v>2079</v>
      </c>
      <c r="C204" s="135">
        <f>[13]С2.5!$BL$11</f>
        <v>0</v>
      </c>
    </row>
    <row r="205" spans="2:3" s="2" customFormat="1" ht="13.5" hidden="1" thickBot="1" x14ac:dyDescent="0.25">
      <c r="B205" s="110">
        <f t="shared" si="0"/>
        <v>2080</v>
      </c>
      <c r="C205" s="135">
        <f>[13]С2.5!$BM$11</f>
        <v>0</v>
      </c>
    </row>
    <row r="206" spans="2:3" s="2" customFormat="1" ht="13.5" hidden="1" thickBot="1" x14ac:dyDescent="0.25">
      <c r="B206" s="110">
        <f t="shared" si="0"/>
        <v>2081</v>
      </c>
      <c r="C206" s="135">
        <f>[13]С2.5!$BN$11</f>
        <v>0</v>
      </c>
    </row>
    <row r="207" spans="2:3" s="2" customFormat="1" ht="13.5" hidden="1" thickBot="1" x14ac:dyDescent="0.25">
      <c r="B207" s="110">
        <f t="shared" si="0"/>
        <v>2082</v>
      </c>
      <c r="C207" s="135">
        <f>[13]С2.5!$BO$11</f>
        <v>0</v>
      </c>
    </row>
    <row r="208" spans="2:3" s="2" customFormat="1" ht="13.5" hidden="1" thickBot="1" x14ac:dyDescent="0.25">
      <c r="B208" s="110">
        <f t="shared" si="0"/>
        <v>2083</v>
      </c>
      <c r="C208" s="135">
        <f>[13]С2.5!$BP$11</f>
        <v>0</v>
      </c>
    </row>
    <row r="209" spans="2:3" s="2" customFormat="1" ht="13.5" hidden="1" thickBot="1" x14ac:dyDescent="0.25">
      <c r="B209" s="110">
        <f t="shared" si="0"/>
        <v>2084</v>
      </c>
      <c r="C209" s="135">
        <f>[13]С2.5!$BQ$11</f>
        <v>0</v>
      </c>
    </row>
    <row r="210" spans="2:3" s="2" customFormat="1" ht="13.5" hidden="1" thickBot="1" x14ac:dyDescent="0.25">
      <c r="B210" s="110">
        <f t="shared" si="0"/>
        <v>2085</v>
      </c>
      <c r="C210" s="135">
        <f>[13]С2.5!$BR$11</f>
        <v>0</v>
      </c>
    </row>
    <row r="211" spans="2:3" s="2" customFormat="1" ht="13.5" hidden="1" thickBot="1" x14ac:dyDescent="0.25">
      <c r="B211" s="110">
        <f t="shared" ref="B211:B224" si="1">B210+1</f>
        <v>2086</v>
      </c>
      <c r="C211" s="135">
        <f>[13]С2.5!$BS$11</f>
        <v>0</v>
      </c>
    </row>
    <row r="212" spans="2:3" s="2" customFormat="1" ht="13.5" hidden="1" thickBot="1" x14ac:dyDescent="0.25">
      <c r="B212" s="110">
        <f t="shared" si="1"/>
        <v>2087</v>
      </c>
      <c r="C212" s="135">
        <f>[13]С2.5!$BT$11</f>
        <v>0</v>
      </c>
    </row>
    <row r="213" spans="2:3" s="2" customFormat="1" ht="13.5" hidden="1" thickBot="1" x14ac:dyDescent="0.25">
      <c r="B213" s="110">
        <f t="shared" si="1"/>
        <v>2088</v>
      </c>
      <c r="C213" s="135">
        <f>[13]С2.5!$BU$11</f>
        <v>0</v>
      </c>
    </row>
    <row r="214" spans="2:3" s="2" customFormat="1" ht="13.5" hidden="1" thickBot="1" x14ac:dyDescent="0.25">
      <c r="B214" s="110">
        <f t="shared" si="1"/>
        <v>2089</v>
      </c>
      <c r="C214" s="135">
        <f>[13]С2.5!$BV$11</f>
        <v>0</v>
      </c>
    </row>
    <row r="215" spans="2:3" s="2" customFormat="1" ht="13.5" hidden="1" thickBot="1" x14ac:dyDescent="0.25">
      <c r="B215" s="110">
        <f t="shared" si="1"/>
        <v>2090</v>
      </c>
      <c r="C215" s="135">
        <f>[13]С2.5!$BW$11</f>
        <v>0</v>
      </c>
    </row>
    <row r="216" spans="2:3" s="2" customFormat="1" ht="13.5" hidden="1" thickBot="1" x14ac:dyDescent="0.25">
      <c r="B216" s="110">
        <f t="shared" si="1"/>
        <v>2091</v>
      </c>
      <c r="C216" s="135">
        <f>[13]С2.5!$BX$11</f>
        <v>0</v>
      </c>
    </row>
    <row r="217" spans="2:3" s="2" customFormat="1" ht="13.5" hidden="1" thickBot="1" x14ac:dyDescent="0.25">
      <c r="B217" s="110">
        <f t="shared" si="1"/>
        <v>2092</v>
      </c>
      <c r="C217" s="135">
        <f>[13]С2.5!$BY$11</f>
        <v>0</v>
      </c>
    </row>
    <row r="218" spans="2:3" s="2" customFormat="1" ht="13.5" hidden="1" thickBot="1" x14ac:dyDescent="0.25">
      <c r="B218" s="110">
        <f t="shared" si="1"/>
        <v>2093</v>
      </c>
      <c r="C218" s="135">
        <f>[13]С2.5!$BZ$11</f>
        <v>0</v>
      </c>
    </row>
    <row r="219" spans="2:3" s="2" customFormat="1" ht="13.5" hidden="1" thickBot="1" x14ac:dyDescent="0.25">
      <c r="B219" s="110">
        <f t="shared" si="1"/>
        <v>2094</v>
      </c>
      <c r="C219" s="135">
        <f>[13]С2.5!$CA$11</f>
        <v>0</v>
      </c>
    </row>
    <row r="220" spans="2:3" s="2" customFormat="1" ht="13.5" hidden="1" thickBot="1" x14ac:dyDescent="0.25">
      <c r="B220" s="110">
        <f t="shared" si="1"/>
        <v>2095</v>
      </c>
      <c r="C220" s="135">
        <f>[13]С2.5!$CB$11</f>
        <v>0</v>
      </c>
    </row>
    <row r="221" spans="2:3" s="2" customFormat="1" ht="13.5" hidden="1" thickBot="1" x14ac:dyDescent="0.25">
      <c r="B221" s="110">
        <f t="shared" si="1"/>
        <v>2096</v>
      </c>
      <c r="C221" s="135">
        <f>[13]С2.5!$CC$11</f>
        <v>0</v>
      </c>
    </row>
    <row r="222" spans="2:3" s="2" customFormat="1" ht="13.5" hidden="1" thickBot="1" x14ac:dyDescent="0.25">
      <c r="B222" s="110">
        <f t="shared" si="1"/>
        <v>2097</v>
      </c>
      <c r="C222" s="135">
        <f>[13]С2.5!$CD$11</f>
        <v>0</v>
      </c>
    </row>
    <row r="223" spans="2:3" s="2" customFormat="1" ht="13.5" hidden="1" thickBot="1" x14ac:dyDescent="0.25">
      <c r="B223" s="110">
        <f t="shared" si="1"/>
        <v>2098</v>
      </c>
      <c r="C223" s="135">
        <f>[13]С2.5!$CE$11</f>
        <v>0</v>
      </c>
    </row>
    <row r="224" spans="2:3" s="2" customFormat="1" ht="13.5" hidden="1" thickBot="1" x14ac:dyDescent="0.25">
      <c r="B224" s="110">
        <f t="shared" si="1"/>
        <v>2099</v>
      </c>
      <c r="C224" s="135">
        <f>[13]С2.5!$CF$11</f>
        <v>0</v>
      </c>
    </row>
    <row r="225" spans="2:3" s="2" customFormat="1" ht="13.5" hidden="1" thickBot="1" x14ac:dyDescent="0.25">
      <c r="B225" s="112">
        <f>B162+1</f>
        <v>2038</v>
      </c>
      <c r="C225" s="136" t="e">
        <f>[13]С2.5!#REF!</f>
        <v>#REF!</v>
      </c>
    </row>
    <row r="226" spans="2:3" s="2" customFormat="1" x14ac:dyDescent="0.2">
      <c r="B226" s="137"/>
      <c r="C226" s="138"/>
    </row>
  </sheetData>
  <mergeCells count="9">
    <mergeCell ref="B143:D143"/>
    <mergeCell ref="A14:C14"/>
    <mergeCell ref="B1:D1"/>
    <mergeCell ref="B27:D27"/>
    <mergeCell ref="B45:D45"/>
    <mergeCell ref="B90:D90"/>
    <mergeCell ref="B101:D101"/>
    <mergeCell ref="B126:D126"/>
    <mergeCell ref="B129:D129"/>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Button 1">
              <controlPr defaultSize="0" print="0" autoFill="0" autoPict="0" macro="[8]!Лист29.PrintBlock">
                <anchor moveWithCells="1" sizeWithCells="1">
                  <from>
                    <xdr:col>3</xdr:col>
                    <xdr:colOff>47625</xdr:colOff>
                    <xdr:row>0</xdr:row>
                    <xdr:rowOff>104775</xdr:rowOff>
                  </from>
                  <to>
                    <xdr:col>5</xdr:col>
                    <xdr:colOff>0</xdr:colOff>
                    <xdr:row>0</xdr:row>
                    <xdr:rowOff>352425</xdr:rowOff>
                  </to>
                </anchor>
              </controlPr>
            </control>
          </mc:Choice>
        </mc:AlternateContent>
        <mc:AlternateContent xmlns:mc="http://schemas.openxmlformats.org/markup-compatibility/2006">
          <mc:Choice Requires="x14">
            <control shapeId="9218" r:id="rId4" name="Button 2">
              <controlPr defaultSize="0" print="0" autoFill="0" autoPict="0" macro="[13]!Лист29.PrintBlock">
                <anchor moveWithCells="1" sizeWithCells="1">
                  <from>
                    <xdr:col>4</xdr:col>
                    <xdr:colOff>47625</xdr:colOff>
                    <xdr:row>0</xdr:row>
                    <xdr:rowOff>104775</xdr:rowOff>
                  </from>
                  <to>
                    <xdr:col>5</xdr:col>
                    <xdr:colOff>1095375</xdr:colOff>
                    <xdr:row>0</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19</vt:i4>
      </vt:variant>
    </vt:vector>
  </HeadingPairs>
  <TitlesOfParts>
    <vt:vector size="19" baseType="lpstr">
      <vt:lpstr>Бурмистровский</vt:lpstr>
      <vt:lpstr>Быстровский</vt:lpstr>
      <vt:lpstr>Верх-Коенский</vt:lpstr>
      <vt:lpstr>Гилевский</vt:lpstr>
      <vt:lpstr>Гусельниковский</vt:lpstr>
      <vt:lpstr>Евсинский</vt:lpstr>
      <vt:lpstr>Легостаевский</vt:lpstr>
      <vt:lpstr>Листвянский</vt:lpstr>
      <vt:lpstr>Мичуринский</vt:lpstr>
      <vt:lpstr>Морозовский</vt:lpstr>
      <vt:lpstr>Преображенкий</vt:lpstr>
      <vt:lpstr>Промышленный</vt:lpstr>
      <vt:lpstr>Совхозный</vt:lpstr>
      <vt:lpstr>Степной</vt:lpstr>
      <vt:lpstr>Тальменский</vt:lpstr>
      <vt:lpstr>Улыбинский</vt:lpstr>
      <vt:lpstr>Усть-Чемской</vt:lpstr>
      <vt:lpstr>Чернореченский</vt:lpstr>
      <vt:lpstr>Шибковский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Ерыгина</dc:creator>
  <cp:lastModifiedBy>Ерыгина</cp:lastModifiedBy>
  <dcterms:created xsi:type="dcterms:W3CDTF">2023-01-18T04:22:22Z</dcterms:created>
  <dcterms:modified xsi:type="dcterms:W3CDTF">2024-01-26T02:25:43Z</dcterms:modified>
</cp:coreProperties>
</file>