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20" windowWidth="27555" windowHeight="13335" tabRatio="895" firstSheet="3" activeTab="18"/>
  </bookViews>
  <sheets>
    <sheet name="Бурмистровский" sheetId="1" r:id="rId1"/>
    <sheet name="Быстровский" sheetId="2" r:id="rId2"/>
    <sheet name="Верх-Коенский" sheetId="3" r:id="rId3"/>
    <sheet name="Гилевский" sheetId="4" r:id="rId4"/>
    <sheet name="Гусельниковский" sheetId="5" r:id="rId5"/>
    <sheet name="Евсинский" sheetId="6" r:id="rId6"/>
    <sheet name="Легостаевский" sheetId="7" r:id="rId7"/>
    <sheet name="Листвянский" sheetId="8" r:id="rId8"/>
    <sheet name="Мичуринский" sheetId="9" r:id="rId9"/>
    <sheet name="Морозовский" sheetId="10" r:id="rId10"/>
    <sheet name="Преображенкий" sheetId="11" r:id="rId11"/>
    <sheet name="Промышленный" sheetId="12" r:id="rId12"/>
    <sheet name="Совхозный" sheetId="13" r:id="rId13"/>
    <sheet name="Степной" sheetId="14" r:id="rId14"/>
    <sheet name="Тальменский" sheetId="15" r:id="rId15"/>
    <sheet name="Улыбинский" sheetId="16" r:id="rId16"/>
    <sheet name="Усть-Чемской" sheetId="17" r:id="rId17"/>
    <sheet name="Чернореченский" sheetId="18" r:id="rId18"/>
    <sheet name="Шибковский"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45621"/>
</workbook>
</file>

<file path=xl/calcChain.xml><?xml version="1.0" encoding="utf-8"?>
<calcChain xmlns="http://schemas.openxmlformats.org/spreadsheetml/2006/main">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D140" i="19"/>
  <c r="C140" i="19"/>
  <c r="C138" i="19"/>
  <c r="C137" i="19"/>
  <c r="C136" i="19"/>
  <c r="C135" i="19"/>
  <c r="C125" i="19"/>
  <c r="D122" i="19"/>
  <c r="C122" i="19"/>
  <c r="C121" i="19"/>
  <c r="C120" i="19"/>
  <c r="C119" i="19"/>
  <c r="C118" i="19"/>
  <c r="C117" i="19"/>
  <c r="C116" i="19"/>
  <c r="C115" i="19"/>
  <c r="C114" i="19"/>
  <c r="C113" i="19"/>
  <c r="C112" i="19"/>
  <c r="D111" i="19"/>
  <c r="C111" i="19"/>
  <c r="D110" i="19"/>
  <c r="C110" i="19"/>
  <c r="D109" i="19"/>
  <c r="C109" i="19"/>
  <c r="D108" i="19"/>
  <c r="C108" i="19"/>
  <c r="C107" i="19"/>
  <c r="C106" i="19"/>
  <c r="C105" i="19"/>
  <c r="C104" i="19"/>
  <c r="D103" i="19"/>
  <c r="C103" i="19"/>
  <c r="C102" i="19"/>
  <c r="C101" i="19"/>
  <c r="C100" i="19"/>
  <c r="C99" i="19"/>
  <c r="C98" i="19"/>
  <c r="C97" i="19"/>
  <c r="C96" i="19"/>
  <c r="C93" i="19"/>
  <c r="D92" i="19"/>
  <c r="C92" i="19"/>
  <c r="C91" i="19"/>
  <c r="C90" i="19"/>
  <c r="D89" i="19"/>
  <c r="C89" i="19"/>
  <c r="C88" i="19"/>
  <c r="C87" i="19"/>
  <c r="D86" i="19"/>
  <c r="C86" i="19"/>
  <c r="C85" i="19"/>
  <c r="C82" i="19"/>
  <c r="C81" i="19"/>
  <c r="D80" i="19"/>
  <c r="C80" i="19"/>
  <c r="C79" i="19"/>
  <c r="D78" i="19"/>
  <c r="C78" i="19"/>
  <c r="D77" i="19"/>
  <c r="C77" i="19"/>
  <c r="C76" i="19"/>
  <c r="C75" i="19"/>
  <c r="D74" i="19"/>
  <c r="C74" i="19"/>
  <c r="C73" i="19"/>
  <c r="C72" i="19"/>
  <c r="D72" i="19" s="1"/>
  <c r="C71" i="19"/>
  <c r="D71" i="19" s="1"/>
  <c r="C70" i="19"/>
  <c r="C69" i="19"/>
  <c r="D68" i="19"/>
  <c r="C68" i="19"/>
  <c r="C67" i="19"/>
  <c r="C66" i="19"/>
  <c r="C65" i="19"/>
  <c r="C64" i="19"/>
  <c r="D63" i="19"/>
  <c r="C63" i="19"/>
  <c r="C62" i="19"/>
  <c r="C61" i="19"/>
  <c r="C60" i="19"/>
  <c r="C59" i="19"/>
  <c r="C58" i="19"/>
  <c r="C57" i="19"/>
  <c r="C56" i="19"/>
  <c r="C55" i="19"/>
  <c r="C54" i="19"/>
  <c r="C53" i="19"/>
  <c r="C52" i="19"/>
  <c r="C51" i="19"/>
  <c r="C50" i="19"/>
  <c r="C49" i="19"/>
  <c r="D48" i="19"/>
  <c r="C48" i="19"/>
  <c r="D47" i="19"/>
  <c r="C47" i="19"/>
  <c r="C46" i="19"/>
  <c r="C45" i="19"/>
  <c r="D44" i="19"/>
  <c r="C44" i="19"/>
  <c r="D43" i="19"/>
  <c r="C43" i="19"/>
  <c r="D42" i="19"/>
  <c r="C42" i="19"/>
  <c r="C41" i="19"/>
  <c r="C38" i="19"/>
  <c r="C37" i="19"/>
  <c r="C36" i="19"/>
  <c r="C35" i="19"/>
  <c r="C34" i="19"/>
  <c r="C33" i="19"/>
  <c r="C32" i="19"/>
  <c r="D31" i="19"/>
  <c r="C31" i="19"/>
  <c r="D30" i="19"/>
  <c r="C30" i="19"/>
  <c r="D29" i="19"/>
  <c r="C29" i="19"/>
  <c r="D28" i="19"/>
  <c r="C28" i="19"/>
  <c r="C23" i="19"/>
  <c r="C22" i="19"/>
  <c r="C21" i="19"/>
  <c r="C20" i="19"/>
  <c r="C19" i="19"/>
  <c r="C18" i="19"/>
  <c r="C17" i="19" s="1"/>
  <c r="C13" i="19"/>
  <c r="B13" i="19"/>
  <c r="C12" i="19"/>
  <c r="B12" i="19"/>
  <c r="C11" i="19"/>
  <c r="B11" i="19"/>
  <c r="C10" i="19"/>
  <c r="B10" i="19"/>
  <c r="C9" i="19"/>
  <c r="B9" i="19"/>
  <c r="C8" i="19"/>
  <c r="B8" i="19"/>
  <c r="C7" i="19"/>
  <c r="B7" i="19"/>
  <c r="C6" i="19"/>
  <c r="B6" i="19"/>
  <c r="C5" i="19"/>
  <c r="B5" i="19"/>
  <c r="C4" i="19"/>
  <c r="B4" i="19"/>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9" i="18"/>
  <c r="C18" i="18"/>
  <c r="C17" i="18"/>
  <c r="C13" i="18"/>
  <c r="B13" i="18"/>
  <c r="C12" i="18"/>
  <c r="B12" i="18"/>
  <c r="C11" i="18"/>
  <c r="B11" i="18"/>
  <c r="C10" i="18"/>
  <c r="B10" i="18"/>
  <c r="C9" i="18"/>
  <c r="B9" i="18"/>
  <c r="C8" i="18"/>
  <c r="B8" i="18"/>
  <c r="C7" i="18"/>
  <c r="B7" i="18"/>
  <c r="C6" i="18"/>
  <c r="B6" i="18"/>
  <c r="C5" i="18"/>
  <c r="B5" i="18"/>
  <c r="C4" i="18"/>
  <c r="B4" i="18"/>
  <c r="B225" i="18" l="1"/>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7" i="17" s="1"/>
  <c r="C13" i="17"/>
  <c r="B13" i="17"/>
  <c r="C12" i="17"/>
  <c r="B12" i="17"/>
  <c r="C11" i="17"/>
  <c r="B11" i="17"/>
  <c r="C10" i="17"/>
  <c r="B10" i="17"/>
  <c r="C9" i="17"/>
  <c r="B9" i="17"/>
  <c r="C8" i="17"/>
  <c r="B8" i="17"/>
  <c r="C7" i="17"/>
  <c r="B7" i="17"/>
  <c r="C6" i="17"/>
  <c r="B6" i="17"/>
  <c r="C5" i="17"/>
  <c r="B5" i="17"/>
  <c r="C4" i="17"/>
  <c r="B4" i="17"/>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7" i="16" s="1"/>
  <c r="C13" i="16"/>
  <c r="B13" i="16"/>
  <c r="C12" i="16"/>
  <c r="B12" i="16"/>
  <c r="C11" i="16"/>
  <c r="B11" i="16"/>
  <c r="C10" i="16"/>
  <c r="B10" i="16"/>
  <c r="C9" i="16"/>
  <c r="B9" i="16"/>
  <c r="C8" i="16"/>
  <c r="B8" i="16"/>
  <c r="C7" i="16"/>
  <c r="B7" i="16"/>
  <c r="C6" i="16"/>
  <c r="B6" i="16"/>
  <c r="C5" i="16"/>
  <c r="B5" i="16"/>
  <c r="C4" i="16"/>
  <c r="B4" i="16"/>
  <c r="C225" i="15" l="1"/>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B146" i="15"/>
  <c r="B147" i="15" s="1"/>
  <c r="B148" i="15" s="1"/>
  <c r="B149" i="15" s="1"/>
  <c r="B150" i="15" s="1"/>
  <c r="B151" i="15" s="1"/>
  <c r="B152" i="15" s="1"/>
  <c r="B153" i="15" s="1"/>
  <c r="B154" i="15" s="1"/>
  <c r="B155" i="15" s="1"/>
  <c r="B156" i="15" s="1"/>
  <c r="B157" i="15" s="1"/>
  <c r="B158" i="15" s="1"/>
  <c r="B159" i="15" s="1"/>
  <c r="B160" i="15" s="1"/>
  <c r="B161" i="15" s="1"/>
  <c r="B162" i="15" s="1"/>
  <c r="C145" i="15"/>
  <c r="C142" i="15"/>
  <c r="C140" i="15"/>
  <c r="C139" i="15"/>
  <c r="C138" i="15"/>
  <c r="C137" i="15"/>
  <c r="C135" i="15"/>
  <c r="C134" i="15"/>
  <c r="C133" i="15"/>
  <c r="C132" i="15"/>
  <c r="C131" i="15"/>
  <c r="C130" i="15"/>
  <c r="C127"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99" i="15"/>
  <c r="C98" i="15"/>
  <c r="C97" i="15"/>
  <c r="C96" i="15"/>
  <c r="C95" i="15"/>
  <c r="C94" i="15"/>
  <c r="C93" i="15"/>
  <c r="C92" i="15"/>
  <c r="C91"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3" i="15"/>
  <c r="C42" i="15"/>
  <c r="C41" i="15"/>
  <c r="C40" i="15"/>
  <c r="C39" i="15"/>
  <c r="C38" i="15"/>
  <c r="C37" i="15"/>
  <c r="C36" i="15"/>
  <c r="C35" i="15"/>
  <c r="C34" i="15"/>
  <c r="B34" i="15"/>
  <c r="C33" i="15"/>
  <c r="B33" i="15"/>
  <c r="C32" i="15"/>
  <c r="B32" i="15"/>
  <c r="C31" i="15"/>
  <c r="B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B225" i="15" l="1"/>
  <c r="B163" i="15"/>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25" i="13" l="1"/>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B146" i="13"/>
  <c r="B147" i="13" s="1"/>
  <c r="B148" i="13" s="1"/>
  <c r="B149" i="13" s="1"/>
  <c r="B150" i="13" s="1"/>
  <c r="B151" i="13" s="1"/>
  <c r="B152" i="13" s="1"/>
  <c r="B153" i="13" s="1"/>
  <c r="B154" i="13" s="1"/>
  <c r="B155" i="13" s="1"/>
  <c r="B156" i="13" s="1"/>
  <c r="B157" i="13" s="1"/>
  <c r="B158" i="13" s="1"/>
  <c r="B159" i="13" s="1"/>
  <c r="B160" i="13" s="1"/>
  <c r="B161" i="13" s="1"/>
  <c r="B162" i="13" s="1"/>
  <c r="C145" i="13"/>
  <c r="C142" i="13"/>
  <c r="C140" i="13"/>
  <c r="C139" i="13"/>
  <c r="C138" i="13"/>
  <c r="C137" i="13"/>
  <c r="C135" i="13"/>
  <c r="C134" i="13"/>
  <c r="C133" i="13"/>
  <c r="C132" i="13"/>
  <c r="C131" i="13"/>
  <c r="C130" i="13"/>
  <c r="C127"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99" i="13"/>
  <c r="C98" i="13"/>
  <c r="C97" i="13"/>
  <c r="C96" i="13"/>
  <c r="C95" i="13"/>
  <c r="C94" i="13"/>
  <c r="C93" i="13"/>
  <c r="C92" i="13"/>
  <c r="C91"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3" i="13"/>
  <c r="C42" i="13"/>
  <c r="C41" i="13"/>
  <c r="C40" i="13"/>
  <c r="C39" i="13"/>
  <c r="C38" i="13"/>
  <c r="C37" i="13"/>
  <c r="C36" i="13"/>
  <c r="C35" i="13"/>
  <c r="C34" i="13"/>
  <c r="B34" i="13"/>
  <c r="C33" i="13"/>
  <c r="B33" i="13"/>
  <c r="C32" i="13"/>
  <c r="B32" i="13"/>
  <c r="C31" i="13"/>
  <c r="B31" i="13"/>
  <c r="C30" i="13"/>
  <c r="C29" i="13"/>
  <c r="C28" i="13"/>
  <c r="C23" i="13"/>
  <c r="C22" i="13"/>
  <c r="C21" i="13"/>
  <c r="C20" i="13"/>
  <c r="C19" i="13"/>
  <c r="C18" i="13"/>
  <c r="C17" i="13"/>
  <c r="C13" i="13"/>
  <c r="B13" i="13"/>
  <c r="C12" i="13"/>
  <c r="B12" i="13"/>
  <c r="C11" i="13"/>
  <c r="B11" i="13"/>
  <c r="C10" i="13"/>
  <c r="B10" i="13"/>
  <c r="C9" i="13"/>
  <c r="B9" i="13"/>
  <c r="C8" i="13"/>
  <c r="B8" i="13"/>
  <c r="C7" i="13"/>
  <c r="B7" i="13"/>
  <c r="C6" i="13"/>
  <c r="B6" i="13"/>
  <c r="C5" i="13"/>
  <c r="B5" i="13"/>
  <c r="C4" i="13"/>
  <c r="B4" i="13"/>
  <c r="B225" i="13" l="1"/>
  <c r="B163" i="13"/>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C225" i="12" l="1"/>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B146" i="12"/>
  <c r="B147" i="12" s="1"/>
  <c r="B148" i="12" s="1"/>
  <c r="B149" i="12" s="1"/>
  <c r="B150" i="12" s="1"/>
  <c r="B151" i="12" s="1"/>
  <c r="B152" i="12" s="1"/>
  <c r="B153" i="12" s="1"/>
  <c r="B154" i="12" s="1"/>
  <c r="B155" i="12" s="1"/>
  <c r="B156" i="12" s="1"/>
  <c r="B157" i="12" s="1"/>
  <c r="B158" i="12" s="1"/>
  <c r="B159" i="12" s="1"/>
  <c r="B160" i="12" s="1"/>
  <c r="B161" i="12" s="1"/>
  <c r="B162" i="12" s="1"/>
  <c r="C145" i="12"/>
  <c r="D142" i="12"/>
  <c r="C142" i="12"/>
  <c r="C140" i="12"/>
  <c r="C139" i="12"/>
  <c r="C138" i="12"/>
  <c r="C137" i="12"/>
  <c r="D135" i="12"/>
  <c r="C135" i="12"/>
  <c r="D134" i="12"/>
  <c r="C134" i="12"/>
  <c r="D133" i="12"/>
  <c r="C133" i="12"/>
  <c r="C132" i="12"/>
  <c r="D131" i="12"/>
  <c r="C131" i="12"/>
  <c r="C130" i="12"/>
  <c r="C127" i="12"/>
  <c r="C124" i="12"/>
  <c r="C123" i="12"/>
  <c r="C122" i="12"/>
  <c r="C121" i="12"/>
  <c r="C120" i="12"/>
  <c r="C119" i="12"/>
  <c r="C118" i="12"/>
  <c r="D117" i="12"/>
  <c r="C117" i="12"/>
  <c r="D116" i="12"/>
  <c r="C116" i="12"/>
  <c r="D115" i="12"/>
  <c r="C115" i="12"/>
  <c r="D114" i="12"/>
  <c r="C114" i="12"/>
  <c r="C113" i="12"/>
  <c r="C112" i="12"/>
  <c r="C111" i="12"/>
  <c r="C110" i="12"/>
  <c r="D109" i="12"/>
  <c r="C109" i="12"/>
  <c r="C108" i="12"/>
  <c r="C107" i="12"/>
  <c r="C106" i="12"/>
  <c r="C105" i="12"/>
  <c r="C104" i="12"/>
  <c r="C103" i="12"/>
  <c r="C102" i="12"/>
  <c r="C99" i="12"/>
  <c r="D98" i="12"/>
  <c r="C98" i="12"/>
  <c r="C97" i="12"/>
  <c r="C96" i="12"/>
  <c r="D95" i="12"/>
  <c r="C95" i="12"/>
  <c r="C94" i="12"/>
  <c r="C93" i="12"/>
  <c r="D92" i="12"/>
  <c r="C92" i="12"/>
  <c r="C91" i="12"/>
  <c r="C88" i="12"/>
  <c r="C87" i="12"/>
  <c r="D86" i="12"/>
  <c r="C86" i="12"/>
  <c r="C85" i="12"/>
  <c r="D84" i="12"/>
  <c r="C84" i="12"/>
  <c r="C83" i="12"/>
  <c r="D83" i="12" s="1"/>
  <c r="C82" i="12"/>
  <c r="D82" i="12" s="1"/>
  <c r="C81" i="12"/>
  <c r="C80" i="12"/>
  <c r="D79" i="12"/>
  <c r="C79" i="12"/>
  <c r="C78" i="12"/>
  <c r="D77" i="12"/>
  <c r="C77" i="12"/>
  <c r="D76" i="12"/>
  <c r="C76" i="12"/>
  <c r="C75" i="12"/>
  <c r="C74" i="12"/>
  <c r="D73" i="12"/>
  <c r="C73" i="12"/>
  <c r="C72" i="12"/>
  <c r="C71" i="12"/>
  <c r="C70" i="12"/>
  <c r="C69" i="12"/>
  <c r="D68" i="12"/>
  <c r="C68" i="12"/>
  <c r="C67" i="12"/>
  <c r="C66" i="12"/>
  <c r="C65" i="12"/>
  <c r="C64" i="12"/>
  <c r="C63" i="12"/>
  <c r="C62" i="12"/>
  <c r="C61" i="12"/>
  <c r="C60" i="12"/>
  <c r="C59" i="12"/>
  <c r="C58" i="12"/>
  <c r="C57" i="12"/>
  <c r="C56" i="12"/>
  <c r="C55" i="12"/>
  <c r="C54" i="12"/>
  <c r="D53" i="12"/>
  <c r="C53" i="12"/>
  <c r="D52" i="12"/>
  <c r="C52" i="12"/>
  <c r="C51" i="12"/>
  <c r="C50" i="12"/>
  <c r="D49" i="12"/>
  <c r="C49" i="12"/>
  <c r="D48" i="12"/>
  <c r="C48" i="12"/>
  <c r="D47" i="12"/>
  <c r="C47" i="12"/>
  <c r="C46" i="12"/>
  <c r="C43" i="12"/>
  <c r="C42" i="12"/>
  <c r="C41" i="12"/>
  <c r="C40" i="12"/>
  <c r="C39" i="12"/>
  <c r="C38" i="12"/>
  <c r="C37" i="12"/>
  <c r="D36" i="12"/>
  <c r="C36" i="12"/>
  <c r="D35" i="12"/>
  <c r="C35" i="12"/>
  <c r="D34" i="12"/>
  <c r="C34" i="12"/>
  <c r="B34" i="12"/>
  <c r="D33" i="12"/>
  <c r="C33" i="12"/>
  <c r="B33" i="12"/>
  <c r="D32" i="12"/>
  <c r="C32" i="12"/>
  <c r="B32" i="12"/>
  <c r="D31" i="12"/>
  <c r="C31" i="12"/>
  <c r="B31" i="12"/>
  <c r="D30" i="12"/>
  <c r="C30" i="12"/>
  <c r="D29" i="12"/>
  <c r="C29" i="12"/>
  <c r="D28" i="12"/>
  <c r="C28" i="12"/>
  <c r="C23" i="12"/>
  <c r="C22" i="12"/>
  <c r="C21" i="12"/>
  <c r="C20" i="12"/>
  <c r="C19" i="12"/>
  <c r="C18" i="12"/>
  <c r="C17" i="12"/>
  <c r="C13" i="12"/>
  <c r="B13" i="12"/>
  <c r="C12" i="12"/>
  <c r="B12" i="12"/>
  <c r="C11" i="12"/>
  <c r="B11" i="12"/>
  <c r="C10" i="12"/>
  <c r="B10" i="12"/>
  <c r="C9" i="12"/>
  <c r="B9" i="12"/>
  <c r="C8" i="12"/>
  <c r="B8" i="12"/>
  <c r="C7" i="12"/>
  <c r="B7" i="12"/>
  <c r="C6" i="12"/>
  <c r="B6" i="12"/>
  <c r="C5" i="12"/>
  <c r="B5" i="12"/>
  <c r="C4" i="12"/>
  <c r="B4" i="12"/>
  <c r="B225" i="12" l="1"/>
  <c r="B163" i="12"/>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25" i="10" l="1"/>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B146" i="10"/>
  <c r="B147" i="10" s="1"/>
  <c r="B148" i="10" s="1"/>
  <c r="B149" i="10" s="1"/>
  <c r="B150" i="10" s="1"/>
  <c r="B151" i="10" s="1"/>
  <c r="B152" i="10" s="1"/>
  <c r="B153" i="10" s="1"/>
  <c r="B154" i="10" s="1"/>
  <c r="B155" i="10" s="1"/>
  <c r="B156" i="10" s="1"/>
  <c r="B157" i="10" s="1"/>
  <c r="B158" i="10" s="1"/>
  <c r="B159" i="10" s="1"/>
  <c r="B160" i="10" s="1"/>
  <c r="B161" i="10" s="1"/>
  <c r="B162" i="10" s="1"/>
  <c r="C145" i="10"/>
  <c r="D142" i="10"/>
  <c r="C142" i="10"/>
  <c r="C140" i="10"/>
  <c r="C139" i="10"/>
  <c r="C138" i="10"/>
  <c r="C137" i="10"/>
  <c r="D135" i="10"/>
  <c r="C135" i="10"/>
  <c r="D134" i="10"/>
  <c r="C134" i="10"/>
  <c r="D133" i="10"/>
  <c r="C133" i="10"/>
  <c r="C132" i="10"/>
  <c r="D131" i="10"/>
  <c r="C131" i="10"/>
  <c r="C130" i="10"/>
  <c r="C127" i="10"/>
  <c r="C124" i="10"/>
  <c r="C123" i="10"/>
  <c r="C122" i="10"/>
  <c r="C121" i="10"/>
  <c r="C120" i="10"/>
  <c r="C119" i="10"/>
  <c r="C118" i="10"/>
  <c r="D117" i="10"/>
  <c r="C117" i="10"/>
  <c r="D116" i="10"/>
  <c r="C116" i="10"/>
  <c r="D115" i="10"/>
  <c r="C115" i="10"/>
  <c r="D114" i="10"/>
  <c r="C114" i="10"/>
  <c r="C113" i="10"/>
  <c r="C112" i="10"/>
  <c r="C111" i="10"/>
  <c r="C110" i="10"/>
  <c r="D109" i="10"/>
  <c r="C109" i="10"/>
  <c r="C108" i="10"/>
  <c r="C107" i="10"/>
  <c r="C106" i="10"/>
  <c r="C105" i="10"/>
  <c r="C104" i="10"/>
  <c r="C103" i="10"/>
  <c r="C102" i="10"/>
  <c r="C99" i="10"/>
  <c r="D98" i="10"/>
  <c r="C98" i="10"/>
  <c r="C97" i="10"/>
  <c r="C96" i="10"/>
  <c r="D95" i="10"/>
  <c r="C95" i="10"/>
  <c r="C94" i="10"/>
  <c r="C93" i="10"/>
  <c r="D92" i="10"/>
  <c r="C92" i="10"/>
  <c r="C91" i="10"/>
  <c r="C88" i="10"/>
  <c r="C87" i="10"/>
  <c r="D86" i="10"/>
  <c r="C86" i="10"/>
  <c r="C85" i="10"/>
  <c r="D84" i="10"/>
  <c r="C84" i="10"/>
  <c r="C83" i="10"/>
  <c r="D83" i="10" s="1"/>
  <c r="C82" i="10"/>
  <c r="D82" i="10" s="1"/>
  <c r="C81" i="10"/>
  <c r="C80" i="10"/>
  <c r="D79" i="10"/>
  <c r="C79" i="10"/>
  <c r="C78" i="10"/>
  <c r="D77" i="10"/>
  <c r="C77" i="10"/>
  <c r="D76" i="10"/>
  <c r="C76" i="10"/>
  <c r="C75" i="10"/>
  <c r="C74" i="10"/>
  <c r="D73" i="10"/>
  <c r="C73" i="10"/>
  <c r="C72" i="10"/>
  <c r="C71" i="10"/>
  <c r="C70" i="10"/>
  <c r="C69" i="10"/>
  <c r="D68" i="10"/>
  <c r="C68" i="10"/>
  <c r="C67" i="10"/>
  <c r="C66" i="10"/>
  <c r="C65" i="10"/>
  <c r="C64" i="10"/>
  <c r="C63" i="10"/>
  <c r="C62" i="10"/>
  <c r="C61" i="10"/>
  <c r="C60" i="10"/>
  <c r="C59" i="10"/>
  <c r="C58" i="10"/>
  <c r="C57" i="10"/>
  <c r="C56" i="10"/>
  <c r="C55" i="10"/>
  <c r="C54" i="10"/>
  <c r="D53" i="10"/>
  <c r="C53" i="10"/>
  <c r="D52" i="10"/>
  <c r="C52" i="10"/>
  <c r="C51" i="10"/>
  <c r="C50" i="10"/>
  <c r="D49" i="10"/>
  <c r="C49" i="10"/>
  <c r="D48" i="10"/>
  <c r="C48" i="10"/>
  <c r="D47" i="10"/>
  <c r="C47" i="10"/>
  <c r="C46" i="10"/>
  <c r="C43" i="10"/>
  <c r="C42" i="10"/>
  <c r="C41" i="10"/>
  <c r="C40" i="10"/>
  <c r="C39" i="10"/>
  <c r="C38" i="10"/>
  <c r="C37" i="10"/>
  <c r="D36" i="10"/>
  <c r="C36" i="10"/>
  <c r="D35" i="10"/>
  <c r="C35" i="10"/>
  <c r="D34" i="10"/>
  <c r="C34" i="10"/>
  <c r="B34" i="10"/>
  <c r="D33" i="10"/>
  <c r="C33" i="10"/>
  <c r="B33" i="10"/>
  <c r="D32" i="10"/>
  <c r="C32" i="10"/>
  <c r="B32" i="10"/>
  <c r="D31" i="10"/>
  <c r="C31" i="10"/>
  <c r="B31" i="10"/>
  <c r="D30" i="10"/>
  <c r="C30" i="10"/>
  <c r="D29" i="10"/>
  <c r="C29" i="10"/>
  <c r="D28" i="10"/>
  <c r="C28" i="10"/>
  <c r="C23" i="10"/>
  <c r="C22" i="10"/>
  <c r="C21" i="10"/>
  <c r="C20" i="10"/>
  <c r="C19" i="10"/>
  <c r="C18" i="10"/>
  <c r="C17" i="10"/>
  <c r="C13" i="10"/>
  <c r="B13" i="10"/>
  <c r="C12" i="10"/>
  <c r="B12" i="10"/>
  <c r="C11" i="10"/>
  <c r="B11" i="10"/>
  <c r="C10" i="10"/>
  <c r="B10" i="10"/>
  <c r="C9" i="10"/>
  <c r="B9" i="10"/>
  <c r="C8" i="10"/>
  <c r="B8" i="10"/>
  <c r="C7" i="10"/>
  <c r="B7" i="10"/>
  <c r="C6" i="10"/>
  <c r="B6" i="10"/>
  <c r="C5" i="10"/>
  <c r="B5" i="10"/>
  <c r="C4" i="10"/>
  <c r="B4" i="10"/>
  <c r="B225" i="10" l="1"/>
  <c r="B163" i="10"/>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C225" i="9" l="1"/>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B146" i="9"/>
  <c r="B147" i="9" s="1"/>
  <c r="B148" i="9" s="1"/>
  <c r="B149" i="9" s="1"/>
  <c r="B150" i="9" s="1"/>
  <c r="B151" i="9" s="1"/>
  <c r="B152" i="9" s="1"/>
  <c r="B153" i="9" s="1"/>
  <c r="B154" i="9" s="1"/>
  <c r="B155" i="9" s="1"/>
  <c r="B156" i="9" s="1"/>
  <c r="B157" i="9" s="1"/>
  <c r="B158" i="9" s="1"/>
  <c r="B159" i="9" s="1"/>
  <c r="B160" i="9" s="1"/>
  <c r="B161" i="9" s="1"/>
  <c r="B162" i="9" s="1"/>
  <c r="C145" i="9"/>
  <c r="D142" i="9"/>
  <c r="C142" i="9"/>
  <c r="C140" i="9"/>
  <c r="C139" i="9"/>
  <c r="C138" i="9"/>
  <c r="C137" i="9"/>
  <c r="D135" i="9"/>
  <c r="C135" i="9"/>
  <c r="D134" i="9"/>
  <c r="C134" i="9"/>
  <c r="D133" i="9"/>
  <c r="C133" i="9"/>
  <c r="C132" i="9"/>
  <c r="D131" i="9"/>
  <c r="C131" i="9"/>
  <c r="C130" i="9"/>
  <c r="C127" i="9"/>
  <c r="C124" i="9"/>
  <c r="C123" i="9"/>
  <c r="C122" i="9"/>
  <c r="C121" i="9"/>
  <c r="C120" i="9"/>
  <c r="C119" i="9"/>
  <c r="C118" i="9"/>
  <c r="D117" i="9"/>
  <c r="C117" i="9"/>
  <c r="D116" i="9"/>
  <c r="C116" i="9"/>
  <c r="D115" i="9"/>
  <c r="C115" i="9"/>
  <c r="D114" i="9"/>
  <c r="C114" i="9"/>
  <c r="C113" i="9"/>
  <c r="C112" i="9"/>
  <c r="C111" i="9"/>
  <c r="C110" i="9"/>
  <c r="D109" i="9"/>
  <c r="C109" i="9"/>
  <c r="C108" i="9"/>
  <c r="C107" i="9"/>
  <c r="C106" i="9"/>
  <c r="C105" i="9"/>
  <c r="C104" i="9"/>
  <c r="C103" i="9"/>
  <c r="C102" i="9"/>
  <c r="C99" i="9"/>
  <c r="D98" i="9"/>
  <c r="C98" i="9"/>
  <c r="C97" i="9"/>
  <c r="C96" i="9"/>
  <c r="D95" i="9"/>
  <c r="C95" i="9"/>
  <c r="C94" i="9"/>
  <c r="C93" i="9"/>
  <c r="D92" i="9"/>
  <c r="C92" i="9"/>
  <c r="C91" i="9"/>
  <c r="C88" i="9"/>
  <c r="C87" i="9"/>
  <c r="D86" i="9"/>
  <c r="C86" i="9"/>
  <c r="C85" i="9"/>
  <c r="D84" i="9"/>
  <c r="C84" i="9"/>
  <c r="C83" i="9"/>
  <c r="D83" i="9" s="1"/>
  <c r="C82" i="9"/>
  <c r="D82" i="9" s="1"/>
  <c r="C81" i="9"/>
  <c r="C80" i="9"/>
  <c r="D79" i="9"/>
  <c r="C79" i="9"/>
  <c r="C78" i="9"/>
  <c r="D77" i="9"/>
  <c r="C77" i="9"/>
  <c r="D76" i="9"/>
  <c r="C76" i="9"/>
  <c r="C75" i="9"/>
  <c r="C74" i="9"/>
  <c r="D73" i="9"/>
  <c r="C73" i="9"/>
  <c r="C72" i="9"/>
  <c r="C71" i="9"/>
  <c r="C70" i="9"/>
  <c r="C69" i="9"/>
  <c r="D68" i="9"/>
  <c r="C68" i="9"/>
  <c r="C67" i="9"/>
  <c r="C66" i="9"/>
  <c r="C65" i="9"/>
  <c r="C64" i="9"/>
  <c r="C63" i="9"/>
  <c r="C62" i="9"/>
  <c r="C61" i="9"/>
  <c r="C60" i="9"/>
  <c r="C59" i="9"/>
  <c r="C58" i="9"/>
  <c r="C57" i="9"/>
  <c r="C56" i="9"/>
  <c r="C55" i="9"/>
  <c r="C54" i="9"/>
  <c r="D53" i="9"/>
  <c r="C53" i="9"/>
  <c r="D52" i="9"/>
  <c r="C52" i="9"/>
  <c r="C51" i="9"/>
  <c r="C50" i="9"/>
  <c r="D49" i="9"/>
  <c r="C49" i="9"/>
  <c r="D48" i="9"/>
  <c r="C48" i="9"/>
  <c r="D47" i="9"/>
  <c r="C47" i="9"/>
  <c r="C46" i="9"/>
  <c r="C43" i="9"/>
  <c r="C42" i="9"/>
  <c r="C41" i="9"/>
  <c r="C40" i="9"/>
  <c r="C39" i="9"/>
  <c r="C38" i="9"/>
  <c r="C37" i="9"/>
  <c r="D36" i="9"/>
  <c r="C36" i="9"/>
  <c r="D35" i="9"/>
  <c r="C35" i="9"/>
  <c r="D34" i="9"/>
  <c r="C34" i="9"/>
  <c r="B34" i="9"/>
  <c r="D33" i="9"/>
  <c r="C33" i="9"/>
  <c r="B33" i="9"/>
  <c r="D32" i="9"/>
  <c r="C32" i="9"/>
  <c r="B32" i="9"/>
  <c r="D31" i="9"/>
  <c r="C31" i="9"/>
  <c r="B31" i="9"/>
  <c r="D30" i="9"/>
  <c r="C30" i="9"/>
  <c r="D29" i="9"/>
  <c r="C29" i="9"/>
  <c r="D28" i="9"/>
  <c r="C28" i="9"/>
  <c r="C23" i="9"/>
  <c r="C22" i="9"/>
  <c r="C21" i="9"/>
  <c r="C20" i="9"/>
  <c r="C19" i="9"/>
  <c r="C18" i="9"/>
  <c r="C17" i="9"/>
  <c r="C13" i="9"/>
  <c r="B13" i="9"/>
  <c r="C12" i="9"/>
  <c r="B12" i="9"/>
  <c r="C11" i="9"/>
  <c r="B11" i="9"/>
  <c r="C10" i="9"/>
  <c r="B10" i="9"/>
  <c r="C9" i="9"/>
  <c r="B9" i="9"/>
  <c r="C8" i="9"/>
  <c r="B8" i="9"/>
  <c r="C7" i="9"/>
  <c r="B7" i="9"/>
  <c r="C6" i="9"/>
  <c r="B6" i="9"/>
  <c r="C5" i="9"/>
  <c r="B5" i="9"/>
  <c r="C4" i="9"/>
  <c r="B4" i="9"/>
  <c r="B225" i="9" l="1"/>
  <c r="B163" i="9"/>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25" i="6" l="1"/>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B146" i="6"/>
  <c r="B147" i="6" s="1"/>
  <c r="B148" i="6" s="1"/>
  <c r="B149" i="6" s="1"/>
  <c r="B150" i="6" s="1"/>
  <c r="B151" i="6" s="1"/>
  <c r="B152" i="6" s="1"/>
  <c r="B153" i="6" s="1"/>
  <c r="B154" i="6" s="1"/>
  <c r="B155" i="6" s="1"/>
  <c r="B156" i="6" s="1"/>
  <c r="B157" i="6" s="1"/>
  <c r="B158" i="6" s="1"/>
  <c r="B159" i="6" s="1"/>
  <c r="B160" i="6" s="1"/>
  <c r="B161" i="6" s="1"/>
  <c r="B162" i="6" s="1"/>
  <c r="C145" i="6"/>
  <c r="D142" i="6"/>
  <c r="C142" i="6"/>
  <c r="C140" i="6"/>
  <c r="C139" i="6"/>
  <c r="C138" i="6"/>
  <c r="C137" i="6"/>
  <c r="D135" i="6"/>
  <c r="C135" i="6"/>
  <c r="D134" i="6"/>
  <c r="C134" i="6"/>
  <c r="D133" i="6"/>
  <c r="C133" i="6"/>
  <c r="C132" i="6"/>
  <c r="D131" i="6"/>
  <c r="C131" i="6"/>
  <c r="C130" i="6"/>
  <c r="C127" i="6"/>
  <c r="C124" i="6"/>
  <c r="C123" i="6"/>
  <c r="C122" i="6"/>
  <c r="C121" i="6"/>
  <c r="C120" i="6"/>
  <c r="C119" i="6"/>
  <c r="C118" i="6"/>
  <c r="D117" i="6"/>
  <c r="C117" i="6"/>
  <c r="D116" i="6"/>
  <c r="C116" i="6"/>
  <c r="D115" i="6"/>
  <c r="C115" i="6"/>
  <c r="D114" i="6"/>
  <c r="C114" i="6"/>
  <c r="C113" i="6"/>
  <c r="C112" i="6"/>
  <c r="C111" i="6"/>
  <c r="C110" i="6"/>
  <c r="D109" i="6"/>
  <c r="C109" i="6"/>
  <c r="C108" i="6"/>
  <c r="C107" i="6"/>
  <c r="C106" i="6"/>
  <c r="C105" i="6"/>
  <c r="C104" i="6"/>
  <c r="C103" i="6"/>
  <c r="C102" i="6"/>
  <c r="C99" i="6"/>
  <c r="D98" i="6"/>
  <c r="C98" i="6"/>
  <c r="C97" i="6"/>
  <c r="C96" i="6"/>
  <c r="D95" i="6"/>
  <c r="C95" i="6"/>
  <c r="C94" i="6"/>
  <c r="C93" i="6"/>
  <c r="D92" i="6"/>
  <c r="C92" i="6"/>
  <c r="C91" i="6"/>
  <c r="C88" i="6"/>
  <c r="C87" i="6"/>
  <c r="D86" i="6"/>
  <c r="C86" i="6"/>
  <c r="C85" i="6"/>
  <c r="D84" i="6"/>
  <c r="C84" i="6"/>
  <c r="C83" i="6"/>
  <c r="D83" i="6" s="1"/>
  <c r="C82" i="6"/>
  <c r="D82" i="6" s="1"/>
  <c r="C81" i="6"/>
  <c r="C80" i="6"/>
  <c r="D79" i="6"/>
  <c r="C79" i="6"/>
  <c r="C78" i="6"/>
  <c r="D77" i="6"/>
  <c r="C77" i="6"/>
  <c r="D76" i="6"/>
  <c r="C76" i="6"/>
  <c r="C75" i="6"/>
  <c r="C74" i="6"/>
  <c r="D73" i="6"/>
  <c r="C73" i="6"/>
  <c r="C72" i="6"/>
  <c r="C71" i="6"/>
  <c r="C70" i="6"/>
  <c r="C69" i="6"/>
  <c r="D68" i="6"/>
  <c r="C68" i="6"/>
  <c r="C67" i="6"/>
  <c r="C66" i="6"/>
  <c r="C65" i="6"/>
  <c r="C64" i="6"/>
  <c r="C63" i="6"/>
  <c r="C62" i="6"/>
  <c r="C61" i="6"/>
  <c r="C60" i="6"/>
  <c r="C59" i="6"/>
  <c r="C58" i="6"/>
  <c r="C57" i="6"/>
  <c r="C56" i="6"/>
  <c r="C55" i="6"/>
  <c r="C54" i="6"/>
  <c r="D53" i="6"/>
  <c r="C53" i="6"/>
  <c r="D52" i="6"/>
  <c r="C52" i="6"/>
  <c r="C51" i="6"/>
  <c r="C50" i="6"/>
  <c r="D49" i="6"/>
  <c r="C49" i="6"/>
  <c r="D48" i="6"/>
  <c r="C48" i="6"/>
  <c r="D47" i="6"/>
  <c r="C47" i="6"/>
  <c r="C46" i="6"/>
  <c r="C43" i="6"/>
  <c r="C42" i="6"/>
  <c r="C41" i="6"/>
  <c r="C40" i="6"/>
  <c r="C39" i="6"/>
  <c r="C38" i="6"/>
  <c r="C37" i="6"/>
  <c r="D36" i="6"/>
  <c r="C36" i="6"/>
  <c r="D35" i="6"/>
  <c r="C35" i="6"/>
  <c r="D34" i="6"/>
  <c r="C34" i="6"/>
  <c r="B34" i="6"/>
  <c r="D33" i="6"/>
  <c r="C33" i="6"/>
  <c r="B33" i="6"/>
  <c r="D32" i="6"/>
  <c r="C32" i="6"/>
  <c r="B32" i="6"/>
  <c r="D31" i="6"/>
  <c r="C31" i="6"/>
  <c r="B31" i="6"/>
  <c r="D30" i="6"/>
  <c r="C30" i="6"/>
  <c r="D29" i="6"/>
  <c r="C29" i="6"/>
  <c r="D28" i="6"/>
  <c r="C28" i="6"/>
  <c r="C23" i="6"/>
  <c r="C22" i="6"/>
  <c r="C21" i="6"/>
  <c r="C20" i="6"/>
  <c r="C19" i="6"/>
  <c r="C18" i="6"/>
  <c r="C17" i="6"/>
  <c r="C13" i="6"/>
  <c r="B13" i="6"/>
  <c r="C12" i="6"/>
  <c r="B12" i="6"/>
  <c r="C11" i="6"/>
  <c r="B11" i="6"/>
  <c r="C10" i="6"/>
  <c r="B10" i="6"/>
  <c r="C9" i="6"/>
  <c r="B9" i="6"/>
  <c r="C8" i="6"/>
  <c r="B8" i="6"/>
  <c r="C7" i="6"/>
  <c r="B7" i="6"/>
  <c r="C6" i="6"/>
  <c r="B6" i="6"/>
  <c r="C5" i="6"/>
  <c r="B5" i="6"/>
  <c r="C4" i="6"/>
  <c r="B4" i="6"/>
  <c r="B225" i="6" l="1"/>
  <c r="B163" i="6"/>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D140" i="5"/>
  <c r="C140" i="5"/>
  <c r="C138" i="5"/>
  <c r="C137" i="5"/>
  <c r="C136" i="5"/>
  <c r="C135" i="5"/>
  <c r="C125" i="5"/>
  <c r="D122" i="5"/>
  <c r="C122" i="5"/>
  <c r="C121" i="5"/>
  <c r="C120" i="5"/>
  <c r="C119" i="5"/>
  <c r="C118" i="5"/>
  <c r="C117" i="5"/>
  <c r="C116" i="5"/>
  <c r="C115" i="5"/>
  <c r="C114" i="5"/>
  <c r="C113" i="5"/>
  <c r="C112" i="5"/>
  <c r="D111" i="5"/>
  <c r="C111" i="5"/>
  <c r="D110" i="5"/>
  <c r="C110" i="5"/>
  <c r="D109" i="5"/>
  <c r="C109" i="5"/>
  <c r="D108" i="5"/>
  <c r="C108" i="5"/>
  <c r="C107" i="5"/>
  <c r="C106" i="5"/>
  <c r="C105" i="5"/>
  <c r="C104" i="5"/>
  <c r="D103" i="5"/>
  <c r="C103" i="5"/>
  <c r="C102" i="5"/>
  <c r="C101" i="5"/>
  <c r="C100" i="5"/>
  <c r="C99" i="5"/>
  <c r="C98" i="5"/>
  <c r="C97" i="5"/>
  <c r="C96" i="5"/>
  <c r="C93" i="5"/>
  <c r="D92" i="5"/>
  <c r="C92" i="5"/>
  <c r="C91" i="5"/>
  <c r="C90" i="5"/>
  <c r="D89" i="5"/>
  <c r="C89" i="5"/>
  <c r="C88" i="5"/>
  <c r="C87" i="5"/>
  <c r="D86" i="5"/>
  <c r="C86" i="5"/>
  <c r="C85" i="5"/>
  <c r="C82" i="5"/>
  <c r="C81" i="5"/>
  <c r="D80" i="5"/>
  <c r="C80" i="5"/>
  <c r="C79" i="5"/>
  <c r="D78" i="5"/>
  <c r="C78" i="5"/>
  <c r="D77" i="5"/>
  <c r="C77" i="5"/>
  <c r="C76" i="5"/>
  <c r="C75" i="5"/>
  <c r="D74" i="5"/>
  <c r="C74" i="5"/>
  <c r="C73" i="5"/>
  <c r="C72" i="5"/>
  <c r="D72" i="5" s="1"/>
  <c r="C71" i="5"/>
  <c r="D71" i="5" s="1"/>
  <c r="C70" i="5"/>
  <c r="C69" i="5"/>
  <c r="D68" i="5"/>
  <c r="C68" i="5"/>
  <c r="C67" i="5"/>
  <c r="C66" i="5"/>
  <c r="C65" i="5"/>
  <c r="C64" i="5"/>
  <c r="D63" i="5"/>
  <c r="C63" i="5"/>
  <c r="C62" i="5"/>
  <c r="C61" i="5"/>
  <c r="C60" i="5"/>
  <c r="C59" i="5"/>
  <c r="C58" i="5"/>
  <c r="C57" i="5"/>
  <c r="C56" i="5"/>
  <c r="C55" i="5"/>
  <c r="C54" i="5"/>
  <c r="C53" i="5"/>
  <c r="C52" i="5"/>
  <c r="C51" i="5"/>
  <c r="C50" i="5"/>
  <c r="C49" i="5"/>
  <c r="D48" i="5"/>
  <c r="C48" i="5"/>
  <c r="D47" i="5"/>
  <c r="C47" i="5"/>
  <c r="C46" i="5"/>
  <c r="C45" i="5"/>
  <c r="D44" i="5"/>
  <c r="C44" i="5"/>
  <c r="D43" i="5"/>
  <c r="C43" i="5"/>
  <c r="D42" i="5"/>
  <c r="C42" i="5"/>
  <c r="C41" i="5"/>
  <c r="C38" i="5"/>
  <c r="C37" i="5"/>
  <c r="C36" i="5"/>
  <c r="C35" i="5"/>
  <c r="C34" i="5"/>
  <c r="C33" i="5"/>
  <c r="C32" i="5"/>
  <c r="D31" i="5"/>
  <c r="C31" i="5"/>
  <c r="D30" i="5"/>
  <c r="C30" i="5"/>
  <c r="D29" i="5"/>
  <c r="C29" i="5"/>
  <c r="D28"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25" i="3" l="1"/>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B146" i="3"/>
  <c r="B147" i="3" s="1"/>
  <c r="B148" i="3" s="1"/>
  <c r="B149" i="3" s="1"/>
  <c r="B150" i="3" s="1"/>
  <c r="B151" i="3" s="1"/>
  <c r="B152" i="3" s="1"/>
  <c r="B153" i="3" s="1"/>
  <c r="B154" i="3" s="1"/>
  <c r="B155" i="3" s="1"/>
  <c r="B156" i="3" s="1"/>
  <c r="B157" i="3" s="1"/>
  <c r="B158" i="3" s="1"/>
  <c r="B159" i="3" s="1"/>
  <c r="B160" i="3" s="1"/>
  <c r="B161" i="3" s="1"/>
  <c r="B162" i="3" s="1"/>
  <c r="C145" i="3"/>
  <c r="C142" i="3"/>
  <c r="C140" i="3"/>
  <c r="C139" i="3"/>
  <c r="C138" i="3"/>
  <c r="C137" i="3"/>
  <c r="C135" i="3"/>
  <c r="C134" i="3"/>
  <c r="C133" i="3"/>
  <c r="C132" i="3"/>
  <c r="C131" i="3"/>
  <c r="C130" i="3"/>
  <c r="C127" i="3"/>
  <c r="C124" i="3"/>
  <c r="C123" i="3"/>
  <c r="C122" i="3"/>
  <c r="C121" i="3"/>
  <c r="C120" i="3"/>
  <c r="C119" i="3"/>
  <c r="C118" i="3"/>
  <c r="C117" i="3"/>
  <c r="C116" i="3"/>
  <c r="C115" i="3"/>
  <c r="C114" i="3"/>
  <c r="C113" i="3"/>
  <c r="C112" i="3"/>
  <c r="C111" i="3"/>
  <c r="C110" i="3"/>
  <c r="C109" i="3"/>
  <c r="C108" i="3"/>
  <c r="C107" i="3"/>
  <c r="C106" i="3"/>
  <c r="C105" i="3"/>
  <c r="C104" i="3"/>
  <c r="C103" i="3"/>
  <c r="C102" i="3"/>
  <c r="C99" i="3"/>
  <c r="C98" i="3"/>
  <c r="C97" i="3"/>
  <c r="C96" i="3"/>
  <c r="C95" i="3"/>
  <c r="C94" i="3"/>
  <c r="C93" i="3"/>
  <c r="C92" i="3"/>
  <c r="C91"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3" i="3"/>
  <c r="C42" i="3"/>
  <c r="C41" i="3"/>
  <c r="C40" i="3"/>
  <c r="C39" i="3"/>
  <c r="C38" i="3"/>
  <c r="C37" i="3"/>
  <c r="C36" i="3"/>
  <c r="C35" i="3"/>
  <c r="C34" i="3"/>
  <c r="B34" i="3"/>
  <c r="C33" i="3"/>
  <c r="B33" i="3"/>
  <c r="C32" i="3"/>
  <c r="B32" i="3"/>
  <c r="C31" i="3"/>
  <c r="B31" i="3"/>
  <c r="C30" i="3"/>
  <c r="C29" i="3"/>
  <c r="C28" i="3"/>
  <c r="C23" i="3"/>
  <c r="C22" i="3"/>
  <c r="C21" i="3"/>
  <c r="C20" i="3"/>
  <c r="C19" i="3"/>
  <c r="C18" i="3"/>
  <c r="C17" i="3"/>
  <c r="C13" i="3"/>
  <c r="B13" i="3"/>
  <c r="C12" i="3"/>
  <c r="B12" i="3"/>
  <c r="C11" i="3"/>
  <c r="B11" i="3"/>
  <c r="C10" i="3"/>
  <c r="B10" i="3"/>
  <c r="C9" i="3"/>
  <c r="B9" i="3"/>
  <c r="C8" i="3"/>
  <c r="B8" i="3"/>
  <c r="C7" i="3"/>
  <c r="B7" i="3"/>
  <c r="C6" i="3"/>
  <c r="B6" i="3"/>
  <c r="C5" i="3"/>
  <c r="B5" i="3"/>
  <c r="C4" i="3"/>
  <c r="B4" i="3"/>
  <c r="B225" i="3" l="1"/>
  <c r="B163" i="3"/>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23"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9" i="1"/>
  <c r="C18" i="1"/>
  <c r="C17" i="1" s="1"/>
  <c r="C13" i="1"/>
  <c r="B13" i="1"/>
  <c r="C12" i="1"/>
  <c r="B12" i="1"/>
  <c r="C11" i="1"/>
  <c r="B11" i="1"/>
  <c r="C10" i="1"/>
  <c r="B10" i="1"/>
  <c r="C9" i="1"/>
  <c r="B9" i="1"/>
  <c r="C8" i="1"/>
  <c r="B8" i="1"/>
  <c r="C7" i="1"/>
  <c r="B7" i="1"/>
  <c r="C6" i="1"/>
  <c r="B6" i="1"/>
  <c r="C5" i="1"/>
  <c r="B5" i="1"/>
  <c r="C4" i="1"/>
  <c r="B4" i="1"/>
</calcChain>
</file>

<file path=xl/sharedStrings.xml><?xml version="1.0" encoding="utf-8"?>
<sst xmlns="http://schemas.openxmlformats.org/spreadsheetml/2006/main" count="4821" uniqueCount="278">
  <si>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</si>
  <si>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</si>
  <si>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</si>
  <si>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</si>
  <si>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</si>
  <si>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</si>
  <si>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</si>
  <si>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</si>
  <si>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</si>
  <si>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</si>
  <si>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</si>
  <si>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</si>
  <si>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</si>
  <si>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</si>
  <si>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</si>
  <si>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</si>
  <si>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</si>
  <si>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</si>
  <si>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</si>
  <si>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</si>
  <si>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</si>
  <si>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</si>
  <si>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</si>
  <si>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</si>
  <si>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</si>
  <si>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</si>
  <si>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</si>
  <si>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</si>
  <si>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</si>
  <si>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</si>
  <si>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</si>
  <si>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</si>
  <si>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</si>
  <si>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</si>
  <si>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</si>
  <si>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</si>
  <si>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</si>
  <si>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</si>
  <si>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</si>
  <si>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</si>
  <si>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</si>
  <si>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</si>
  <si>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</si>
  <si>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</si>
  <si>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</si>
  <si>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</si>
  <si>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</si>
  <si>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</si>
  <si>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</si>
  <si>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</si>
  <si>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</si>
  <si>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</si>
  <si>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</si>
  <si>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</si>
  <si>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</si>
  <si>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</si>
  <si>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</si>
  <si>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</si>
  <si>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</si>
  <si>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</si>
  <si>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</si>
  <si>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</si>
  <si>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</si>
  <si>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</si>
  <si>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</si>
  <si>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</si>
  <si>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</si>
  <si>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</si>
  <si>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</si>
  <si>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</si>
  <si>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</si>
  <si>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</si>
  <si>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</si>
  <si>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</si>
  <si>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</si>
  <si>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</si>
  <si>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</si>
  <si>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</si>
  <si>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</si>
  <si>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</si>
  <si>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</si>
  <si>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</si>
  <si>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</si>
  <si>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</si>
  <si>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</si>
  <si>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</si>
  <si>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</si>
  <si>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</si>
  <si>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</si>
  <si>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</si>
  <si>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</si>
  <si>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</si>
  <si>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</si>
  <si>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</si>
  <si>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</si>
  <si>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</si>
  <si>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</si>
  <si>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</si>
  <si>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</si>
  <si>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</si>
  <si>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</si>
  <si>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</si>
  <si>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</si>
  <si>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</si>
  <si>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</si>
  <si>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</si>
  <si>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</si>
  <si>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</si>
  <si>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</si>
  <si>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</si>
  <si>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</si>
  <si>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</si>
  <si>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</si>
  <si>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</si>
  <si>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</si>
  <si>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</si>
  <si>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</si>
  <si>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</si>
  <si>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</si>
  <si>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</si>
  <si>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</si>
  <si>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</si>
  <si>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</si>
  <si>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</si>
  <si>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</si>
  <si>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</si>
  <si>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</si>
  <si>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</si>
  <si>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</si>
  <si>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</si>
  <si>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</si>
  <si>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</si>
  <si>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</si>
  <si>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</si>
  <si>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</si>
  <si>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</si>
  <si>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</si>
  <si>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</si>
  <si>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</si>
  <si>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</si>
  <si>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</si>
  <si>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</si>
  <si>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</si>
  <si>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</si>
  <si>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</si>
  <si>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</si>
  <si>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</si>
  <si>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</si>
  <si>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</si>
  <si>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</si>
  <si>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</si>
  <si>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</si>
  <si>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</si>
  <si>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</si>
  <si>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</si>
  <si>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</si>
  <si>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</si>
  <si>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</si>
  <si>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</si>
  <si>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</si>
  <si>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</si>
  <si>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</si>
  <si>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</si>
  <si>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</si>
  <si>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</si>
  <si>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</si>
  <si>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</si>
  <si>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</si>
  <si>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</si>
  <si>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</si>
  <si>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</si>
  <si>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</si>
  <si>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</si>
  <si>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</si>
  <si>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</si>
  <si>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</si>
  <si>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</si>
  <si>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</si>
  <si>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</si>
  <si>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</si>
  <si>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</si>
  <si>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</si>
  <si>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</si>
  <si>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</si>
  <si>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</si>
  <si>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</si>
  <si>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</si>
  <si>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</si>
  <si>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</si>
  <si>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</si>
  <si>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</si>
  <si>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</si>
  <si>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</si>
  <si>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</si>
  <si>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</si>
  <si>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</si>
  <si>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</si>
  <si>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</si>
  <si>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</si>
  <si>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</si>
  <si>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</si>
  <si>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</si>
  <si>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</si>
  <si>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</si>
  <si>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</si>
  <si>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</si>
  <si>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</si>
  <si>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</si>
  <si>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</si>
  <si>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</si>
  <si>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</si>
  <si>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</si>
  <si>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</si>
  <si>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</si>
  <si>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</si>
  <si>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</si>
  <si>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</si>
  <si>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</si>
  <si>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</si>
  <si>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</si>
  <si>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</si>
  <si>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</si>
  <si>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</si>
  <si>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</si>
  <si>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</si>
  <si>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</si>
  <si>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</si>
  <si>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</si>
  <si>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</si>
  <si>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</si>
  <si>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</si>
  <si>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</si>
  <si>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</si>
  <si>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</si>
  <si>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</si>
  <si>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</si>
  <si>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</si>
  <si>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</si>
  <si>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</si>
  <si>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</si>
  <si>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</si>
  <si>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</si>
  <si>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</si>
  <si>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</si>
  <si>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</si>
  <si>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</si>
  <si>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</si>
  <si>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</si>
  <si>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</si>
  <si>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</si>
  <si>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</si>
  <si>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</si>
  <si>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</si>
  <si>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</si>
  <si>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</si>
  <si>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</si>
  <si>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</si>
  <si>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</si>
  <si>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</si>
  <si>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Источник информации</t>
  </si>
  <si>
    <t>Таблица ТЭП (I)</t>
  </si>
  <si>
    <t>Постановление №1562</t>
  </si>
  <si>
    <t>Таблица ТЭП (II.1.)</t>
  </si>
  <si>
    <t>Таблица ТЭП (II.2.)</t>
  </si>
  <si>
    <t>Таблица ТЭП (IX)</t>
  </si>
  <si>
    <t>Таблица ТЭП (II) Таблица 2</t>
  </si>
  <si>
    <t>Таблица ТЭП (II) Таблица 3</t>
  </si>
  <si>
    <t>таблица 4 Сборника сметных норм дополнительных затрат при производстве строительно-монтажных работ в зимнее время (ГСН 81-05-02-2007)</t>
  </si>
  <si>
    <t>Приложение № 1 Сборника сметных норм дополнительных затрат при производстве строительно-монтажных работ в зимнее время 
(ГСН 81-05-02-2007).</t>
  </si>
  <si>
    <t>Таблица ТЭП (VIII)</t>
  </si>
  <si>
    <t>Таблица ТЭП (VII)</t>
  </si>
  <si>
    <t>Таблица ТЭП (X)</t>
  </si>
  <si>
    <t>Таблица ТЭП (XI)</t>
  </si>
  <si>
    <t>Таблица ТЭП (III)</t>
  </si>
  <si>
    <t>Таблица ТЭП (IV)</t>
  </si>
  <si>
    <t>Таблица ТЭП (II)</t>
  </si>
  <si>
    <t>Таблица ТЭП (VI)</t>
  </si>
  <si>
    <t>Таблица ТЭП (XIV)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</si>
</sst>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medium">
        <color auto="1"/>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72">
    <xf numFmtId="0" fontId="0" fillId="0" borderId="0" xfId="0"/>
    <xf numFmtId="10" fontId="3" fillId="2" borderId="0" xfId="2" applyNumberFormat="1" applyFont="1" applyFill="1" applyAlignment="1">
      <alignment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xf numFmtId="0" fontId="5" fillId="2" borderId="0" xfId="2" applyFont="1" applyFill="1" applyAlignment="1">
      <alignment horizontal="left" vertical="center"/>
    </xf>
    <xf numFmtId="4" fontId="5" fillId="2" borderId="4"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165" fontId="3" fillId="2" borderId="6" xfId="2" applyNumberFormat="1" applyFont="1" applyFill="1" applyBorder="1" applyAlignment="1">
      <alignment horizontal="center" vertical="center"/>
    </xf>
    <xf numFmtId="49" fontId="3" fillId="2" borderId="6" xfId="2" applyNumberFormat="1" applyFont="1" applyFill="1" applyBorder="1" applyAlignment="1">
      <alignment horizontal="right" vertical="center" wrapText="1"/>
    </xf>
    <xf numFmtId="49" fontId="8" fillId="2" borderId="6" xfId="0" applyNumberFormat="1" applyFont="1" applyFill="1" applyBorder="1" applyAlignment="1">
      <alignment horizontal="right" vertical="center"/>
    </xf>
    <xf numFmtId="167" fontId="3" fillId="2" borderId="6" xfId="1" applyNumberFormat="1" applyFont="1" applyFill="1" applyBorder="1" applyAlignment="1">
      <alignment horizontal="center" vertical="center" wrapText="1"/>
    </xf>
    <xf numFmtId="167" fontId="3" fillId="2" borderId="6" xfId="2" applyNumberFormat="1" applyFont="1" applyFill="1" applyBorder="1" applyAlignment="1">
      <alignment horizontal="center" vertical="center" wrapText="1"/>
    </xf>
    <xf numFmtId="2"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10" fontId="3" fillId="2" borderId="3" xfId="2" applyNumberFormat="1" applyFont="1" applyFill="1" applyBorder="1" applyAlignment="1">
      <alignment horizontal="center" vertical="center" wrapText="1"/>
    </xf>
    <xf numFmtId="0" fontId="3" fillId="2" borderId="2" xfId="2" applyFont="1" applyFill="1" applyBorder="1" applyAlignment="1">
      <alignment horizontal="right" wrapText="1" indent="1"/>
    </xf>
    <xf numFmtId="0" fontId="3" fillId="2" borderId="4" xfId="2" applyFont="1" applyFill="1" applyBorder="1" applyAlignment="1">
      <alignment horizontal="center" vertical="center" wrapText="1"/>
    </xf>
    <xf numFmtId="0" fontId="3" fillId="2" borderId="5" xfId="2" applyFont="1" applyFill="1" applyBorder="1" applyProtection="1"/>
    <xf numFmtId="10" fontId="15" fillId="2" borderId="7" xfId="2" applyNumberFormat="1" applyFont="1" applyFill="1" applyBorder="1" applyAlignment="1" applyProtection="1">
      <alignment horizontal="right" vertical="center"/>
    </xf>
    <xf numFmtId="10" fontId="3" fillId="2" borderId="7" xfId="2" applyNumberFormat="1" applyFont="1" applyFill="1" applyBorder="1" applyAlignment="1" applyProtection="1">
      <alignment horizontal="right" vertical="center"/>
    </xf>
    <xf numFmtId="10" fontId="3" fillId="2" borderId="7" xfId="2" applyNumberFormat="1" applyFont="1" applyFill="1" applyBorder="1" applyAlignment="1" applyProtection="1">
      <alignment vertical="center"/>
    </xf>
    <xf numFmtId="10" fontId="3" fillId="2" borderId="7" xfId="2" applyNumberFormat="1" applyFont="1" applyFill="1" applyBorder="1" applyAlignment="1" applyProtection="1">
      <alignment vertical="center"/>
      <protection locked="0"/>
    </xf>
    <xf numFmtId="10" fontId="3" fillId="2" borderId="10" xfId="2" applyNumberFormat="1" applyFont="1" applyFill="1" applyBorder="1" applyAlignment="1" applyProtection="1">
      <alignment vertical="center"/>
      <protection locked="0"/>
    </xf>
    <xf numFmtId="0" fontId="3" fillId="2" borderId="22" xfId="2" applyFont="1" applyFill="1" applyBorder="1"/>
    <xf numFmtId="0" fontId="3" fillId="2" borderId="22" xfId="2" applyFont="1" applyFill="1" applyBorder="1" applyAlignment="1">
      <alignment vertical="center"/>
    </xf>
    <xf numFmtId="0" fontId="3" fillId="2" borderId="0" xfId="2" applyFont="1" applyFill="1" applyAlignment="1">
      <alignment vertical="center"/>
    </xf>
    <xf numFmtId="0" fontId="3" fillId="2" borderId="9" xfId="2" applyFont="1" applyFill="1" applyBorder="1" applyAlignment="1">
      <alignment horizontal="left" vertical="center" wrapText="1"/>
    </xf>
    <xf numFmtId="0" fontId="3" fillId="2" borderId="0" xfId="2" applyFont="1" applyFill="1" applyAlignment="1">
      <alignment horizontal="left"/>
    </xf>
    <xf numFmtId="0" fontId="3" fillId="2" borderId="0" xfId="2" applyFont="1" applyFill="1" applyBorder="1" applyAlignment="1">
      <alignment horizontal="left"/>
    </xf>
    <xf numFmtId="4" fontId="5" fillId="2" borderId="4" xfId="2" applyNumberFormat="1" applyFont="1" applyFill="1" applyBorder="1" applyAlignment="1">
      <alignment horizontal="left" vertical="center" wrapText="1"/>
    </xf>
    <xf numFmtId="3" fontId="5" fillId="2" borderId="7" xfId="2" applyNumberFormat="1" applyFont="1" applyFill="1" applyBorder="1" applyAlignment="1">
      <alignment horizontal="center" vertical="center" wrapText="1"/>
    </xf>
    <xf numFmtId="0" fontId="3" fillId="2" borderId="7" xfId="2" applyFont="1" applyFill="1" applyBorder="1" applyAlignment="1">
      <alignment horizontal="left" vertical="center" wrapText="1"/>
    </xf>
    <xf numFmtId="0" fontId="3" fillId="2" borderId="7" xfId="2" applyFont="1" applyFill="1" applyBorder="1" applyAlignment="1">
      <alignment horizontal="left" vertical="center"/>
    </xf>
    <xf numFmtId="0" fontId="15" fillId="2" borderId="7"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3" fillId="0" borderId="24" xfId="2" applyFont="1" applyFill="1" applyBorder="1" applyAlignment="1">
      <alignment horizontal="left" vertical="center"/>
    </xf>
    <xf numFmtId="0" fontId="3" fillId="2" borderId="7" xfId="2" applyNumberFormat="1" applyFont="1" applyFill="1" applyBorder="1" applyAlignment="1">
      <alignment horizontal="left" vertical="center" wrapText="1"/>
    </xf>
    <xf numFmtId="4" fontId="3" fillId="2" borderId="7" xfId="2" applyNumberFormat="1" applyFont="1" applyFill="1" applyBorder="1" applyAlignment="1">
      <alignment horizontal="left" vertical="center" wrapText="1"/>
    </xf>
    <xf numFmtId="10" fontId="3" fillId="2" borderId="7" xfId="2" applyNumberFormat="1" applyFont="1" applyFill="1" applyBorder="1" applyAlignment="1">
      <alignment horizontal="left" vertical="center" wrapText="1"/>
    </xf>
    <xf numFmtId="0" fontId="3" fillId="2" borderId="10" xfId="2" applyFont="1" applyFill="1" applyBorder="1" applyAlignment="1">
      <alignment horizontal="left" vertical="center"/>
    </xf>
    <xf numFmtId="0" fontId="3" fillId="2" borderId="24" xfId="2" applyFont="1" applyFill="1" applyBorder="1" applyAlignment="1">
      <alignment horizontal="left" vertical="center"/>
    </xf>
    <xf numFmtId="0" fontId="15" fillId="2" borderId="10"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4" xfId="2" applyFont="1" applyFill="1" applyBorder="1" applyAlignment="1">
      <alignment horizontal="left" vertical="top" wrapText="1"/>
    </xf>
    <xf numFmtId="0" fontId="3" fillId="2" borderId="0" xfId="2" applyFont="1" applyFill="1" applyAlignment="1">
      <alignment horizontal="left" vertical="center" wrapText="1"/>
    </xf>
    <xf numFmtId="0" fontId="3" fillId="2" borderId="24" xfId="2" applyFont="1" applyFill="1" applyBorder="1" applyAlignment="1">
      <alignment horizontal="left" vertical="center" wrapText="1"/>
    </xf>
    <xf numFmtId="0" fontId="3" fillId="2" borderId="9" xfId="2" applyFont="1" applyFill="1" applyBorder="1" applyAlignment="1">
      <alignment horizontal="left" vertical="center" wrapText="1"/>
    </xf>
    <xf numFmtId="0" fontId="5" fillId="2" borderId="1" xfId="2" applyFont="1" applyFill="1" applyBorder="1" applyAlignment="1">
      <alignment horizontal="left" wrapText="1"/>
    </xf>
    <xf numFmtId="0" fontId="4" fillId="2" borderId="0" xfId="2" applyFont="1" applyFill="1" applyBorder="1" applyAlignment="1">
      <alignment horizontal="center" vertical="center" wrapText="1"/>
    </xf>
    <xf numFmtId="0" fontId="5" fillId="2" borderId="13"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1" xfId="2" applyFont="1" applyFill="1" applyBorder="1" applyAlignment="1">
      <alignment horizontal="center" wrapText="1"/>
    </xf>
    <xf numFmtId="0" fontId="3" fillId="2" borderId="10"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25" xfId="2" applyFont="1" applyFill="1" applyBorder="1" applyAlignment="1">
      <alignment horizontal="left" vertical="center" wrapText="1"/>
    </xf>
    <xf numFmtId="0" fontId="5" fillId="2" borderId="4"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5</xdr:col>
          <xdr:colOff>0</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0</xdr:row>
          <xdr:rowOff>85725</xdr:rowOff>
        </xdr:from>
        <xdr:to>
          <xdr:col>5</xdr:col>
          <xdr:colOff>1000125</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5</xdr:col>
          <xdr:colOff>0</xdr:colOff>
          <xdr:row>1</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0</xdr:row>
          <xdr:rowOff>104775</xdr:rowOff>
        </xdr:from>
        <xdr:to>
          <xdr:col>5</xdr:col>
          <xdr:colOff>1095375</xdr:colOff>
          <xdr:row>0</xdr:row>
          <xdr:rowOff>352425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5</xdr:col>
          <xdr:colOff>0</xdr:colOff>
          <xdr:row>0</xdr:row>
          <xdr:rowOff>352425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0</xdr:row>
          <xdr:rowOff>104775</xdr:rowOff>
        </xdr:from>
        <xdr:to>
          <xdr:col>5</xdr:col>
          <xdr:colOff>1095375</xdr:colOff>
          <xdr:row>0</xdr:row>
          <xdr:rowOff>352425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5</xdr:col>
          <xdr:colOff>0</xdr:colOff>
          <xdr:row>0</xdr:row>
          <xdr:rowOff>352425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0</xdr:row>
          <xdr:rowOff>104775</xdr:rowOff>
        </xdr:from>
        <xdr:to>
          <xdr:col>5</xdr:col>
          <xdr:colOff>1095375</xdr:colOff>
          <xdr:row>0</xdr:row>
          <xdr:rowOff>352425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5</xdr:col>
          <xdr:colOff>0</xdr:colOff>
          <xdr:row>0</xdr:row>
          <xdr:rowOff>352425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0</xdr:row>
          <xdr:rowOff>104775</xdr:rowOff>
        </xdr:from>
        <xdr:to>
          <xdr:col>5</xdr:col>
          <xdr:colOff>1095375</xdr:colOff>
          <xdr:row>0</xdr:row>
          <xdr:rowOff>352425</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8434" name="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9458" name="Button 2" hidden="1">
              <a:extLst>
                <a:ext uri="{63B3BB69-23CF-44E3-9099-C40C66FF867C}">
                  <a14:compatExt spid="_x0000_s1945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0</xdr:row>
          <xdr:rowOff>85725</xdr:rowOff>
        </xdr:from>
        <xdr:to>
          <xdr:col>5</xdr:col>
          <xdr:colOff>1000125</xdr:colOff>
          <xdr:row>0</xdr:row>
          <xdr:rowOff>238125</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1;&#1091;&#1088;&#1084;&#1080;&#1089;&#1090;&#1088;&#1086;&#1074;&#1089;&#1082;&#1080;&#108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1;&#1091;&#1088;&#1084;&#1080;&#1089;&#1090;&#1088;&#1086;&#1074;&#108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1;&#1099;&#1089;&#1090;&#1088;&#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1;&#1099;&#1089;&#1090;&#1088;&#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42;&#1077;&#1088;&#1093;-&#1050;&#1086;&#1077;&#1085;&#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2;&#1077;&#1088;&#1093;-&#1050;&#1086;&#1077;&#1085;&#1089;&#1082;&#1086;&#1077;%20&#1075;&#1072;&#107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3;&#1080;&#1083;&#1077;&#1074;&#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48;&#1089;&#1082;&#1080;&#1090;&#1080;&#1084;&#1089;&#1082;&#1080;&#108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3;&#1091;&#1089;&#1077;&#1083;&#1100;&#1085;&#1080;&#1082;&#1086;&#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45;&#1074;&#1089;&#1080;&#1085;&#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1;&#1077;&#1075;&#1086;&#1089;&#1090;&#1072;&#1077;&#1074;&#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1;&#1080;&#1089;&#1090;&#1074;&#1103;&#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2;&#1080;&#1095;&#1091;&#1088;&#1080;&#1085;&#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2;&#1086;&#1088;&#1086;&#1079;&#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5;&#1088;&#1077;&#1086;&#1073;&#1088;&#1072;&#1078;&#1077;&#1085;&#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5;&#1088;&#1086;&#1084;&#1099;&#1096;&#1083;&#1077;&#1085;&#1085;&#1099;&#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7;&#1086;&#1074;&#1093;&#1086;&#1079;&#1085;&#1099;&#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7;&#1090;&#1077;&#1087;&#1085;&#1086;&#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8;&#1072;&#1090;&#1100;&#1084;&#1077;&#1085;&#1089;&#1082;&#1080;&#108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9;&#1083;&#1099;&#1073;&#1080;&#1085;&#1089;&#1082;&#1080;&#108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9;&#1089;&#1090;&#1100;-&#1063;&#1077;&#1084;&#1089;&#1082;&#1086;&#108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63;&#1077;&#1088;&#1085;&#1086;&#1088;&#1077;&#1095;&#1077;&#1085;&#1089;&#1082;&#1080;&#108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64;&#1080;&#1073;&#1082;&#1086;&#1074;&#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деревня Бурмистрово, Искитимский муниципальный район </v>
          </cell>
        </row>
        <row r="15">
          <cell r="D15" t="str">
            <v/>
          </cell>
        </row>
        <row r="16">
          <cell r="D16" t="str">
            <v>Код ОКТМО</v>
          </cell>
          <cell r="E16" t="str">
            <v>(50615401101)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759.67438872744583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3413.25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445.70966523768817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1846.1709738656207</v>
          </cell>
        </row>
        <row r="33">
          <cell r="F33">
            <v>1124.091225525967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73.629939651719823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Искитимский Бурмистрово"/>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831.83302974859123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2118.7793537219804</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507.22302275360641</v>
          </cell>
        </row>
      </sheetData>
      <sheetData sheetId="24"/>
      <sheetData sheetId="25">
        <row r="12">
          <cell r="F12">
            <v>402.86408578976187</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77.213989840278799</v>
          </cell>
        </row>
      </sheetData>
      <sheetData sheetId="31">
        <row r="12">
          <cell r="F12" t="str">
            <v>-</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Быстровка, Искитимский муниципальный район </v>
          </cell>
        </row>
        <row r="15">
          <cell r="D15" t="str">
            <v/>
          </cell>
        </row>
        <row r="16">
          <cell r="D16" t="str">
            <v>Код ОКТМО</v>
          </cell>
          <cell r="E16" t="str">
            <v>(50615402101)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759.67438872744583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3413.25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445.70966523768817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1846.1709738656207</v>
          </cell>
        </row>
        <row r="33">
          <cell r="F33">
            <v>1124.091225525967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73.629939651719823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Искитимский Быстровский"/>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846.79491165589309</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2118.7793537219804</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507.22302275360641</v>
          </cell>
        </row>
      </sheetData>
      <sheetData sheetId="24"/>
      <sheetData sheetId="25">
        <row r="12">
          <cell r="F12">
            <v>403.66691828758218</v>
          </cell>
        </row>
      </sheetData>
      <sheetData sheetId="26"/>
      <sheetData sheetId="27">
        <row r="8">
          <cell r="F8" t="str">
            <v>нет</v>
          </cell>
        </row>
      </sheetData>
      <sheetData sheetId="28">
        <row r="11">
          <cell r="E11">
            <v>1871</v>
          </cell>
        </row>
      </sheetData>
      <sheetData sheetId="29"/>
      <sheetData sheetId="30">
        <row r="12">
          <cell r="F12">
            <v>77.529284128381249</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Верх-Коен, Искитимский муниципальный район </v>
          </cell>
        </row>
        <row r="15">
          <cell r="D15" t="str">
            <v/>
          </cell>
        </row>
        <row r="16">
          <cell r="D16" t="str">
            <v>Код ОКТМО</v>
          </cell>
          <cell r="E16" t="str">
            <v>(50615404101)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Искитимский Верх-Коенское газ"/>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912.75572352910331</v>
          </cell>
        </row>
      </sheetData>
      <sheetData sheetId="8">
        <row r="16">
          <cell r="E16">
            <v>7900</v>
          </cell>
        </row>
      </sheetData>
      <sheetData sheetId="9"/>
      <sheetData sheetId="10"/>
      <sheetData sheetId="11"/>
      <sheetData sheetId="12"/>
      <sheetData sheetId="13">
        <row r="12">
          <cell r="F12">
            <v>1417.8079094269176</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339.07313643637207</v>
          </cell>
        </row>
      </sheetData>
      <sheetData sheetId="23"/>
      <sheetData sheetId="24">
        <row r="12">
          <cell r="F12">
            <v>201.16907540435733</v>
          </cell>
        </row>
      </sheetData>
      <sheetData sheetId="25"/>
      <sheetData sheetId="26">
        <row r="8">
          <cell r="F8" t="str">
            <v>нет</v>
          </cell>
        </row>
      </sheetData>
      <sheetData sheetId="27">
        <row r="11">
          <cell r="E11">
            <v>1871</v>
          </cell>
        </row>
      </sheetData>
      <sheetData sheetId="28"/>
      <sheetData sheetId="29">
        <row r="12">
          <cell r="F12">
            <v>57.416116895935012</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Гилево, Искитимский муниципальный район</v>
          </cell>
        </row>
        <row r="15">
          <cell r="D15" t="str">
            <v/>
          </cell>
          <cell r="E15" t="str">
            <v>деревня Гилево, Искитимский муниципальный район</v>
          </cell>
        </row>
        <row r="16">
          <cell r="D16" t="str">
            <v>Код ОКТМО</v>
          </cell>
          <cell r="E16" t="str">
            <v xml:space="preserve"> (50615407106)</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759.67438872744583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3413.25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445.70966523768817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1846.1709738656207</v>
          </cell>
        </row>
        <row r="33">
          <cell r="F33">
            <v>1124.091225525967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73.629939651719823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рмистровский"/>
      <sheetName val="Быстровский"/>
      <sheetName val="Верх-Коенский"/>
      <sheetName val="Гилевский"/>
      <sheetName val="Гусельниковский"/>
      <sheetName val="Евсинский"/>
      <sheetName val="Легостаевкий"/>
      <sheetName val="Листвянский"/>
      <sheetName val="Мичуринский"/>
      <sheetName val="Морозовский"/>
      <sheetName val="Преображенский"/>
      <sheetName val="Промышленный"/>
      <sheetName val="Совхозный"/>
      <sheetName val="Степной"/>
      <sheetName val="Тальменский"/>
      <sheetName val="Улыбинский"/>
      <sheetName val="Усть-Чемской"/>
      <sheetName val="Чернореченский"/>
      <sheetName val="Шибковский"/>
      <sheetName val="Лист6"/>
      <sheetName val="Лист2"/>
      <sheetName val="Лист3"/>
      <sheetName val="Лист4"/>
      <sheetName val="Лист5"/>
      <sheetName val="Искитимский"/>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Гусельниково, Искитимский муниципальный район </v>
          </cell>
        </row>
        <row r="15">
          <cell r="D15" t="str">
            <v/>
          </cell>
          <cell r="E15" t="str">
            <v>деревня Гилево, Искитимский муниципальный район</v>
          </cell>
        </row>
        <row r="16">
          <cell r="D16" t="str">
            <v>Код ОКТМО</v>
          </cell>
          <cell r="E16" t="str">
            <v>(50615410101)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759.67438872744583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E13" t="str">
            <v>уголь (вид угля не указан в топливном балансе)</v>
          </cell>
          <cell r="I13" t="str">
            <v>данные Федеральной службы государственной статистики</v>
          </cell>
        </row>
        <row r="16">
          <cell r="E16">
            <v>5100</v>
          </cell>
        </row>
        <row r="19">
          <cell r="E19">
            <v>-0.19900000000000001</v>
          </cell>
          <cell r="F19"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0">
          <cell r="E20">
            <v>5.7000000000000002E-2</v>
          </cell>
          <cell r="F20"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3">
          <cell r="E23" t="str">
            <v>данные Федеральной службы государственной статистики</v>
          </cell>
        </row>
        <row r="27">
          <cell r="E27">
            <v>3413.25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19">
          <cell r="E19">
            <v>-38</v>
          </cell>
          <cell r="F19" t="str">
            <v>Схема теплоснабжения (расчетная температура наружного воздуха)</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1">
        <row r="11">
          <cell r="G11" t="str">
            <v>Информация с официального сайта Банка России</v>
          </cell>
        </row>
      </sheetData>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445.70966523768817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1846.1709738656207</v>
          </cell>
        </row>
        <row r="33">
          <cell r="F33">
            <v>1124.091225525967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73.629939651719823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станция Евсино, Искитимский муниципальный район</v>
          </cell>
        </row>
        <row r="15">
          <cell r="D15" t="str">
            <v/>
          </cell>
        </row>
        <row r="16">
          <cell r="D16" t="str">
            <v>Код ОКТМО</v>
          </cell>
          <cell r="E16" t="str">
            <v xml:space="preserve"> (50615413101)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7900</v>
          </cell>
          <cell r="F16" t="str">
            <v>Приказ ФАС России от 02.06.2021 №545/21</v>
          </cell>
        </row>
        <row r="20">
          <cell r="E20">
            <v>8.5000000000000006E-2</v>
          </cell>
          <cell r="F20"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ell>
        </row>
        <row r="21">
          <cell r="E21">
            <v>0.112</v>
          </cell>
          <cell r="F21"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ell>
        </row>
        <row r="24">
          <cell r="E24" t="str">
            <v>цены (тарифы), подлежащие государственному регулированию, действовавшие на день окончания (i-2)-го расчетного периода в системе теплоснабжения</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cell r="F26" t="str">
            <v>Приказ ФАС России от 02.06.2021 №545/21</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cell r="F27" t="str">
            <v>Приказ ФАС России от 13.01.2020 №15/20</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cell r="F28" t="str">
            <v>Приказ ФАС России от 27.05.2016 №682/16</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cell r="F29" t="str">
            <v>Приказ департамента по тарифам Новосибирской области от 22.12.2020 №650-Г</v>
          </cell>
        </row>
        <row r="30">
          <cell r="F30" t="str">
            <v>Федеральной службы по тарифам</v>
          </cell>
        </row>
        <row r="32">
          <cell r="E32">
            <v>5751.37</v>
          </cell>
        </row>
      </sheetData>
      <sheetData sheetId="9" refreshError="1"/>
      <sheetData sheetId="10" refreshError="1"/>
      <sheetData sheetId="11"/>
      <sheetData sheetId="12" refreshError="1"/>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-38</v>
          </cell>
          <cell r="F20" t="str">
            <v>Свод правил СП 131.13330.2020 "СНиП 23-01-99* Строительная климатология" "Температура воздуха наиболее холодной пятидневки с обеспеченностью 0,92"</v>
          </cell>
        </row>
        <row r="21">
          <cell r="F21" t="str">
            <v>Значение принято по ближайшему населенному пункту</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0.114</v>
          </cell>
          <cell r="H11">
            <v>2.4E-2</v>
          </cell>
          <cell r="I11">
            <v>8.5999999999999993E-2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0">
        <row r="11">
          <cell r="G11" t="str">
            <v>Информация с официального сайта Банка России</v>
          </cell>
        </row>
      </sheetData>
      <sheetData sheetId="21" refreshError="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row r="12">
          <cell r="F12" t="str">
            <v xml:space="preserve">Налоговый кодекс Российской Федерации </v>
          </cell>
        </row>
        <row r="13">
          <cell r="F13" t="str">
            <v xml:space="preserve">Налоговый кодекс Российской Федерации </v>
          </cell>
        </row>
      </sheetData>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refreshError="1"/>
      <sheetData sheetId="26">
        <row r="8">
          <cell r="F8" t="str">
            <v>нет</v>
          </cell>
        </row>
        <row r="15">
          <cell r="D15" t="str">
            <v>АО "Новосибирскэнергосбыт"</v>
          </cell>
          <cell r="E15" t="str">
            <v>https://www.nskes.ru/dlya-biznesa/tarify-i-oplata/nereguliruemye-tseny/</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Легостаево, Искитимский муниципальный район </v>
          </cell>
        </row>
        <row r="15">
          <cell r="D15" t="str">
            <v/>
          </cell>
        </row>
        <row r="16">
          <cell r="D16" t="str">
            <v>Код ОКТМО</v>
          </cell>
          <cell r="E16" t="str">
            <v>(50615416101)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759.67438872744583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3413.25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445.70966523768817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1846.1709738656207</v>
          </cell>
        </row>
        <row r="33">
          <cell r="F33">
            <v>1124.091225525967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73.629939651719823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Листвянский, Искитимский муниципальный район </v>
          </cell>
        </row>
        <row r="15">
          <cell r="D15" t="str">
            <v/>
          </cell>
        </row>
        <row r="16">
          <cell r="D16" t="str">
            <v>Код ОКТМО</v>
          </cell>
          <cell r="E16" t="str">
            <v>(50615415101)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626.19211112710013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2813.5083333333337</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436.36590580566394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1651.6512818834203</v>
          </cell>
        </row>
        <row r="33">
          <cell r="F33">
            <v>929.5715335437668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70.773418911072426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Агролес, Искитимский муниципальный район</v>
          </cell>
        </row>
        <row r="15">
          <cell r="D15" t="str">
            <v/>
          </cell>
        </row>
        <row r="16">
          <cell r="D16" t="str">
            <v>Код ОКТМО</v>
          </cell>
          <cell r="E16" t="str">
            <v xml:space="preserve"> (50615417101)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7900</v>
          </cell>
          <cell r="F16" t="str">
            <v>Приказ ФАС России от 02.06.2021 №545/21</v>
          </cell>
        </row>
        <row r="20">
          <cell r="E20">
            <v>8.5000000000000006E-2</v>
          </cell>
          <cell r="F20"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ell>
        </row>
        <row r="21">
          <cell r="E21">
            <v>0.112</v>
          </cell>
          <cell r="F21"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ell>
        </row>
        <row r="24">
          <cell r="E24" t="str">
            <v>цены (тарифы), подлежащие государственному регулированию, действовавшие на день окончания (i-2)-го расчетного периода в системе теплоснабжения</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cell r="F26" t="str">
            <v>Приказ ФАС России от 02.06.2021 №545/21</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cell r="F27" t="str">
            <v>Приказ ФАС России от 13.01.2020 №15/20</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cell r="F28" t="str">
            <v>Приказ ФАС России от 27.05.2016 №682/16</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cell r="F29" t="str">
            <v>Приказ департамента по тарифам Новосибирской области от 22.12.2020 №650-Г</v>
          </cell>
        </row>
        <row r="30">
          <cell r="F30" t="str">
            <v>Федеральной службы по тарифам</v>
          </cell>
        </row>
        <row r="32">
          <cell r="E32">
            <v>5751.37</v>
          </cell>
        </row>
      </sheetData>
      <sheetData sheetId="9" refreshError="1"/>
      <sheetData sheetId="10" refreshError="1"/>
      <sheetData sheetId="11"/>
      <sheetData sheetId="12" refreshError="1"/>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-38</v>
          </cell>
          <cell r="F20" t="str">
            <v>Свод правил СП 131.13330.2020 "СНиП 23-01-99* Строительная климатология" "Температура воздуха наиболее холодной пятидневки с обеспеченностью 0,92"</v>
          </cell>
        </row>
        <row r="21">
          <cell r="F21" t="str">
            <v>Значение принято по ближайшему населенному пункту</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0.114</v>
          </cell>
          <cell r="H11">
            <v>2.4E-2</v>
          </cell>
          <cell r="I11">
            <v>8.5999999999999993E-2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0">
        <row r="11">
          <cell r="G11" t="str">
            <v>Информация с официального сайта Банка России</v>
          </cell>
        </row>
      </sheetData>
      <sheetData sheetId="21" refreshError="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row r="12">
          <cell r="F12" t="str">
            <v xml:space="preserve">Налоговый кодекс Российской Федерации </v>
          </cell>
        </row>
        <row r="13">
          <cell r="F13" t="str">
            <v xml:space="preserve">Налоговый кодекс Российской Федерации </v>
          </cell>
        </row>
      </sheetData>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refreshError="1"/>
      <sheetData sheetId="26">
        <row r="8">
          <cell r="F8" t="str">
            <v>нет</v>
          </cell>
        </row>
        <row r="15">
          <cell r="D15" t="str">
            <v>АО "Новосибирскэнергосбыт"</v>
          </cell>
          <cell r="E15" t="str">
            <v>https://www.nskes.ru/dlya-biznesa/tarify-i-oplata/nereguliruemye-tseny/</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Морозово, Искитимский муниципальный район</v>
          </cell>
        </row>
        <row r="15">
          <cell r="D15" t="str">
            <v/>
          </cell>
        </row>
        <row r="16">
          <cell r="D16" t="str">
            <v>Код ОКТМО</v>
          </cell>
          <cell r="E16" t="str">
            <v xml:space="preserve"> (50615418101)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7900</v>
          </cell>
          <cell r="F16" t="str">
            <v>Приказ ФАС России от 02.06.2021 №545/21</v>
          </cell>
        </row>
        <row r="20">
          <cell r="E20">
            <v>8.5000000000000006E-2</v>
          </cell>
          <cell r="F20"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ell>
        </row>
        <row r="21">
          <cell r="E21">
            <v>0.112</v>
          </cell>
          <cell r="F21"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ell>
        </row>
        <row r="24">
          <cell r="E24" t="str">
            <v>цены (тарифы), подлежащие государственному регулированию, действовавшие на день окончания (i-2)-го расчетного периода в системе теплоснабжения</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cell r="F26" t="str">
            <v>Приказ ФАС России от 02.06.2021 №545/21</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cell r="F27" t="str">
            <v>Приказ ФАС России от 13.01.2020 №15/20</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cell r="F28" t="str">
            <v>Приказ ФАС России от 27.05.2016 №682/16</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cell r="F29" t="str">
            <v>Приказ департамента по тарифам Новосибирской области от 22.12.2020 №650-Г</v>
          </cell>
        </row>
        <row r="30">
          <cell r="F30" t="str">
            <v>Федеральной службы по тарифам</v>
          </cell>
        </row>
        <row r="32">
          <cell r="E32">
            <v>5751.37</v>
          </cell>
        </row>
      </sheetData>
      <sheetData sheetId="9" refreshError="1"/>
      <sheetData sheetId="10" refreshError="1"/>
      <sheetData sheetId="11"/>
      <sheetData sheetId="12" refreshError="1"/>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-38</v>
          </cell>
          <cell r="F20" t="str">
            <v>Свод правил СП 131.13330.2020 "СНиП 23-01-99* Строительная климатология" "Температура воздуха наиболее холодной пятидневки с обеспеченностью 0,92"</v>
          </cell>
        </row>
        <row r="21">
          <cell r="F21" t="str">
            <v>Значение принято по ближайшему населенному пункту</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0.114</v>
          </cell>
          <cell r="H11">
            <v>2.4E-2</v>
          </cell>
          <cell r="I11">
            <v>8.5999999999999993E-2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0">
        <row r="11">
          <cell r="G11" t="str">
            <v>Информация с официального сайта Банка России</v>
          </cell>
        </row>
      </sheetData>
      <sheetData sheetId="21" refreshError="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row r="12">
          <cell r="F12" t="str">
            <v xml:space="preserve">Налоговый кодекс Российской Федерации </v>
          </cell>
        </row>
        <row r="13">
          <cell r="F13" t="str">
            <v xml:space="preserve">Налоговый кодекс Российской Федерации </v>
          </cell>
        </row>
      </sheetData>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refreshError="1"/>
      <sheetData sheetId="26">
        <row r="8">
          <cell r="F8" t="str">
            <v>нет</v>
          </cell>
        </row>
        <row r="15">
          <cell r="D15" t="str">
            <v>АО "Новосибирскэнергосбыт"</v>
          </cell>
          <cell r="E15" t="str">
            <v>https://www.nskes.ru/dlya-biznesa/tarify-i-oplata/nereguliruemye-tseny/</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Преображенка, Искитимский муниципальный район</v>
          </cell>
        </row>
        <row r="15">
          <cell r="D15" t="str">
            <v/>
          </cell>
        </row>
        <row r="16">
          <cell r="D16" t="str">
            <v>Код ОКТМО</v>
          </cell>
          <cell r="E16" t="str">
            <v xml:space="preserve"> (50615419101)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734.04217101653171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3298.0833333333335</v>
          </cell>
        </row>
      </sheetData>
      <sheetData sheetId="9" refreshError="1"/>
      <sheetData sheetId="10" refreshError="1"/>
      <sheetData sheetId="11"/>
      <sheetData sheetId="12" refreshError="1"/>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443.91540999792414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1808.8179170884805</v>
          </cell>
        </row>
        <row r="33">
          <cell r="F33">
            <v>1086.7381687488269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73.081410192706258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Керамкомбинат, Искитимский муниципальный район</v>
          </cell>
        </row>
        <row r="15">
          <cell r="D15" t="str">
            <v/>
          </cell>
        </row>
        <row r="16">
          <cell r="D16" t="str">
            <v>Код ОКТМО</v>
          </cell>
          <cell r="E16" t="str">
            <v xml:space="preserve"> (50615420101)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7900</v>
          </cell>
          <cell r="F16" t="str">
            <v>Приказ ФАС России от 02.06.2021 №545/21</v>
          </cell>
        </row>
        <row r="20">
          <cell r="E20">
            <v>8.5000000000000006E-2</v>
          </cell>
          <cell r="F20"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ell>
        </row>
        <row r="21">
          <cell r="E21">
            <v>0.112</v>
          </cell>
          <cell r="F21"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ell>
        </row>
        <row r="24">
          <cell r="E24" t="str">
            <v>цены (тарифы), подлежащие государственному регулированию, действовавшие на день окончания (i-2)-го расчетного периода в системе теплоснабжения</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cell r="F26" t="str">
            <v>Приказ ФАС России от 02.06.2021 №545/21</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cell r="F27" t="str">
            <v>Приказ ФАС России от 13.01.2020 №15/20</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cell r="F28" t="str">
            <v>Приказ ФАС России от 27.05.2016 №682/16</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cell r="F29" t="str">
            <v>Приказ департамента по тарифам Новосибирской области от 22.12.2020 №650-Г</v>
          </cell>
        </row>
        <row r="30">
          <cell r="F30" t="str">
            <v>Федеральной службы по тарифам</v>
          </cell>
        </row>
        <row r="32">
          <cell r="E32">
            <v>5751.37</v>
          </cell>
        </row>
      </sheetData>
      <sheetData sheetId="9"/>
      <sheetData sheetId="10"/>
      <sheetData sheetId="11"/>
      <sheetData sheetId="12"/>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-38</v>
          </cell>
          <cell r="F20" t="str">
            <v>Свод правил СП 131.13330.2020 "СНиП 23-01-99* Строительная климатология" "Температура воздуха наиболее холодной пятидневки с обеспеченностью 0,92"</v>
          </cell>
        </row>
        <row r="21">
          <cell r="F21" t="str">
            <v>Значение принято по ближайшему населенному пункту</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0.114</v>
          </cell>
          <cell r="H11">
            <v>2.4E-2</v>
          </cell>
          <cell r="I11">
            <v>8.5999999999999993E-2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0">
        <row r="11">
          <cell r="G11" t="str">
            <v>Информация с официального сайта Банка России</v>
          </cell>
        </row>
      </sheetData>
      <sheetData sheetId="2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row r="12">
          <cell r="F12" t="str">
            <v xml:space="preserve">Налоговый кодекс Российской Федерации </v>
          </cell>
        </row>
        <row r="13">
          <cell r="F13" t="str">
            <v xml:space="preserve">Налоговый кодекс Российской Федерации </v>
          </cell>
        </row>
      </sheetData>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sheetData sheetId="26">
        <row r="8">
          <cell r="F8" t="str">
            <v>нет</v>
          </cell>
        </row>
        <row r="15">
          <cell r="D15" t="str">
            <v>АО "Новосибирскэнергосбыт"</v>
          </cell>
          <cell r="E15" t="str">
            <v>https://www.nskes.ru/dlya-biznesa/tarify-i-oplata/nereguliruemye-tseny/</v>
          </cell>
        </row>
      </sheetData>
      <sheetData sheetId="27">
        <row r="11">
          <cell r="E11">
            <v>1871</v>
          </cell>
        </row>
        <row r="12">
          <cell r="E12">
            <v>61</v>
          </cell>
        </row>
        <row r="13">
          <cell r="E13">
            <v>73</v>
          </cell>
        </row>
        <row r="17">
          <cell r="E17">
            <v>18.059999999999999</v>
          </cell>
        </row>
        <row r="19">
          <cell r="E19">
            <v>71.67</v>
          </cell>
        </row>
      </sheetData>
      <sheetData sheetId="28"/>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Лебедевка, Искитимский муниципальный район</v>
          </cell>
        </row>
        <row r="15">
          <cell r="D15" t="str">
            <v/>
          </cell>
        </row>
        <row r="16">
          <cell r="D16" t="str">
            <v>Код ОКТМО</v>
          </cell>
          <cell r="E16" t="str">
            <v xml:space="preserve"> (50615422101)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Степной, Искитимский муниципальный район</v>
          </cell>
        </row>
        <row r="15">
          <cell r="D15" t="str">
            <v/>
          </cell>
        </row>
        <row r="16">
          <cell r="D16" t="str">
            <v>Код ОКТМО</v>
          </cell>
          <cell r="E16" t="str">
            <v xml:space="preserve"> (50615425101)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744.53988101969924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3345.2500000000005</v>
          </cell>
        </row>
      </sheetData>
      <sheetData sheetId="9"/>
      <sheetData sheetId="10"/>
      <sheetData sheetId="11"/>
      <sheetData sheetId="12"/>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444.6502496981459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1824.1159128452543</v>
          </cell>
        </row>
        <row r="33">
          <cell r="F33">
            <v>1102.0361645056007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73.306061186774045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Тальменка, Искитимский муниципальный район </v>
          </cell>
        </row>
        <row r="15">
          <cell r="D15" t="str">
            <v/>
          </cell>
        </row>
        <row r="16">
          <cell r="D16" t="str">
            <v>Код ОКТМО</v>
          </cell>
          <cell r="E16" t="str">
            <v>(50615428101)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Улыбино, Искитимский муниципальный район</v>
          </cell>
        </row>
        <row r="15">
          <cell r="D15" t="str">
            <v/>
          </cell>
        </row>
        <row r="16">
          <cell r="D16" t="str">
            <v>Код ОКТМО</v>
          </cell>
          <cell r="E16" t="str">
            <v xml:space="preserve"> (50615431101)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665.23209308057574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2988.9166666666665</v>
          </cell>
        </row>
      </sheetData>
      <sheetData sheetId="9"/>
      <sheetData sheetId="10"/>
      <sheetData sheetId="11"/>
      <sheetData sheetId="12"/>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439.09870454240729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1708.5430685767656</v>
          </cell>
        </row>
        <row r="33">
          <cell r="F33">
            <v>986.46332023711193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71.608874524876796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Усть-Чем, Искитимский муниципальный район</v>
          </cell>
        </row>
        <row r="15">
          <cell r="D15" t="str">
            <v/>
          </cell>
        </row>
        <row r="16">
          <cell r="D16" t="str">
            <v>Код ОКТМО</v>
          </cell>
          <cell r="E16" t="str">
            <v xml:space="preserve"> (50615434101)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665.23209308057574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2988.9166666666665</v>
          </cell>
        </row>
      </sheetData>
      <sheetData sheetId="9"/>
      <sheetData sheetId="10"/>
      <sheetData sheetId="11"/>
      <sheetData sheetId="12"/>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439.09870454240729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1708.5430685767656</v>
          </cell>
        </row>
        <row r="33">
          <cell r="F33">
            <v>986.46332023711193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71.608874524876796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Чернореченский, Искитимский муниципальный район</v>
          </cell>
        </row>
        <row r="15">
          <cell r="D15" t="str">
            <v/>
          </cell>
        </row>
        <row r="16">
          <cell r="D16" t="str">
            <v>Код ОКТМО</v>
          </cell>
          <cell r="E16" t="str">
            <v xml:space="preserve"> (50615437101)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1338.5714783459885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331.04604307653443</v>
          </cell>
        </row>
        <row r="29">
          <cell r="F29">
            <v>0.44209422600000003</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sheetData sheetId="22">
        <row r="12">
          <cell r="F12">
            <v>317.98065232680995</v>
          </cell>
        </row>
        <row r="14">
          <cell r="F14">
            <v>4207.4782939208517</v>
          </cell>
        </row>
        <row r="15">
          <cell r="F15">
            <v>0.2</v>
          </cell>
        </row>
        <row r="18">
          <cell r="F18">
            <v>15</v>
          </cell>
        </row>
        <row r="19">
          <cell r="F19">
            <v>2638.2577020926874</v>
          </cell>
        </row>
        <row r="20">
          <cell r="F20">
            <v>2.1999999999999999E-2</v>
          </cell>
        </row>
        <row r="21">
          <cell r="F21">
            <v>10</v>
          </cell>
        </row>
        <row r="22">
          <cell r="F22">
            <v>0.99313812922960332</v>
          </cell>
        </row>
        <row r="23">
          <cell r="F23">
            <v>3.0000000000000001E-3</v>
          </cell>
        </row>
        <row r="24">
          <cell r="F24">
            <v>331.04604307653443</v>
          </cell>
        </row>
      </sheetData>
      <sheetData sheetId="23"/>
      <sheetData sheetId="24">
        <row r="12">
          <cell r="F12">
            <v>230.67011420241766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475.40681839948314</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sheetData sheetId="29">
        <row r="12">
          <cell r="F12">
            <v>57.631452329387571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деревня Шибково, Искитимский муниципальный район </v>
          </cell>
        </row>
        <row r="15">
          <cell r="D15" t="str">
            <v/>
          </cell>
        </row>
        <row r="16">
          <cell r="D16" t="str">
            <v>Код ОКТМО</v>
          </cell>
          <cell r="E16" t="str">
            <v>(50615440101)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665.23209308057574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E13" t="str">
            <v>уголь (вид угля не указан в топливном балансе)</v>
          </cell>
          <cell r="I13" t="str">
            <v>данные Федеральной службы государственной статистики</v>
          </cell>
        </row>
        <row r="16">
          <cell r="E16">
            <v>5100</v>
          </cell>
        </row>
        <row r="19">
          <cell r="E19">
            <v>-0.19900000000000001</v>
          </cell>
          <cell r="F19"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0">
          <cell r="E20">
            <v>5.7000000000000002E-2</v>
          </cell>
          <cell r="F20"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3">
          <cell r="E23" t="str">
            <v>данные Федеральной службы государственной статистики</v>
          </cell>
        </row>
        <row r="27">
          <cell r="E27">
            <v>2988.9166666666665</v>
          </cell>
        </row>
      </sheetData>
      <sheetData sheetId="9"/>
      <sheetData sheetId="10"/>
      <sheetData sheetId="11"/>
      <sheetData sheetId="12"/>
      <sheetData sheetId="13">
        <row r="12">
          <cell r="F12">
            <v>2000.3680279558928</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2780.7867618428891</v>
          </cell>
        </row>
        <row r="27">
          <cell r="F27">
            <v>0.44209422600000003</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19">
          <cell r="E19">
            <v>-38</v>
          </cell>
          <cell r="F19" t="str">
            <v>Схема теплоснабжения (расчетная температура наружного воздуха)</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1">
        <row r="11">
          <cell r="G11" t="str">
            <v>Информация с официального сайта Банка России</v>
          </cell>
        </row>
      </sheetData>
      <sheetData sheetId="22"/>
      <sheetData sheetId="23">
        <row r="12">
          <cell r="F12">
            <v>475.74490066496389</v>
          </cell>
        </row>
        <row r="14">
          <cell r="F14">
            <v>6117.6201782637581</v>
          </cell>
        </row>
        <row r="15">
          <cell r="F15">
            <v>0.2</v>
          </cell>
        </row>
        <row r="18">
          <cell r="F18">
            <v>15</v>
          </cell>
        </row>
        <row r="19">
          <cell r="F19">
            <v>3778.1614077800232</v>
          </cell>
        </row>
        <row r="20">
          <cell r="F20">
            <v>2.1999999999999999E-2</v>
          </cell>
        </row>
        <row r="21">
          <cell r="F21">
            <v>10</v>
          </cell>
        </row>
        <row r="22">
          <cell r="F22">
            <v>8.3423602855286667</v>
          </cell>
        </row>
        <row r="23">
          <cell r="F23">
            <v>3.0000000000000001E-3</v>
          </cell>
        </row>
        <row r="24">
          <cell r="F24">
            <v>2780.7867618428891</v>
          </cell>
        </row>
      </sheetData>
      <sheetData sheetId="24"/>
      <sheetData sheetId="25">
        <row r="12">
          <cell r="F12">
            <v>439.09870454240729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1708.5430685767656</v>
          </cell>
        </row>
        <row r="33">
          <cell r="F33">
            <v>986.46332023711193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71.608874524876796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13.vml"/><Relationship Id="rId1" Type="http://schemas.openxmlformats.org/officeDocument/2006/relationships/drawing" Target="../drawings/drawing13.xml"/><Relationship Id="rId4"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15.vml"/><Relationship Id="rId1" Type="http://schemas.openxmlformats.org/officeDocument/2006/relationships/drawing" Target="../drawings/drawing15.xml"/><Relationship Id="rId4" Type="http://schemas.openxmlformats.org/officeDocument/2006/relationships/ctrlProp" Target="../ctrlProps/ctrlProp30.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6.vml"/><Relationship Id="rId1" Type="http://schemas.openxmlformats.org/officeDocument/2006/relationships/drawing" Target="../drawings/drawing16.xml"/><Relationship Id="rId4" Type="http://schemas.openxmlformats.org/officeDocument/2006/relationships/ctrlProp" Target="../ctrlProps/ctrlProp32.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17.vml"/><Relationship Id="rId1" Type="http://schemas.openxmlformats.org/officeDocument/2006/relationships/drawing" Target="../drawings/drawing17.xml"/><Relationship Id="rId4" Type="http://schemas.openxmlformats.org/officeDocument/2006/relationships/ctrlProp" Target="../ctrlProps/ctrlProp34.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35.xml"/><Relationship Id="rId2" Type="http://schemas.openxmlformats.org/officeDocument/2006/relationships/vmlDrawing" Target="../drawings/vmlDrawing18.vml"/><Relationship Id="rId1" Type="http://schemas.openxmlformats.org/officeDocument/2006/relationships/drawing" Target="../drawings/drawing18.xml"/><Relationship Id="rId4" Type="http://schemas.openxmlformats.org/officeDocument/2006/relationships/ctrlProp" Target="../ctrlProps/ctrlProp36.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37.xml"/><Relationship Id="rId2" Type="http://schemas.openxmlformats.org/officeDocument/2006/relationships/vmlDrawing" Target="../drawings/vmlDrawing19.vml"/><Relationship Id="rId1" Type="http://schemas.openxmlformats.org/officeDocument/2006/relationships/drawing" Target="../drawings/drawing19.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4" sqref="E4"/>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[1]И1!D13</f>
        <v>Субъект Российской Федерации</v>
      </c>
      <c r="C4" s="10" t="str">
        <f>[1]И1!E13</f>
        <v>Новосибирская область</v>
      </c>
    </row>
    <row r="5" spans="1:3" ht="46.9" customHeight="1" x14ac:dyDescent="0.2">
      <c r="A5" s="8"/>
      <c r="B5" s="9" t="str">
        <f>[1]И1!D14</f>
        <v>Тип муниципального образования (выберите из списка)</v>
      </c>
      <c r="C5" s="10" t="str">
        <f>[1]И1!E14</f>
        <v xml:space="preserve">деревня Бурмистрово, Искитимский муниципальный район </v>
      </c>
    </row>
    <row r="6" spans="1:3" x14ac:dyDescent="0.2">
      <c r="A6" s="8"/>
      <c r="B6" s="9" t="str">
        <f>IF([1]И1!E15="","",[1]И1!D15)</f>
        <v/>
      </c>
      <c r="C6" s="10" t="str">
        <f>IF([1]И1!E15="","",[1]И1!E15)</f>
        <v/>
      </c>
    </row>
    <row r="7" spans="1:3" x14ac:dyDescent="0.2">
      <c r="A7" s="8"/>
      <c r="B7" s="9" t="str">
        <f>[1]И1!D16</f>
        <v>Код ОКТМО</v>
      </c>
      <c r="C7" s="11" t="str">
        <f>[1]И1!E16</f>
        <v>(50615401101)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2024</v>
      </c>
    </row>
    <row r="10" spans="1:3" x14ac:dyDescent="0.2">
      <c r="A10" s="8"/>
      <c r="B10" s="9" t="str">
        <f>[1]И1!D9</f>
        <v>Период регулирования (i-1)-й</v>
      </c>
      <c r="C10" s="14">
        <f>[1]И1!E9</f>
        <v>2023</v>
      </c>
    </row>
    <row r="11" spans="1:3" x14ac:dyDescent="0.2">
      <c r="A11" s="8"/>
      <c r="B11" s="9" t="str">
        <f>[1]И1!D10</f>
        <v>Период регулирования (i-2)-й</v>
      </c>
      <c r="C11" s="14">
        <f>[1]И1!E10</f>
        <v>2022</v>
      </c>
    </row>
    <row r="12" spans="1:3" x14ac:dyDescent="0.2">
      <c r="A12" s="8"/>
      <c r="B12" s="9" t="str">
        <f>[1]И1!D11</f>
        <v>Базовый год (б)</v>
      </c>
      <c r="C12" s="14">
        <f>[1]И1!E11</f>
        <v>2019</v>
      </c>
    </row>
    <row r="13" spans="1:3" ht="38.25" x14ac:dyDescent="0.2">
      <c r="A13" s="8"/>
      <c r="B13" s="9" t="str">
        <f>[1]И1!D18</f>
        <v>Вид топлива, использование которого преобладает в системе теплоснабжения</v>
      </c>
      <c r="C13" s="15" t="str">
        <f>[1]С1.1!E13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3755.1269222377105</v>
      </c>
    </row>
    <row r="18" spans="1:3" ht="42.75" x14ac:dyDescent="0.2">
      <c r="A18" s="22" t="s">
        <v>8</v>
      </c>
      <c r="B18" s="25" t="s">
        <v>9</v>
      </c>
      <c r="C18" s="26">
        <f>[1]С1!F12</f>
        <v>759.67438872744583</v>
      </c>
    </row>
    <row r="19" spans="1:3" ht="42.75" x14ac:dyDescent="0.2">
      <c r="A19" s="22" t="s">
        <v>10</v>
      </c>
      <c r="B19" s="25" t="s">
        <v>11</v>
      </c>
      <c r="C19" s="26">
        <f>[1]С2!F12</f>
        <v>2000.3680279558928</v>
      </c>
    </row>
    <row r="20" spans="1:3" ht="30" x14ac:dyDescent="0.2">
      <c r="A20" s="22" t="s">
        <v>12</v>
      </c>
      <c r="B20" s="25" t="s">
        <v>13</v>
      </c>
      <c r="C20" s="26">
        <f>[1]С3!F12</f>
        <v>475.74490066496389</v>
      </c>
    </row>
    <row r="21" spans="1:3" ht="42.75" x14ac:dyDescent="0.2">
      <c r="A21" s="22" t="s">
        <v>14</v>
      </c>
      <c r="B21" s="25" t="s">
        <v>15</v>
      </c>
      <c r="C21" s="26">
        <f>[1]С4!F12</f>
        <v>445.70966523768817</v>
      </c>
    </row>
    <row r="22" spans="1:3" ht="30" x14ac:dyDescent="0.2">
      <c r="A22" s="22" t="s">
        <v>16</v>
      </c>
      <c r="B22" s="25" t="s">
        <v>17</v>
      </c>
      <c r="C22" s="26">
        <f>[1]С5!F12</f>
        <v>73.629939651719823</v>
      </c>
    </row>
    <row r="23" spans="1:3" ht="43.5" thickBot="1" x14ac:dyDescent="0.25">
      <c r="A23" s="27" t="s">
        <v>18</v>
      </c>
      <c r="B23" s="140" t="s">
        <v>19</v>
      </c>
      <c r="C23" s="28" t="str">
        <f>[1]С6!F12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[1]С1.1!E16</f>
        <v>5100</v>
      </c>
    </row>
    <row r="29" spans="1:3" ht="42.75" x14ac:dyDescent="0.2">
      <c r="A29" s="22" t="s">
        <v>10</v>
      </c>
      <c r="B29" s="33" t="s">
        <v>22</v>
      </c>
      <c r="C29" s="34">
        <f>[1]С1.1!E27</f>
        <v>3413.25</v>
      </c>
    </row>
    <row r="30" spans="1:3" ht="17.25" x14ac:dyDescent="0.2">
      <c r="A30" s="22" t="s">
        <v>12</v>
      </c>
      <c r="B30" s="33" t="s">
        <v>23</v>
      </c>
      <c r="C30" s="35">
        <f>[1]С1.1!E19</f>
        <v>-0.19900000000000001</v>
      </c>
    </row>
    <row r="31" spans="1:3" ht="17.25" x14ac:dyDescent="0.2">
      <c r="A31" s="22" t="s">
        <v>14</v>
      </c>
      <c r="B31" s="33" t="s">
        <v>24</v>
      </c>
      <c r="C31" s="35">
        <f>[1]С1.1!E20</f>
        <v>5.7000000000000002E-2</v>
      </c>
    </row>
    <row r="32" spans="1:3" ht="30" x14ac:dyDescent="0.2">
      <c r="A32" s="22" t="s">
        <v>16</v>
      </c>
      <c r="B32" s="36" t="s">
        <v>25</v>
      </c>
      <c r="C32" s="37">
        <f>[1]С1!F13</f>
        <v>176.4</v>
      </c>
    </row>
    <row r="33" spans="1:3" x14ac:dyDescent="0.2">
      <c r="A33" s="22" t="s">
        <v>18</v>
      </c>
      <c r="B33" s="36" t="s">
        <v>26</v>
      </c>
      <c r="C33" s="38">
        <f>[1]С1!F16</f>
        <v>7000</v>
      </c>
    </row>
    <row r="34" spans="1:3" ht="14.25" x14ac:dyDescent="0.2">
      <c r="A34" s="22" t="s">
        <v>27</v>
      </c>
      <c r="B34" s="39" t="s">
        <v>28</v>
      </c>
      <c r="C34" s="40">
        <f>[1]С1!F17</f>
        <v>0.72857142857142854</v>
      </c>
    </row>
    <row r="35" spans="1:3" ht="15.75" x14ac:dyDescent="0.2">
      <c r="A35" s="41" t="s">
        <v>29</v>
      </c>
      <c r="B35" s="42" t="s">
        <v>30</v>
      </c>
      <c r="C35" s="40">
        <f>[1]С1!F20</f>
        <v>21.588411179999994</v>
      </c>
    </row>
    <row r="36" spans="1:3" ht="15.75" x14ac:dyDescent="0.2">
      <c r="A36" s="41" t="s">
        <v>31</v>
      </c>
      <c r="B36" s="43" t="s">
        <v>32</v>
      </c>
      <c r="C36" s="40">
        <f>[1]С1!F21</f>
        <v>20.818139999999996</v>
      </c>
    </row>
    <row r="37" spans="1:3" ht="14.25" x14ac:dyDescent="0.2">
      <c r="A37" s="41" t="s">
        <v>33</v>
      </c>
      <c r="B37" s="44" t="s">
        <v>34</v>
      </c>
      <c r="C37" s="40">
        <f>[1]С1!F22</f>
        <v>1.0369999999999999</v>
      </c>
    </row>
    <row r="38" spans="1:3" ht="53.25" thickBot="1" x14ac:dyDescent="0.25">
      <c r="A38" s="27" t="s">
        <v>35</v>
      </c>
      <c r="B38" s="45" t="s">
        <v>36</v>
      </c>
      <c r="C38" s="46">
        <f>[1]С1!F23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[1]С2.1!E12</f>
        <v>V</v>
      </c>
    </row>
    <row r="42" spans="1:3" ht="25.5" x14ac:dyDescent="0.2">
      <c r="A42" s="22" t="s">
        <v>41</v>
      </c>
      <c r="B42" s="33" t="s">
        <v>42</v>
      </c>
      <c r="C42" s="51" t="str">
        <f>[1]С2.1!E13</f>
        <v>6 и менее баллов</v>
      </c>
    </row>
    <row r="43" spans="1:3" ht="25.5" x14ac:dyDescent="0.2">
      <c r="A43" s="22" t="s">
        <v>43</v>
      </c>
      <c r="B43" s="33" t="s">
        <v>44</v>
      </c>
      <c r="C43" s="51" t="str">
        <f>[1]С2.1!E14</f>
        <v>от 200 до 500</v>
      </c>
    </row>
    <row r="44" spans="1:3" ht="25.5" x14ac:dyDescent="0.2">
      <c r="A44" s="22" t="s">
        <v>45</v>
      </c>
      <c r="B44" s="33" t="s">
        <v>46</v>
      </c>
      <c r="C44" s="52" t="str">
        <f>[1]С2.1!E15</f>
        <v>нет</v>
      </c>
    </row>
    <row r="45" spans="1:3" ht="30" x14ac:dyDescent="0.2">
      <c r="A45" s="22" t="s">
        <v>47</v>
      </c>
      <c r="B45" s="33" t="s">
        <v>48</v>
      </c>
      <c r="C45" s="34">
        <f>[1]С2!F18</f>
        <v>35106.652004551666</v>
      </c>
    </row>
    <row r="46" spans="1:3" ht="30" x14ac:dyDescent="0.2">
      <c r="A46" s="22" t="s">
        <v>49</v>
      </c>
      <c r="B46" s="53" t="s">
        <v>50</v>
      </c>
      <c r="C46" s="34">
        <f>IF([1]С2!F19&gt;0,[1]С2!F19,[1]С2!F20)</f>
        <v>23441.524932855718</v>
      </c>
    </row>
    <row r="47" spans="1:3" ht="25.5" x14ac:dyDescent="0.2">
      <c r="A47" s="22" t="s">
        <v>51</v>
      </c>
      <c r="B47" s="54" t="s">
        <v>52</v>
      </c>
      <c r="C47" s="34">
        <f>[1]С2.1!E19</f>
        <v>-38</v>
      </c>
    </row>
    <row r="48" spans="1:3" ht="25.5" x14ac:dyDescent="0.2">
      <c r="A48" s="22" t="s">
        <v>53</v>
      </c>
      <c r="B48" s="54" t="s">
        <v>54</v>
      </c>
      <c r="C48" s="34" t="str">
        <f>[1]С2.1!E22</f>
        <v>нет</v>
      </c>
    </row>
    <row r="49" spans="1:3" ht="38.25" x14ac:dyDescent="0.2">
      <c r="A49" s="22" t="s">
        <v>55</v>
      </c>
      <c r="B49" s="55" t="s">
        <v>56</v>
      </c>
      <c r="C49" s="34">
        <f>[1]С2.2!E10</f>
        <v>1287</v>
      </c>
    </row>
    <row r="50" spans="1:3" ht="25.5" x14ac:dyDescent="0.2">
      <c r="A50" s="22" t="s">
        <v>57</v>
      </c>
      <c r="B50" s="56" t="s">
        <v>58</v>
      </c>
      <c r="C50" s="34">
        <f>[1]С2.2!E12</f>
        <v>5.97</v>
      </c>
    </row>
    <row r="51" spans="1:3" ht="52.5" x14ac:dyDescent="0.2">
      <c r="A51" s="22" t="s">
        <v>59</v>
      </c>
      <c r="B51" s="57" t="s">
        <v>60</v>
      </c>
      <c r="C51" s="34">
        <f>[1]С2.2!E13</f>
        <v>1</v>
      </c>
    </row>
    <row r="52" spans="1:3" ht="27.75" x14ac:dyDescent="0.2">
      <c r="A52" s="22" t="s">
        <v>61</v>
      </c>
      <c r="B52" s="56" t="s">
        <v>62</v>
      </c>
      <c r="C52" s="34">
        <f>[1]С2.2!E14</f>
        <v>12104</v>
      </c>
    </row>
    <row r="53" spans="1:3" ht="25.5" x14ac:dyDescent="0.2">
      <c r="A53" s="22" t="s">
        <v>63</v>
      </c>
      <c r="B53" s="57" t="s">
        <v>64</v>
      </c>
      <c r="C53" s="35">
        <f>[1]С2.2!E15</f>
        <v>4.8000000000000001E-2</v>
      </c>
    </row>
    <row r="54" spans="1:3" x14ac:dyDescent="0.2">
      <c r="A54" s="22" t="s">
        <v>65</v>
      </c>
      <c r="B54" s="57" t="s">
        <v>66</v>
      </c>
      <c r="C54" s="34">
        <f>[1]С2.2!E16</f>
        <v>1</v>
      </c>
    </row>
    <row r="55" spans="1:3" ht="15.75" x14ac:dyDescent="0.2">
      <c r="A55" s="22" t="s">
        <v>67</v>
      </c>
      <c r="B55" s="58" t="s">
        <v>68</v>
      </c>
      <c r="C55" s="34">
        <f>[1]С2!F21</f>
        <v>1</v>
      </c>
    </row>
    <row r="56" spans="1:3" ht="30" x14ac:dyDescent="0.2">
      <c r="A56" s="59" t="s">
        <v>69</v>
      </c>
      <c r="B56" s="33" t="s">
        <v>70</v>
      </c>
      <c r="C56" s="34">
        <f>[1]С2!F13</f>
        <v>183796.83936385796</v>
      </c>
    </row>
    <row r="57" spans="1:3" ht="30" x14ac:dyDescent="0.2">
      <c r="A57" s="59" t="s">
        <v>71</v>
      </c>
      <c r="B57" s="58" t="s">
        <v>72</v>
      </c>
      <c r="C57" s="34">
        <f>[1]С2!F14</f>
        <v>113455</v>
      </c>
    </row>
    <row r="58" spans="1:3" ht="15.75" x14ac:dyDescent="0.2">
      <c r="A58" s="59" t="s">
        <v>73</v>
      </c>
      <c r="B58" s="60" t="s">
        <v>74</v>
      </c>
      <c r="C58" s="40">
        <f>[1]С2!F15</f>
        <v>1.071</v>
      </c>
    </row>
    <row r="59" spans="1:3" ht="15.75" x14ac:dyDescent="0.2">
      <c r="A59" s="59" t="s">
        <v>75</v>
      </c>
      <c r="B59" s="60" t="s">
        <v>76</v>
      </c>
      <c r="C59" s="40">
        <f>[1]С2!F16</f>
        <v>1</v>
      </c>
    </row>
    <row r="60" spans="1:3" ht="17.25" x14ac:dyDescent="0.2">
      <c r="A60" s="59" t="s">
        <v>77</v>
      </c>
      <c r="B60" s="58" t="s">
        <v>78</v>
      </c>
      <c r="C60" s="34">
        <f>[1]С2!F17</f>
        <v>1.01</v>
      </c>
    </row>
    <row r="61" spans="1:3" s="63" customFormat="1" ht="14.25" x14ac:dyDescent="0.2">
      <c r="A61" s="59" t="s">
        <v>79</v>
      </c>
      <c r="B61" s="61" t="s">
        <v>80</v>
      </c>
      <c r="C61" s="62">
        <f>[1]С2!F33</f>
        <v>10</v>
      </c>
    </row>
    <row r="62" spans="1:3" ht="30" x14ac:dyDescent="0.2">
      <c r="A62" s="59" t="s">
        <v>81</v>
      </c>
      <c r="B62" s="64" t="s">
        <v>82</v>
      </c>
      <c r="C62" s="34">
        <f>[1]С2!F26</f>
        <v>2780.7867618428891</v>
      </c>
    </row>
    <row r="63" spans="1:3" ht="17.25" x14ac:dyDescent="0.2">
      <c r="A63" s="59" t="s">
        <v>83</v>
      </c>
      <c r="B63" s="53" t="s">
        <v>84</v>
      </c>
      <c r="C63" s="34">
        <f>[1]С2!F27</f>
        <v>0.44209422600000003</v>
      </c>
    </row>
    <row r="64" spans="1:3" ht="17.25" x14ac:dyDescent="0.2">
      <c r="A64" s="59" t="s">
        <v>85</v>
      </c>
      <c r="B64" s="58" t="s">
        <v>86</v>
      </c>
      <c r="C64" s="62">
        <f>[1]С2!F28</f>
        <v>4200</v>
      </c>
    </row>
    <row r="65" spans="1:3" ht="42.75" x14ac:dyDescent="0.2">
      <c r="A65" s="59" t="s">
        <v>87</v>
      </c>
      <c r="B65" s="33" t="s">
        <v>88</v>
      </c>
      <c r="C65" s="34">
        <f>[1]С2!F22</f>
        <v>38698.422798410109</v>
      </c>
    </row>
    <row r="66" spans="1:3" ht="30" x14ac:dyDescent="0.2">
      <c r="A66" s="59" t="s">
        <v>89</v>
      </c>
      <c r="B66" s="60" t="s">
        <v>90</v>
      </c>
      <c r="C66" s="34">
        <f>[1]С2!F23</f>
        <v>1990</v>
      </c>
    </row>
    <row r="67" spans="1:3" ht="30" x14ac:dyDescent="0.2">
      <c r="A67" s="59" t="s">
        <v>91</v>
      </c>
      <c r="B67" s="53" t="s">
        <v>92</v>
      </c>
      <c r="C67" s="34">
        <f>[1]С2.1!E27</f>
        <v>14307.876789999998</v>
      </c>
    </row>
    <row r="68" spans="1:3" ht="38.25" x14ac:dyDescent="0.2">
      <c r="A68" s="59" t="s">
        <v>93</v>
      </c>
      <c r="B68" s="65" t="s">
        <v>94</v>
      </c>
      <c r="C68" s="52">
        <f>[1]С2.3!E21</f>
        <v>0</v>
      </c>
    </row>
    <row r="69" spans="1:3" ht="25.5" x14ac:dyDescent="0.2">
      <c r="A69" s="59" t="s">
        <v>95</v>
      </c>
      <c r="B69" s="66" t="s">
        <v>96</v>
      </c>
      <c r="C69" s="67">
        <f>[1]С2.3!E11</f>
        <v>9.89</v>
      </c>
    </row>
    <row r="70" spans="1:3" ht="25.5" x14ac:dyDescent="0.2">
      <c r="A70" s="59" t="s">
        <v>97</v>
      </c>
      <c r="B70" s="66" t="s">
        <v>98</v>
      </c>
      <c r="C70" s="62">
        <f>[1]С2.3!E13</f>
        <v>300</v>
      </c>
    </row>
    <row r="71" spans="1:3" ht="25.5" x14ac:dyDescent="0.2">
      <c r="A71" s="59" t="s">
        <v>99</v>
      </c>
      <c r="B71" s="65" t="s">
        <v>100</v>
      </c>
      <c r="C71" s="68">
        <f>IF([1]С2.3!E22&gt;0,[1]С2.3!E22,[1]С2.3!E14)</f>
        <v>61211</v>
      </c>
    </row>
    <row r="72" spans="1:3" ht="38.25" x14ac:dyDescent="0.2">
      <c r="A72" s="59" t="s">
        <v>101</v>
      </c>
      <c r="B72" s="65" t="s">
        <v>102</v>
      </c>
      <c r="C72" s="68">
        <f>IF([1]С2.3!E23&gt;0,[1]С2.3!E23,[1]С2.3!E15)</f>
        <v>45675</v>
      </c>
    </row>
    <row r="73" spans="1:3" ht="30" x14ac:dyDescent="0.2">
      <c r="A73" s="59" t="s">
        <v>103</v>
      </c>
      <c r="B73" s="53" t="s">
        <v>104</v>
      </c>
      <c r="C73" s="34">
        <f>[1]С2.1!E28</f>
        <v>9541.9567200000001</v>
      </c>
    </row>
    <row r="74" spans="1:3" ht="38.25" x14ac:dyDescent="0.2">
      <c r="A74" s="59" t="s">
        <v>105</v>
      </c>
      <c r="B74" s="65" t="s">
        <v>106</v>
      </c>
      <c r="C74" s="52">
        <f>[1]С2.3!E25</f>
        <v>0</v>
      </c>
    </row>
    <row r="75" spans="1:3" ht="25.5" x14ac:dyDescent="0.2">
      <c r="A75" s="59" t="s">
        <v>107</v>
      </c>
      <c r="B75" s="66" t="s">
        <v>108</v>
      </c>
      <c r="C75" s="67">
        <f>[1]С2.3!E12</f>
        <v>0.56000000000000005</v>
      </c>
    </row>
    <row r="76" spans="1:3" ht="25.5" x14ac:dyDescent="0.2">
      <c r="A76" s="59" t="s">
        <v>109</v>
      </c>
      <c r="B76" s="66" t="s">
        <v>98</v>
      </c>
      <c r="C76" s="62">
        <f>[1]С2.3!E13</f>
        <v>300</v>
      </c>
    </row>
    <row r="77" spans="1:3" ht="25.5" x14ac:dyDescent="0.2">
      <c r="A77" s="59" t="s">
        <v>110</v>
      </c>
      <c r="B77" s="69" t="s">
        <v>111</v>
      </c>
      <c r="C77" s="68">
        <f>IF([1]С2.3!E26&gt;0,[1]С2.3!E26,[1]С2.3!E16)</f>
        <v>65637</v>
      </c>
    </row>
    <row r="78" spans="1:3" ht="38.25" x14ac:dyDescent="0.2">
      <c r="A78" s="59" t="s">
        <v>112</v>
      </c>
      <c r="B78" s="69" t="s">
        <v>113</v>
      </c>
      <c r="C78" s="68">
        <f>IF([1]С2.3!E27&gt;0,[1]С2.3!E27,[1]С2.3!E17)</f>
        <v>31684</v>
      </c>
    </row>
    <row r="79" spans="1:3" ht="17.25" x14ac:dyDescent="0.2">
      <c r="A79" s="59" t="s">
        <v>114</v>
      </c>
      <c r="B79" s="33" t="s">
        <v>115</v>
      </c>
      <c r="C79" s="35">
        <f>[1]С2!F29</f>
        <v>9.5962865259740182E-2</v>
      </c>
    </row>
    <row r="80" spans="1:3" ht="30" x14ac:dyDescent="0.2">
      <c r="A80" s="59" t="s">
        <v>116</v>
      </c>
      <c r="B80" s="53" t="s">
        <v>117</v>
      </c>
      <c r="C80" s="70">
        <f>[1]С2!F30</f>
        <v>8.4029304029304031E-2</v>
      </c>
    </row>
    <row r="81" spans="1:3" ht="17.25" x14ac:dyDescent="0.2">
      <c r="A81" s="59" t="s">
        <v>118</v>
      </c>
      <c r="B81" s="71" t="s">
        <v>119</v>
      </c>
      <c r="C81" s="35">
        <f>[1]С2!F31</f>
        <v>0.13880000000000001</v>
      </c>
    </row>
    <row r="82" spans="1:3" s="63" customFormat="1" ht="18" thickBot="1" x14ac:dyDescent="0.25">
      <c r="A82" s="72" t="s">
        <v>120</v>
      </c>
      <c r="B82" s="73" t="s">
        <v>121</v>
      </c>
      <c r="C82" s="74">
        <f>[1]С2!F32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[1]С3!F14</f>
        <v>6117.6201782637581</v>
      </c>
    </row>
    <row r="86" spans="1:3" s="63" customFormat="1" ht="42.75" x14ac:dyDescent="0.2">
      <c r="A86" s="77" t="s">
        <v>126</v>
      </c>
      <c r="B86" s="53" t="s">
        <v>127</v>
      </c>
      <c r="C86" s="78">
        <f>[1]С3!F15</f>
        <v>0.2</v>
      </c>
    </row>
    <row r="87" spans="1:3" s="63" customFormat="1" ht="14.25" x14ac:dyDescent="0.2">
      <c r="A87" s="77" t="s">
        <v>128</v>
      </c>
      <c r="B87" s="79" t="s">
        <v>129</v>
      </c>
      <c r="C87" s="62">
        <f>[1]С3!F18</f>
        <v>15</v>
      </c>
    </row>
    <row r="88" spans="1:3" s="63" customFormat="1" ht="17.25" x14ac:dyDescent="0.2">
      <c r="A88" s="77" t="s">
        <v>130</v>
      </c>
      <c r="B88" s="33" t="s">
        <v>131</v>
      </c>
      <c r="C88" s="34">
        <f>[1]С3!F19</f>
        <v>3778.1614077800232</v>
      </c>
    </row>
    <row r="89" spans="1:3" s="63" customFormat="1" ht="55.5" x14ac:dyDescent="0.2">
      <c r="A89" s="77" t="s">
        <v>132</v>
      </c>
      <c r="B89" s="53" t="s">
        <v>133</v>
      </c>
      <c r="C89" s="80">
        <f>[1]С3!F20</f>
        <v>2.1999999999999999E-2</v>
      </c>
    </row>
    <row r="90" spans="1:3" s="63" customFormat="1" ht="14.25" x14ac:dyDescent="0.2">
      <c r="A90" s="77" t="s">
        <v>134</v>
      </c>
      <c r="B90" s="58" t="s">
        <v>80</v>
      </c>
      <c r="C90" s="62">
        <f>[1]С3!F21</f>
        <v>10</v>
      </c>
    </row>
    <row r="91" spans="1:3" s="63" customFormat="1" ht="17.25" x14ac:dyDescent="0.2">
      <c r="A91" s="77" t="s">
        <v>135</v>
      </c>
      <c r="B91" s="33" t="s">
        <v>136</v>
      </c>
      <c r="C91" s="34">
        <f>[1]С3!F22</f>
        <v>8.3423602855286667</v>
      </c>
    </row>
    <row r="92" spans="1:3" s="63" customFormat="1" ht="55.5" x14ac:dyDescent="0.2">
      <c r="A92" s="77" t="s">
        <v>137</v>
      </c>
      <c r="B92" s="53" t="s">
        <v>138</v>
      </c>
      <c r="C92" s="80">
        <f>[1]С3!F23</f>
        <v>3.0000000000000001E-3</v>
      </c>
    </row>
    <row r="93" spans="1:3" s="63" customFormat="1" ht="27.75" thickBot="1" x14ac:dyDescent="0.25">
      <c r="A93" s="81" t="s">
        <v>139</v>
      </c>
      <c r="B93" s="82" t="s">
        <v>140</v>
      </c>
      <c r="C93" s="83">
        <f>[1]С3!F24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[1]С4!F16</f>
        <v>1652.5</v>
      </c>
    </row>
    <row r="97" spans="1:3" ht="30" x14ac:dyDescent="0.2">
      <c r="A97" s="59" t="s">
        <v>145</v>
      </c>
      <c r="B97" s="58" t="s">
        <v>146</v>
      </c>
      <c r="C97" s="34">
        <f>[1]С4!F17</f>
        <v>73547</v>
      </c>
    </row>
    <row r="98" spans="1:3" ht="17.25" x14ac:dyDescent="0.2">
      <c r="A98" s="59" t="s">
        <v>147</v>
      </c>
      <c r="B98" s="58" t="s">
        <v>148</v>
      </c>
      <c r="C98" s="40">
        <f>[1]С4!F18</f>
        <v>0.02</v>
      </c>
    </row>
    <row r="99" spans="1:3" ht="30" x14ac:dyDescent="0.2">
      <c r="A99" s="59" t="s">
        <v>149</v>
      </c>
      <c r="B99" s="58" t="s">
        <v>150</v>
      </c>
      <c r="C99" s="34">
        <f>[1]С4!F19</f>
        <v>12104</v>
      </c>
    </row>
    <row r="100" spans="1:3" ht="31.5" x14ac:dyDescent="0.2">
      <c r="A100" s="59" t="s">
        <v>151</v>
      </c>
      <c r="B100" s="58" t="s">
        <v>152</v>
      </c>
      <c r="C100" s="40">
        <f>[1]С4!F20</f>
        <v>1.4999999999999999E-2</v>
      </c>
    </row>
    <row r="101" spans="1:3" ht="30" x14ac:dyDescent="0.2">
      <c r="A101" s="59" t="s">
        <v>153</v>
      </c>
      <c r="B101" s="33" t="s">
        <v>154</v>
      </c>
      <c r="C101" s="34">
        <f>[1]С4!F21</f>
        <v>1933.1949342509995</v>
      </c>
    </row>
    <row r="102" spans="1:3" ht="24" customHeight="1" x14ac:dyDescent="0.2">
      <c r="A102" s="59" t="s">
        <v>155</v>
      </c>
      <c r="B102" s="53" t="s">
        <v>156</v>
      </c>
      <c r="C102" s="85">
        <f>IF([1]С4.2!F8="да",[1]С4.2!D21,[1]С4.2!D15)</f>
        <v>0</v>
      </c>
    </row>
    <row r="103" spans="1:3" ht="68.25" x14ac:dyDescent="0.2">
      <c r="A103" s="59" t="s">
        <v>157</v>
      </c>
      <c r="B103" s="53" t="s">
        <v>158</v>
      </c>
      <c r="C103" s="34">
        <f>[1]С4!F22</f>
        <v>3.6112641666666665</v>
      </c>
    </row>
    <row r="104" spans="1:3" ht="30" x14ac:dyDescent="0.2">
      <c r="A104" s="59" t="s">
        <v>159</v>
      </c>
      <c r="B104" s="58" t="s">
        <v>160</v>
      </c>
      <c r="C104" s="34">
        <f>[1]С4!F23</f>
        <v>180</v>
      </c>
    </row>
    <row r="105" spans="1:3" ht="14.25" x14ac:dyDescent="0.2">
      <c r="A105" s="59" t="s">
        <v>161</v>
      </c>
      <c r="B105" s="53" t="s">
        <v>162</v>
      </c>
      <c r="C105" s="34">
        <f>[1]С4!F24</f>
        <v>8497.1999999999989</v>
      </c>
    </row>
    <row r="106" spans="1:3" ht="14.25" x14ac:dyDescent="0.2">
      <c r="A106" s="59" t="s">
        <v>163</v>
      </c>
      <c r="B106" s="58" t="s">
        <v>164</v>
      </c>
      <c r="C106" s="40">
        <f>[1]С4!F25</f>
        <v>0.35</v>
      </c>
    </row>
    <row r="107" spans="1:3" ht="17.25" x14ac:dyDescent="0.2">
      <c r="A107" s="59" t="s">
        <v>165</v>
      </c>
      <c r="B107" s="33" t="s">
        <v>166</v>
      </c>
      <c r="C107" s="34">
        <f>[1]С4!F26</f>
        <v>85.988129999999998</v>
      </c>
    </row>
    <row r="108" spans="1:3" ht="25.5" x14ac:dyDescent="0.2">
      <c r="A108" s="59" t="s">
        <v>167</v>
      </c>
      <c r="B108" s="53" t="s">
        <v>94</v>
      </c>
      <c r="C108" s="85">
        <f>[1]С4.3!E16</f>
        <v>0</v>
      </c>
    </row>
    <row r="109" spans="1:3" ht="25.5" x14ac:dyDescent="0.2">
      <c r="A109" s="59" t="s">
        <v>168</v>
      </c>
      <c r="B109" s="53" t="s">
        <v>169</v>
      </c>
      <c r="C109" s="34">
        <f>[1]С4.3!E17</f>
        <v>20.350000000000001</v>
      </c>
    </row>
    <row r="110" spans="1:3" ht="38.25" x14ac:dyDescent="0.2">
      <c r="A110" s="59" t="s">
        <v>170</v>
      </c>
      <c r="B110" s="53" t="s">
        <v>106</v>
      </c>
      <c r="C110" s="85">
        <f>[1]С4.3!E18</f>
        <v>0</v>
      </c>
    </row>
    <row r="111" spans="1:3" x14ac:dyDescent="0.2">
      <c r="A111" s="59" t="s">
        <v>171</v>
      </c>
      <c r="B111" s="53" t="s">
        <v>172</v>
      </c>
      <c r="C111" s="34">
        <f>[1]С4.3!E19</f>
        <v>71.67</v>
      </c>
    </row>
    <row r="112" spans="1:3" x14ac:dyDescent="0.2">
      <c r="A112" s="59" t="s">
        <v>173</v>
      </c>
      <c r="B112" s="58" t="s">
        <v>174</v>
      </c>
      <c r="C112" s="34">
        <f>[1]С4.3!E11</f>
        <v>1871</v>
      </c>
    </row>
    <row r="113" spans="1:3" x14ac:dyDescent="0.2">
      <c r="A113" s="59" t="s">
        <v>175</v>
      </c>
      <c r="B113" s="58" t="s">
        <v>176</v>
      </c>
      <c r="C113" s="52">
        <f>[1]С4.3!E12</f>
        <v>1636</v>
      </c>
    </row>
    <row r="114" spans="1:3" x14ac:dyDescent="0.2">
      <c r="A114" s="59" t="s">
        <v>177</v>
      </c>
      <c r="B114" s="58" t="s">
        <v>178</v>
      </c>
      <c r="C114" s="52">
        <f>[1]С4.3!E13</f>
        <v>204</v>
      </c>
    </row>
    <row r="115" spans="1:3" ht="30" x14ac:dyDescent="0.2">
      <c r="A115" s="59" t="s">
        <v>179</v>
      </c>
      <c r="B115" s="33" t="s">
        <v>180</v>
      </c>
      <c r="C115" s="34">
        <f>[1]С4!F27</f>
        <v>1291.2863994686898</v>
      </c>
    </row>
    <row r="116" spans="1:3" ht="25.5" x14ac:dyDescent="0.2">
      <c r="A116" s="59" t="s">
        <v>181</v>
      </c>
      <c r="B116" s="53" t="s">
        <v>182</v>
      </c>
      <c r="C116" s="34">
        <f>[1]С4!F28</f>
        <v>991.77142816335618</v>
      </c>
    </row>
    <row r="117" spans="1:3" ht="42.75" x14ac:dyDescent="0.2">
      <c r="A117" s="59" t="s">
        <v>183</v>
      </c>
      <c r="B117" s="53" t="s">
        <v>184</v>
      </c>
      <c r="C117" s="34">
        <f>[1]С4!F29</f>
        <v>299.51497130533357</v>
      </c>
    </row>
    <row r="118" spans="1:3" ht="30" x14ac:dyDescent="0.2">
      <c r="A118" s="59" t="s">
        <v>185</v>
      </c>
      <c r="B118" s="39" t="s">
        <v>186</v>
      </c>
      <c r="C118" s="34">
        <f>[1]С4!F30</f>
        <v>1846.1709738656207</v>
      </c>
    </row>
    <row r="119" spans="1:3" ht="42.75" x14ac:dyDescent="0.2">
      <c r="A119" s="59" t="s">
        <v>187</v>
      </c>
      <c r="B119" s="86" t="s">
        <v>188</v>
      </c>
      <c r="C119" s="34">
        <f>[1]С4!F33</f>
        <v>1124.091225525967</v>
      </c>
    </row>
    <row r="120" spans="1:3" ht="30" x14ac:dyDescent="0.2">
      <c r="A120" s="59" t="s">
        <v>189</v>
      </c>
      <c r="B120" s="87" t="s">
        <v>190</v>
      </c>
      <c r="C120" s="34">
        <f>[1]С4!F35</f>
        <v>17.040680999999999</v>
      </c>
    </row>
    <row r="121" spans="1:3" ht="14.25" x14ac:dyDescent="0.2">
      <c r="A121" s="59" t="s">
        <v>191</v>
      </c>
      <c r="B121" s="56" t="s">
        <v>192</v>
      </c>
      <c r="C121" s="34">
        <f>[1]С4!F36</f>
        <v>14319.9</v>
      </c>
    </row>
    <row r="122" spans="1:3" ht="28.5" thickBot="1" x14ac:dyDescent="0.25">
      <c r="A122" s="72" t="s">
        <v>193</v>
      </c>
      <c r="B122" s="88" t="s">
        <v>194</v>
      </c>
      <c r="C122" s="83">
        <f>[1]С4!F37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[1]С5!F17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[1]С2!F37</f>
        <v>20.818139999999996</v>
      </c>
    </row>
    <row r="136" spans="1:4" ht="14.25" x14ac:dyDescent="0.2">
      <c r="A136" s="59" t="s">
        <v>216</v>
      </c>
      <c r="B136" s="101" t="s">
        <v>217</v>
      </c>
      <c r="C136" s="34">
        <f>[1]С2!F38</f>
        <v>7</v>
      </c>
    </row>
    <row r="137" spans="1:4" ht="17.25" x14ac:dyDescent="0.2">
      <c r="A137" s="59" t="s">
        <v>218</v>
      </c>
      <c r="B137" s="101" t="s">
        <v>219</v>
      </c>
      <c r="C137" s="34">
        <f>[1]С2!F40</f>
        <v>0.97</v>
      </c>
    </row>
    <row r="138" spans="1:4" ht="15" thickBot="1" x14ac:dyDescent="0.25">
      <c r="A138" s="72" t="s">
        <v>220</v>
      </c>
      <c r="B138" s="102" t="s">
        <v>221</v>
      </c>
      <c r="C138" s="46">
        <f>[1]С2!F42</f>
        <v>0.35</v>
      </c>
    </row>
    <row r="139" spans="1:4" s="89" customFormat="1" ht="13.5" thickBot="1" x14ac:dyDescent="0.25">
      <c r="A139" s="47"/>
      <c r="B139" s="75"/>
      <c r="C139" s="15"/>
    </row>
    <row r="140" spans="1:4" ht="30" x14ac:dyDescent="0.2">
      <c r="A140" s="84" t="s">
        <v>222</v>
      </c>
      <c r="B140" s="103" t="s">
        <v>223</v>
      </c>
      <c r="C140" s="104">
        <f>[1]С2!F35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[1]С2.5!$E$11</f>
        <v>-2.9000000000000026E-2</v>
      </c>
      <c r="D143" s="89"/>
    </row>
    <row r="144" spans="1:4" x14ac:dyDescent="0.2">
      <c r="A144" s="105"/>
      <c r="B144" s="110">
        <f>B143+1</f>
        <v>2021</v>
      </c>
      <c r="C144" s="111">
        <f>[1]С2.5!$F$11</f>
        <v>0.245</v>
      </c>
      <c r="D144" s="89"/>
    </row>
    <row r="145" spans="1:4" x14ac:dyDescent="0.2">
      <c r="A145" s="105"/>
      <c r="B145" s="110">
        <f t="shared" ref="B145:B208" si="0">B144+1</f>
        <v>2022</v>
      </c>
      <c r="C145" s="111">
        <f>[1]С2.5!$G$11</f>
        <v>0.114</v>
      </c>
      <c r="D145" s="89"/>
    </row>
    <row r="146" spans="1:4" ht="13.5" thickBot="1" x14ac:dyDescent="0.25">
      <c r="A146" s="105"/>
      <c r="B146" s="112">
        <f t="shared" si="0"/>
        <v>2023</v>
      </c>
      <c r="C146" s="113">
        <f>[1]С2.5!$H$11</f>
        <v>2.4E-2</v>
      </c>
      <c r="D146" s="89"/>
    </row>
    <row r="147" spans="1:4" x14ac:dyDescent="0.2">
      <c r="A147" s="105"/>
      <c r="B147" s="114">
        <f t="shared" si="0"/>
        <v>2024</v>
      </c>
      <c r="C147" s="115">
        <f>[1]С2.5!$I$11</f>
        <v>8.5999999999999993E-2</v>
      </c>
      <c r="D147" s="89"/>
    </row>
    <row r="148" spans="1:4" hidden="1" x14ac:dyDescent="0.2">
      <c r="A148" s="105"/>
      <c r="B148" s="110">
        <f t="shared" si="0"/>
        <v>2025</v>
      </c>
      <c r="C148" s="111">
        <f>[1]С2.5!$J$11</f>
        <v>0.21215960863291</v>
      </c>
      <c r="D148" s="89"/>
    </row>
    <row r="149" spans="1:4" hidden="1" x14ac:dyDescent="0.2">
      <c r="A149" s="105"/>
      <c r="B149" s="110">
        <f t="shared" si="0"/>
        <v>2026</v>
      </c>
      <c r="C149" s="111">
        <f>[1]С2.5!$K$11</f>
        <v>3.5813361771260002E-2</v>
      </c>
      <c r="D149" s="89"/>
    </row>
    <row r="150" spans="1:4" hidden="1" x14ac:dyDescent="0.2">
      <c r="A150" s="105"/>
      <c r="B150" s="110">
        <f t="shared" si="0"/>
        <v>2027</v>
      </c>
      <c r="C150" s="111">
        <f>[1]С2.5!$L$11</f>
        <v>3.2682303599220003E-2</v>
      </c>
      <c r="D150" s="89"/>
    </row>
    <row r="151" spans="1:4" hidden="1" x14ac:dyDescent="0.2">
      <c r="A151" s="105"/>
      <c r="B151" s="110">
        <f t="shared" si="0"/>
        <v>2028</v>
      </c>
      <c r="C151" s="111">
        <f>[1]С2.5!$M$11</f>
        <v>0</v>
      </c>
      <c r="D151" s="89"/>
    </row>
    <row r="152" spans="1:4" hidden="1" x14ac:dyDescent="0.2">
      <c r="A152" s="105"/>
      <c r="B152" s="110">
        <f t="shared" si="0"/>
        <v>2029</v>
      </c>
      <c r="C152" s="111">
        <f>[1]С2.5!$N$11</f>
        <v>0</v>
      </c>
      <c r="D152" s="89"/>
    </row>
    <row r="153" spans="1:4" hidden="1" x14ac:dyDescent="0.2">
      <c r="A153" s="105"/>
      <c r="B153" s="110">
        <f t="shared" si="0"/>
        <v>2030</v>
      </c>
      <c r="C153" s="111">
        <f>[1]С2.5!$O$11</f>
        <v>0</v>
      </c>
      <c r="D153" s="89"/>
    </row>
    <row r="154" spans="1:4" hidden="1" x14ac:dyDescent="0.2">
      <c r="A154" s="105"/>
      <c r="B154" s="110">
        <f t="shared" si="0"/>
        <v>2031</v>
      </c>
      <c r="C154" s="111">
        <f>[1]С2.5!$P$11</f>
        <v>0</v>
      </c>
      <c r="D154" s="89"/>
    </row>
    <row r="155" spans="1:4" hidden="1" x14ac:dyDescent="0.2">
      <c r="A155" s="89"/>
      <c r="B155" s="110">
        <f t="shared" si="0"/>
        <v>2032</v>
      </c>
      <c r="C155" s="111">
        <f>[1]С2.5!$Q$11</f>
        <v>0</v>
      </c>
      <c r="D155" s="89"/>
    </row>
    <row r="156" spans="1:4" hidden="1" x14ac:dyDescent="0.2">
      <c r="A156" s="89"/>
      <c r="B156" s="110">
        <f t="shared" si="0"/>
        <v>2033</v>
      </c>
      <c r="C156" s="111">
        <f>[1]С2.5!$R$11</f>
        <v>0</v>
      </c>
      <c r="D156" s="89"/>
    </row>
    <row r="157" spans="1:4" hidden="1" x14ac:dyDescent="0.2">
      <c r="B157" s="110">
        <f t="shared" si="0"/>
        <v>2034</v>
      </c>
      <c r="C157" s="111">
        <f>[1]С2.5!$S$11</f>
        <v>0</v>
      </c>
    </row>
    <row r="158" spans="1:4" hidden="1" x14ac:dyDescent="0.2">
      <c r="B158" s="110">
        <f t="shared" si="0"/>
        <v>2035</v>
      </c>
      <c r="C158" s="111">
        <f>[1]С2.5!$T$11</f>
        <v>0</v>
      </c>
    </row>
    <row r="159" spans="1:4" hidden="1" x14ac:dyDescent="0.2">
      <c r="B159" s="110">
        <f t="shared" si="0"/>
        <v>2036</v>
      </c>
      <c r="C159" s="111">
        <f>[1]С2.5!$U$11</f>
        <v>0</v>
      </c>
    </row>
    <row r="160" spans="1:4" hidden="1" x14ac:dyDescent="0.2">
      <c r="B160" s="110">
        <f t="shared" si="0"/>
        <v>2037</v>
      </c>
      <c r="C160" s="111">
        <f>[1]С2.5!$V$11</f>
        <v>0</v>
      </c>
    </row>
    <row r="161" spans="2:3" hidden="1" x14ac:dyDescent="0.2">
      <c r="B161" s="110">
        <f t="shared" si="0"/>
        <v>2038</v>
      </c>
      <c r="C161" s="111">
        <f>[1]С2.5!$W$11</f>
        <v>0</v>
      </c>
    </row>
    <row r="162" spans="2:3" hidden="1" x14ac:dyDescent="0.2">
      <c r="B162" s="110">
        <f t="shared" si="0"/>
        <v>2039</v>
      </c>
      <c r="C162" s="111">
        <f>[1]С2.5!$X$11</f>
        <v>0</v>
      </c>
    </row>
    <row r="163" spans="2:3" hidden="1" x14ac:dyDescent="0.2">
      <c r="B163" s="110">
        <f t="shared" si="0"/>
        <v>2040</v>
      </c>
      <c r="C163" s="111">
        <f>[1]С2.5!$Y$11</f>
        <v>0</v>
      </c>
    </row>
    <row r="164" spans="2:3" hidden="1" x14ac:dyDescent="0.2">
      <c r="B164" s="110">
        <f t="shared" si="0"/>
        <v>2041</v>
      </c>
      <c r="C164" s="111">
        <f>[1]С2.5!$Z$11</f>
        <v>0</v>
      </c>
    </row>
    <row r="165" spans="2:3" hidden="1" x14ac:dyDescent="0.2">
      <c r="B165" s="110">
        <f t="shared" si="0"/>
        <v>2042</v>
      </c>
      <c r="C165" s="111">
        <f>[1]С2.5!$AA$11</f>
        <v>0</v>
      </c>
    </row>
    <row r="166" spans="2:3" hidden="1" x14ac:dyDescent="0.2">
      <c r="B166" s="110">
        <f t="shared" si="0"/>
        <v>2043</v>
      </c>
      <c r="C166" s="111">
        <f>[1]С2.5!$AB$11</f>
        <v>0</v>
      </c>
    </row>
    <row r="167" spans="2:3" hidden="1" x14ac:dyDescent="0.2">
      <c r="B167" s="110">
        <f t="shared" si="0"/>
        <v>2044</v>
      </c>
      <c r="C167" s="111">
        <f>[1]С2.5!$AC$11</f>
        <v>0</v>
      </c>
    </row>
    <row r="168" spans="2:3" hidden="1" x14ac:dyDescent="0.2">
      <c r="B168" s="110">
        <f t="shared" si="0"/>
        <v>2045</v>
      </c>
      <c r="C168" s="111">
        <f>[1]С2.5!$AD$11</f>
        <v>0</v>
      </c>
    </row>
    <row r="169" spans="2:3" hidden="1" x14ac:dyDescent="0.2">
      <c r="B169" s="110">
        <f t="shared" si="0"/>
        <v>2046</v>
      </c>
      <c r="C169" s="111">
        <f>[1]С2.5!$AE$11</f>
        <v>0</v>
      </c>
    </row>
    <row r="170" spans="2:3" hidden="1" x14ac:dyDescent="0.2">
      <c r="B170" s="110">
        <f t="shared" si="0"/>
        <v>2047</v>
      </c>
      <c r="C170" s="111">
        <f>[1]С2.5!$AF$11</f>
        <v>0</v>
      </c>
    </row>
    <row r="171" spans="2:3" hidden="1" x14ac:dyDescent="0.2">
      <c r="B171" s="110">
        <f t="shared" si="0"/>
        <v>2048</v>
      </c>
      <c r="C171" s="111">
        <f>[1]С2.5!$AG$11</f>
        <v>0</v>
      </c>
    </row>
    <row r="172" spans="2:3" hidden="1" x14ac:dyDescent="0.2">
      <c r="B172" s="110">
        <f t="shared" si="0"/>
        <v>2049</v>
      </c>
      <c r="C172" s="111">
        <f>[1]С2.5!$AH$11</f>
        <v>0</v>
      </c>
    </row>
    <row r="173" spans="2:3" hidden="1" x14ac:dyDescent="0.2">
      <c r="B173" s="110">
        <f t="shared" si="0"/>
        <v>2050</v>
      </c>
      <c r="C173" s="111">
        <f>[1]С2.5!$AI$11</f>
        <v>0</v>
      </c>
    </row>
    <row r="174" spans="2:3" hidden="1" x14ac:dyDescent="0.2">
      <c r="B174" s="110">
        <f t="shared" si="0"/>
        <v>2051</v>
      </c>
      <c r="C174" s="111">
        <f>[1]С2.5!$AJ$11</f>
        <v>0</v>
      </c>
    </row>
    <row r="175" spans="2:3" hidden="1" x14ac:dyDescent="0.2">
      <c r="B175" s="110">
        <f t="shared" si="0"/>
        <v>2052</v>
      </c>
      <c r="C175" s="111">
        <f>[1]С2.5!$AK$11</f>
        <v>0</v>
      </c>
    </row>
    <row r="176" spans="2:3" hidden="1" x14ac:dyDescent="0.2">
      <c r="B176" s="110">
        <f t="shared" si="0"/>
        <v>2053</v>
      </c>
      <c r="C176" s="111">
        <f>[1]С2.5!$AL$11</f>
        <v>0</v>
      </c>
    </row>
    <row r="177" spans="2:3" hidden="1" x14ac:dyDescent="0.2">
      <c r="B177" s="110">
        <f t="shared" si="0"/>
        <v>2054</v>
      </c>
      <c r="C177" s="111">
        <f>[1]С2.5!$AM$11</f>
        <v>0</v>
      </c>
    </row>
    <row r="178" spans="2:3" hidden="1" x14ac:dyDescent="0.2">
      <c r="B178" s="110">
        <f t="shared" si="0"/>
        <v>2055</v>
      </c>
      <c r="C178" s="111">
        <f>[1]С2.5!$AN$11</f>
        <v>0</v>
      </c>
    </row>
    <row r="179" spans="2:3" hidden="1" x14ac:dyDescent="0.2">
      <c r="B179" s="110">
        <f t="shared" si="0"/>
        <v>2056</v>
      </c>
      <c r="C179" s="111">
        <f>[1]С2.5!$AO$11</f>
        <v>0</v>
      </c>
    </row>
    <row r="180" spans="2:3" hidden="1" x14ac:dyDescent="0.2">
      <c r="B180" s="110">
        <f t="shared" si="0"/>
        <v>2057</v>
      </c>
      <c r="C180" s="111">
        <f>[1]С2.5!$AP$11</f>
        <v>0</v>
      </c>
    </row>
    <row r="181" spans="2:3" hidden="1" x14ac:dyDescent="0.2">
      <c r="B181" s="110">
        <f t="shared" si="0"/>
        <v>2058</v>
      </c>
      <c r="C181" s="111">
        <f>[1]С2.5!$AQ$11</f>
        <v>0</v>
      </c>
    </row>
    <row r="182" spans="2:3" hidden="1" x14ac:dyDescent="0.2">
      <c r="B182" s="110">
        <f t="shared" si="0"/>
        <v>2059</v>
      </c>
      <c r="C182" s="111">
        <f>[1]С2.5!$AR$11</f>
        <v>0</v>
      </c>
    </row>
    <row r="183" spans="2:3" hidden="1" x14ac:dyDescent="0.2">
      <c r="B183" s="110">
        <f t="shared" si="0"/>
        <v>2060</v>
      </c>
      <c r="C183" s="111">
        <f>[1]С2.5!$AS$11</f>
        <v>0</v>
      </c>
    </row>
    <row r="184" spans="2:3" hidden="1" x14ac:dyDescent="0.2">
      <c r="B184" s="110">
        <f t="shared" si="0"/>
        <v>2061</v>
      </c>
      <c r="C184" s="111">
        <f>[1]С2.5!$AT$11</f>
        <v>0</v>
      </c>
    </row>
    <row r="185" spans="2:3" hidden="1" x14ac:dyDescent="0.2">
      <c r="B185" s="110">
        <f t="shared" si="0"/>
        <v>2062</v>
      </c>
      <c r="C185" s="111">
        <f>[1]С2.5!$AU$11</f>
        <v>0</v>
      </c>
    </row>
    <row r="186" spans="2:3" hidden="1" x14ac:dyDescent="0.2">
      <c r="B186" s="110">
        <f t="shared" si="0"/>
        <v>2063</v>
      </c>
      <c r="C186" s="111">
        <f>[1]С2.5!$AV$11</f>
        <v>0</v>
      </c>
    </row>
    <row r="187" spans="2:3" hidden="1" x14ac:dyDescent="0.2">
      <c r="B187" s="110">
        <f t="shared" si="0"/>
        <v>2064</v>
      </c>
      <c r="C187" s="111">
        <f>[1]С2.5!$AW$11</f>
        <v>0</v>
      </c>
    </row>
    <row r="188" spans="2:3" hidden="1" x14ac:dyDescent="0.2">
      <c r="B188" s="110">
        <f t="shared" si="0"/>
        <v>2065</v>
      </c>
      <c r="C188" s="111">
        <f>[1]С2.5!$AX$11</f>
        <v>0</v>
      </c>
    </row>
    <row r="189" spans="2:3" hidden="1" x14ac:dyDescent="0.2">
      <c r="B189" s="110">
        <f t="shared" si="0"/>
        <v>2066</v>
      </c>
      <c r="C189" s="111">
        <f>[1]С2.5!$AY$11</f>
        <v>0</v>
      </c>
    </row>
    <row r="190" spans="2:3" hidden="1" x14ac:dyDescent="0.2">
      <c r="B190" s="110">
        <f t="shared" si="0"/>
        <v>2067</v>
      </c>
      <c r="C190" s="111">
        <f>[1]С2.5!$AZ$11</f>
        <v>0</v>
      </c>
    </row>
    <row r="191" spans="2:3" hidden="1" x14ac:dyDescent="0.2">
      <c r="B191" s="110">
        <f t="shared" si="0"/>
        <v>2068</v>
      </c>
      <c r="C191" s="111">
        <f>[1]С2.5!$BA$11</f>
        <v>0</v>
      </c>
    </row>
    <row r="192" spans="2:3" hidden="1" x14ac:dyDescent="0.2">
      <c r="B192" s="110">
        <f t="shared" si="0"/>
        <v>2069</v>
      </c>
      <c r="C192" s="111">
        <f>[1]С2.5!$BB$11</f>
        <v>0</v>
      </c>
    </row>
    <row r="193" spans="2:3" hidden="1" x14ac:dyDescent="0.2">
      <c r="B193" s="110">
        <f t="shared" si="0"/>
        <v>2070</v>
      </c>
      <c r="C193" s="111">
        <f>[1]С2.5!$BC$11</f>
        <v>0</v>
      </c>
    </row>
    <row r="194" spans="2:3" hidden="1" x14ac:dyDescent="0.2">
      <c r="B194" s="110">
        <f t="shared" si="0"/>
        <v>2071</v>
      </c>
      <c r="C194" s="111">
        <f>[1]С2.5!$BD$11</f>
        <v>0</v>
      </c>
    </row>
    <row r="195" spans="2:3" hidden="1" x14ac:dyDescent="0.2">
      <c r="B195" s="110">
        <f t="shared" si="0"/>
        <v>2072</v>
      </c>
      <c r="C195" s="111">
        <f>[1]С2.5!$BE$11</f>
        <v>0</v>
      </c>
    </row>
    <row r="196" spans="2:3" hidden="1" x14ac:dyDescent="0.2">
      <c r="B196" s="110">
        <f t="shared" si="0"/>
        <v>2073</v>
      </c>
      <c r="C196" s="111">
        <f>[1]С2.5!$BF$11</f>
        <v>0</v>
      </c>
    </row>
    <row r="197" spans="2:3" hidden="1" x14ac:dyDescent="0.2">
      <c r="B197" s="110">
        <f t="shared" si="0"/>
        <v>2074</v>
      </c>
      <c r="C197" s="111">
        <f>[1]С2.5!$BG$11</f>
        <v>0</v>
      </c>
    </row>
    <row r="198" spans="2:3" hidden="1" x14ac:dyDescent="0.2">
      <c r="B198" s="110">
        <f t="shared" si="0"/>
        <v>2075</v>
      </c>
      <c r="C198" s="111">
        <f>[1]С2.5!$BH$11</f>
        <v>0</v>
      </c>
    </row>
    <row r="199" spans="2:3" hidden="1" x14ac:dyDescent="0.2">
      <c r="B199" s="110">
        <f t="shared" si="0"/>
        <v>2076</v>
      </c>
      <c r="C199" s="111">
        <f>[1]С2.5!$BI$11</f>
        <v>0</v>
      </c>
    </row>
    <row r="200" spans="2:3" hidden="1" x14ac:dyDescent="0.2">
      <c r="B200" s="110">
        <f t="shared" si="0"/>
        <v>2077</v>
      </c>
      <c r="C200" s="111">
        <f>[1]С2.5!$BJ$11</f>
        <v>0</v>
      </c>
    </row>
    <row r="201" spans="2:3" hidden="1" x14ac:dyDescent="0.2">
      <c r="B201" s="110">
        <f t="shared" si="0"/>
        <v>2078</v>
      </c>
      <c r="C201" s="111">
        <f>[1]С2.5!$BK$11</f>
        <v>0</v>
      </c>
    </row>
    <row r="202" spans="2:3" hidden="1" x14ac:dyDescent="0.2">
      <c r="B202" s="110">
        <f t="shared" si="0"/>
        <v>2079</v>
      </c>
      <c r="C202" s="111">
        <f>[1]С2.5!$BL$11</f>
        <v>0</v>
      </c>
    </row>
    <row r="203" spans="2:3" hidden="1" x14ac:dyDescent="0.2">
      <c r="B203" s="110">
        <f t="shared" si="0"/>
        <v>2080</v>
      </c>
      <c r="C203" s="111">
        <f>[1]С2.5!$BM$11</f>
        <v>0</v>
      </c>
    </row>
    <row r="204" spans="2:3" hidden="1" x14ac:dyDescent="0.2">
      <c r="B204" s="110">
        <f t="shared" si="0"/>
        <v>2081</v>
      </c>
      <c r="C204" s="111">
        <f>[1]С2.5!$BN$11</f>
        <v>0</v>
      </c>
    </row>
    <row r="205" spans="2:3" hidden="1" x14ac:dyDescent="0.2">
      <c r="B205" s="110">
        <f t="shared" si="0"/>
        <v>2082</v>
      </c>
      <c r="C205" s="111">
        <f>[1]С2.5!$BO$11</f>
        <v>0</v>
      </c>
    </row>
    <row r="206" spans="2:3" hidden="1" x14ac:dyDescent="0.2">
      <c r="B206" s="110">
        <f t="shared" si="0"/>
        <v>2083</v>
      </c>
      <c r="C206" s="111">
        <f>[1]С2.5!$BP$11</f>
        <v>0</v>
      </c>
    </row>
    <row r="207" spans="2:3" hidden="1" x14ac:dyDescent="0.2">
      <c r="B207" s="110">
        <f t="shared" si="0"/>
        <v>2084</v>
      </c>
      <c r="C207" s="111">
        <f>[1]С2.5!$BQ$11</f>
        <v>0</v>
      </c>
    </row>
    <row r="208" spans="2:3" hidden="1" x14ac:dyDescent="0.2">
      <c r="B208" s="110">
        <f t="shared" si="0"/>
        <v>2085</v>
      </c>
      <c r="C208" s="111">
        <f>[1]С2.5!$BR$11</f>
        <v>0</v>
      </c>
    </row>
    <row r="209" spans="2:3" hidden="1" x14ac:dyDescent="0.2">
      <c r="B209" s="110">
        <f t="shared" ref="B209:B223" si="1">B208+1</f>
        <v>2086</v>
      </c>
      <c r="C209" s="111">
        <f>[1]С2.5!$BS$11</f>
        <v>0</v>
      </c>
    </row>
    <row r="210" spans="2:3" hidden="1" x14ac:dyDescent="0.2">
      <c r="B210" s="110">
        <f t="shared" si="1"/>
        <v>2087</v>
      </c>
      <c r="C210" s="111">
        <f>[1]С2.5!$BT$11</f>
        <v>0</v>
      </c>
    </row>
    <row r="211" spans="2:3" hidden="1" x14ac:dyDescent="0.2">
      <c r="B211" s="110">
        <f t="shared" si="1"/>
        <v>2088</v>
      </c>
      <c r="C211" s="111">
        <f>[1]С2.5!$BU$11</f>
        <v>0</v>
      </c>
    </row>
    <row r="212" spans="2:3" hidden="1" x14ac:dyDescent="0.2">
      <c r="B212" s="110">
        <f t="shared" si="1"/>
        <v>2089</v>
      </c>
      <c r="C212" s="111">
        <f>[1]С2.5!$BV$11</f>
        <v>0</v>
      </c>
    </row>
    <row r="213" spans="2:3" hidden="1" x14ac:dyDescent="0.2">
      <c r="B213" s="110">
        <f t="shared" si="1"/>
        <v>2090</v>
      </c>
      <c r="C213" s="111">
        <f>[1]С2.5!$BW$11</f>
        <v>0</v>
      </c>
    </row>
    <row r="214" spans="2:3" hidden="1" x14ac:dyDescent="0.2">
      <c r="B214" s="110">
        <f t="shared" si="1"/>
        <v>2091</v>
      </c>
      <c r="C214" s="111">
        <f>[1]С2.5!$BX$11</f>
        <v>0</v>
      </c>
    </row>
    <row r="215" spans="2:3" hidden="1" x14ac:dyDescent="0.2">
      <c r="B215" s="110">
        <f t="shared" si="1"/>
        <v>2092</v>
      </c>
      <c r="C215" s="111">
        <f>[1]С2.5!$BY$11</f>
        <v>0</v>
      </c>
    </row>
    <row r="216" spans="2:3" hidden="1" x14ac:dyDescent="0.2">
      <c r="B216" s="110">
        <f t="shared" si="1"/>
        <v>2093</v>
      </c>
      <c r="C216" s="111">
        <f>[1]С2.5!$BZ$11</f>
        <v>0</v>
      </c>
    </row>
    <row r="217" spans="2:3" hidden="1" x14ac:dyDescent="0.2">
      <c r="B217" s="110">
        <f t="shared" si="1"/>
        <v>2094</v>
      </c>
      <c r="C217" s="111">
        <f>[1]С2.5!$CA$11</f>
        <v>0</v>
      </c>
    </row>
    <row r="218" spans="2:3" hidden="1" x14ac:dyDescent="0.2">
      <c r="B218" s="110">
        <f t="shared" si="1"/>
        <v>2095</v>
      </c>
      <c r="C218" s="111">
        <f>[1]С2.5!$CB$11</f>
        <v>0</v>
      </c>
    </row>
    <row r="219" spans="2:3" hidden="1" x14ac:dyDescent="0.2">
      <c r="B219" s="110">
        <f t="shared" si="1"/>
        <v>2096</v>
      </c>
      <c r="C219" s="111">
        <f>[1]С2.5!$CC$11</f>
        <v>0</v>
      </c>
    </row>
    <row r="220" spans="2:3" hidden="1" x14ac:dyDescent="0.2">
      <c r="B220" s="110">
        <f t="shared" si="1"/>
        <v>2097</v>
      </c>
      <c r="C220" s="111">
        <f>[1]С2.5!$CD$11</f>
        <v>0</v>
      </c>
    </row>
    <row r="221" spans="2:3" hidden="1" x14ac:dyDescent="0.2">
      <c r="B221" s="110">
        <f t="shared" si="1"/>
        <v>2098</v>
      </c>
      <c r="C221" s="111">
        <f>[1]С2.5!$CE$11</f>
        <v>0</v>
      </c>
    </row>
    <row r="222" spans="2:3" hidden="1" x14ac:dyDescent="0.2">
      <c r="B222" s="110">
        <f t="shared" si="1"/>
        <v>2099</v>
      </c>
      <c r="C222" s="111">
        <f>[1]С2.5!$CF$11</f>
        <v>0</v>
      </c>
    </row>
    <row r="223" spans="2:3" ht="13.5" hidden="1" thickBot="1" x14ac:dyDescent="0.25">
      <c r="B223" s="112">
        <f t="shared" si="1"/>
        <v>2100</v>
      </c>
      <c r="C223" s="113">
        <f>[1]С2.5!$CG$11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6" r:id="rId5" name="Button 2">
              <controlPr defaultSize="0" print="0" autoFill="0" autoPict="0" macro="[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[3]И1!D13</f>
        <v>Субъект Российской Федерации</v>
      </c>
      <c r="C4" s="10" t="str">
        <f>[3]И1!E13</f>
        <v>Новосибирская область</v>
      </c>
    </row>
    <row r="5" spans="1:3" ht="46.9" customHeight="1" x14ac:dyDescent="0.2">
      <c r="A5" s="8"/>
      <c r="B5" s="9" t="str">
        <f>[3]И1!D14</f>
        <v>Тип муниципального образования (выберите из списка)</v>
      </c>
      <c r="C5" s="10" t="str">
        <f>[3]И1!E14</f>
        <v xml:space="preserve">село Быстровка, Искитимский муниципальный район </v>
      </c>
    </row>
    <row r="6" spans="1:3" x14ac:dyDescent="0.2">
      <c r="A6" s="8"/>
      <c r="B6" s="9" t="str">
        <f>IF([3]И1!E15="","",[3]И1!D15)</f>
        <v/>
      </c>
      <c r="C6" s="10" t="str">
        <f>IF([3]И1!E15="","",[3]И1!E15)</f>
        <v/>
      </c>
    </row>
    <row r="7" spans="1:3" x14ac:dyDescent="0.2">
      <c r="A7" s="8"/>
      <c r="B7" s="9" t="str">
        <f>[3]И1!D16</f>
        <v>Код ОКТМО</v>
      </c>
      <c r="C7" s="11" t="str">
        <f>[3]И1!E16</f>
        <v>(50615402101)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2024</v>
      </c>
    </row>
    <row r="10" spans="1:3" x14ac:dyDescent="0.2">
      <c r="A10" s="8"/>
      <c r="B10" s="9" t="str">
        <f>[3]И1!D9</f>
        <v>Период регулирования (i-1)-й</v>
      </c>
      <c r="C10" s="14">
        <f>[3]И1!E9</f>
        <v>2023</v>
      </c>
    </row>
    <row r="11" spans="1:3" x14ac:dyDescent="0.2">
      <c r="A11" s="8"/>
      <c r="B11" s="9" t="str">
        <f>[3]И1!D10</f>
        <v>Период регулирования (i-2)-й</v>
      </c>
      <c r="C11" s="14">
        <f>[3]И1!E10</f>
        <v>2022</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3755.1269222377105</v>
      </c>
    </row>
    <row r="18" spans="1:3" ht="42.75" x14ac:dyDescent="0.2">
      <c r="A18" s="22" t="s">
        <v>8</v>
      </c>
      <c r="B18" s="25" t="s">
        <v>9</v>
      </c>
      <c r="C18" s="26">
        <f>[3]С1!F12</f>
        <v>759.67438872744583</v>
      </c>
    </row>
    <row r="19" spans="1:3" ht="42.75" x14ac:dyDescent="0.2">
      <c r="A19" s="22" t="s">
        <v>10</v>
      </c>
      <c r="B19" s="25" t="s">
        <v>11</v>
      </c>
      <c r="C19" s="26">
        <f>[3]С2!F12</f>
        <v>2000.3680279558928</v>
      </c>
    </row>
    <row r="20" spans="1:3" ht="30" x14ac:dyDescent="0.2">
      <c r="A20" s="22" t="s">
        <v>12</v>
      </c>
      <c r="B20" s="25" t="s">
        <v>13</v>
      </c>
      <c r="C20" s="26">
        <f>[3]С3!F12</f>
        <v>475.74490066496389</v>
      </c>
    </row>
    <row r="21" spans="1:3" ht="42.75" x14ac:dyDescent="0.2">
      <c r="A21" s="22" t="s">
        <v>14</v>
      </c>
      <c r="B21" s="25" t="s">
        <v>15</v>
      </c>
      <c r="C21" s="26">
        <f>[3]С4!F12</f>
        <v>445.70966523768817</v>
      </c>
    </row>
    <row r="22" spans="1:3" ht="30" x14ac:dyDescent="0.2">
      <c r="A22" s="22" t="s">
        <v>16</v>
      </c>
      <c r="B22" s="25" t="s">
        <v>17</v>
      </c>
      <c r="C22" s="26">
        <f>[3]С5!F12</f>
        <v>73.629939651719823</v>
      </c>
    </row>
    <row r="23" spans="1:3" ht="43.5" thickBot="1" x14ac:dyDescent="0.25">
      <c r="A23" s="27" t="s">
        <v>18</v>
      </c>
      <c r="B23" s="140" t="s">
        <v>19</v>
      </c>
      <c r="C23" s="28" t="str">
        <f>[3]С6!F12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[3]С1.1!E16</f>
        <v>5100</v>
      </c>
    </row>
    <row r="29" spans="1:3" ht="42.75" x14ac:dyDescent="0.2">
      <c r="A29" s="22" t="s">
        <v>10</v>
      </c>
      <c r="B29" s="33" t="s">
        <v>22</v>
      </c>
      <c r="C29" s="34">
        <f>[3]С1.1!E27</f>
        <v>3413.25</v>
      </c>
    </row>
    <row r="30" spans="1:3" ht="17.25" x14ac:dyDescent="0.2">
      <c r="A30" s="22" t="s">
        <v>12</v>
      </c>
      <c r="B30" s="33" t="s">
        <v>23</v>
      </c>
      <c r="C30" s="35">
        <f>[3]С1.1!E19</f>
        <v>-0.19900000000000001</v>
      </c>
    </row>
    <row r="31" spans="1:3" ht="17.25" x14ac:dyDescent="0.2">
      <c r="A31" s="22" t="s">
        <v>14</v>
      </c>
      <c r="B31" s="33" t="s">
        <v>24</v>
      </c>
      <c r="C31" s="35">
        <f>[3]С1.1!E20</f>
        <v>5.7000000000000002E-2</v>
      </c>
    </row>
    <row r="32" spans="1:3" ht="30" x14ac:dyDescent="0.2">
      <c r="A32" s="22" t="s">
        <v>16</v>
      </c>
      <c r="B32" s="36" t="s">
        <v>25</v>
      </c>
      <c r="C32" s="37">
        <f>[3]С1!F13</f>
        <v>176.4</v>
      </c>
    </row>
    <row r="33" spans="1:3" x14ac:dyDescent="0.2">
      <c r="A33" s="22" t="s">
        <v>18</v>
      </c>
      <c r="B33" s="36" t="s">
        <v>26</v>
      </c>
      <c r="C33" s="38">
        <f>[3]С1!F16</f>
        <v>7000</v>
      </c>
    </row>
    <row r="34" spans="1:3" ht="14.25" x14ac:dyDescent="0.2">
      <c r="A34" s="22" t="s">
        <v>27</v>
      </c>
      <c r="B34" s="39" t="s">
        <v>28</v>
      </c>
      <c r="C34" s="40">
        <f>[3]С1!F17</f>
        <v>0.72857142857142854</v>
      </c>
    </row>
    <row r="35" spans="1:3" ht="15.75" x14ac:dyDescent="0.2">
      <c r="A35" s="41" t="s">
        <v>29</v>
      </c>
      <c r="B35" s="42" t="s">
        <v>30</v>
      </c>
      <c r="C35" s="40">
        <f>[3]С1!F20</f>
        <v>21.588411179999994</v>
      </c>
    </row>
    <row r="36" spans="1:3" ht="15.75" x14ac:dyDescent="0.2">
      <c r="A36" s="41" t="s">
        <v>31</v>
      </c>
      <c r="B36" s="43" t="s">
        <v>32</v>
      </c>
      <c r="C36" s="40">
        <f>[3]С1!F21</f>
        <v>20.818139999999996</v>
      </c>
    </row>
    <row r="37" spans="1:3" ht="14.25" x14ac:dyDescent="0.2">
      <c r="A37" s="41" t="s">
        <v>33</v>
      </c>
      <c r="B37" s="44" t="s">
        <v>34</v>
      </c>
      <c r="C37" s="40">
        <f>[3]С1!F22</f>
        <v>1.0369999999999999</v>
      </c>
    </row>
    <row r="38" spans="1:3" ht="53.25" thickBot="1" x14ac:dyDescent="0.25">
      <c r="A38" s="27" t="s">
        <v>35</v>
      </c>
      <c r="B38" s="45" t="s">
        <v>36</v>
      </c>
      <c r="C38" s="46">
        <f>[3]С1!F23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[3]С2.1!E12</f>
        <v>V</v>
      </c>
    </row>
    <row r="42" spans="1:3" ht="25.5" x14ac:dyDescent="0.2">
      <c r="A42" s="22" t="s">
        <v>41</v>
      </c>
      <c r="B42" s="33" t="s">
        <v>42</v>
      </c>
      <c r="C42" s="51" t="str">
        <f>[3]С2.1!E13</f>
        <v>6 и менее баллов</v>
      </c>
    </row>
    <row r="43" spans="1:3" ht="25.5" x14ac:dyDescent="0.2">
      <c r="A43" s="22" t="s">
        <v>43</v>
      </c>
      <c r="B43" s="33" t="s">
        <v>44</v>
      </c>
      <c r="C43" s="51" t="str">
        <f>[3]С2.1!E14</f>
        <v>от 200 до 500</v>
      </c>
    </row>
    <row r="44" spans="1:3" ht="25.5" x14ac:dyDescent="0.2">
      <c r="A44" s="22" t="s">
        <v>45</v>
      </c>
      <c r="B44" s="33" t="s">
        <v>46</v>
      </c>
      <c r="C44" s="52" t="str">
        <f>[3]С2.1!E15</f>
        <v>нет</v>
      </c>
    </row>
    <row r="45" spans="1:3" ht="30" x14ac:dyDescent="0.2">
      <c r="A45" s="22" t="s">
        <v>47</v>
      </c>
      <c r="B45" s="33" t="s">
        <v>48</v>
      </c>
      <c r="C45" s="34">
        <f>[3]С2!F18</f>
        <v>35106.652004551666</v>
      </c>
    </row>
    <row r="46" spans="1:3" ht="30" x14ac:dyDescent="0.2">
      <c r="A46" s="22" t="s">
        <v>49</v>
      </c>
      <c r="B46" s="53" t="s">
        <v>50</v>
      </c>
      <c r="C46" s="34">
        <f>IF([3]С2!F19&gt;0,[3]С2!F19,[3]С2!F20)</f>
        <v>23441.524932855718</v>
      </c>
    </row>
    <row r="47" spans="1:3" ht="25.5" x14ac:dyDescent="0.2">
      <c r="A47" s="22" t="s">
        <v>51</v>
      </c>
      <c r="B47" s="54" t="s">
        <v>52</v>
      </c>
      <c r="C47" s="34">
        <f>[3]С2.1!E19</f>
        <v>-38</v>
      </c>
    </row>
    <row r="48" spans="1:3" ht="25.5" x14ac:dyDescent="0.2">
      <c r="A48" s="22" t="s">
        <v>53</v>
      </c>
      <c r="B48" s="54" t="s">
        <v>54</v>
      </c>
      <c r="C48" s="34" t="str">
        <f>[3]С2.1!E22</f>
        <v>нет</v>
      </c>
    </row>
    <row r="49" spans="1:3" ht="38.25" x14ac:dyDescent="0.2">
      <c r="A49" s="22" t="s">
        <v>55</v>
      </c>
      <c r="B49" s="55" t="s">
        <v>56</v>
      </c>
      <c r="C49" s="34">
        <f>[3]С2.2!E10</f>
        <v>1287</v>
      </c>
    </row>
    <row r="50" spans="1:3" ht="25.5" x14ac:dyDescent="0.2">
      <c r="A50" s="22" t="s">
        <v>57</v>
      </c>
      <c r="B50" s="56" t="s">
        <v>58</v>
      </c>
      <c r="C50" s="34">
        <f>[3]С2.2!E12</f>
        <v>5.97</v>
      </c>
    </row>
    <row r="51" spans="1:3" ht="52.5" x14ac:dyDescent="0.2">
      <c r="A51" s="22" t="s">
        <v>59</v>
      </c>
      <c r="B51" s="57" t="s">
        <v>60</v>
      </c>
      <c r="C51" s="34">
        <f>[3]С2.2!E13</f>
        <v>1</v>
      </c>
    </row>
    <row r="52" spans="1:3" ht="27.75" x14ac:dyDescent="0.2">
      <c r="A52" s="22" t="s">
        <v>61</v>
      </c>
      <c r="B52" s="56" t="s">
        <v>62</v>
      </c>
      <c r="C52" s="34">
        <f>[3]С2.2!E14</f>
        <v>12104</v>
      </c>
    </row>
    <row r="53" spans="1:3" ht="25.5" x14ac:dyDescent="0.2">
      <c r="A53" s="22" t="s">
        <v>63</v>
      </c>
      <c r="B53" s="57" t="s">
        <v>64</v>
      </c>
      <c r="C53" s="35">
        <f>[3]С2.2!E15</f>
        <v>4.8000000000000001E-2</v>
      </c>
    </row>
    <row r="54" spans="1:3" x14ac:dyDescent="0.2">
      <c r="A54" s="22" t="s">
        <v>65</v>
      </c>
      <c r="B54" s="57" t="s">
        <v>66</v>
      </c>
      <c r="C54" s="34">
        <f>[3]С2.2!E16</f>
        <v>1</v>
      </c>
    </row>
    <row r="55" spans="1:3" ht="15.75" x14ac:dyDescent="0.2">
      <c r="A55" s="22" t="s">
        <v>67</v>
      </c>
      <c r="B55" s="58" t="s">
        <v>68</v>
      </c>
      <c r="C55" s="34">
        <f>[3]С2!F21</f>
        <v>1</v>
      </c>
    </row>
    <row r="56" spans="1:3" ht="30" x14ac:dyDescent="0.2">
      <c r="A56" s="59" t="s">
        <v>69</v>
      </c>
      <c r="B56" s="33" t="s">
        <v>70</v>
      </c>
      <c r="C56" s="34">
        <f>[3]С2!F13</f>
        <v>183796.83936385796</v>
      </c>
    </row>
    <row r="57" spans="1:3" ht="30" x14ac:dyDescent="0.2">
      <c r="A57" s="59" t="s">
        <v>71</v>
      </c>
      <c r="B57" s="58" t="s">
        <v>72</v>
      </c>
      <c r="C57" s="34">
        <f>[3]С2!F14</f>
        <v>113455</v>
      </c>
    </row>
    <row r="58" spans="1:3" ht="15.75" x14ac:dyDescent="0.2">
      <c r="A58" s="59" t="s">
        <v>73</v>
      </c>
      <c r="B58" s="60" t="s">
        <v>74</v>
      </c>
      <c r="C58" s="40">
        <f>[3]С2!F15</f>
        <v>1.071</v>
      </c>
    </row>
    <row r="59" spans="1:3" ht="15.75" x14ac:dyDescent="0.2">
      <c r="A59" s="59" t="s">
        <v>75</v>
      </c>
      <c r="B59" s="60" t="s">
        <v>76</v>
      </c>
      <c r="C59" s="40">
        <f>[3]С2!F16</f>
        <v>1</v>
      </c>
    </row>
    <row r="60" spans="1:3" ht="17.25" x14ac:dyDescent="0.2">
      <c r="A60" s="59" t="s">
        <v>77</v>
      </c>
      <c r="B60" s="58" t="s">
        <v>78</v>
      </c>
      <c r="C60" s="34">
        <f>[3]С2!F17</f>
        <v>1.01</v>
      </c>
    </row>
    <row r="61" spans="1:3" s="63" customFormat="1" ht="14.25" x14ac:dyDescent="0.2">
      <c r="A61" s="59" t="s">
        <v>79</v>
      </c>
      <c r="B61" s="61" t="s">
        <v>80</v>
      </c>
      <c r="C61" s="62">
        <f>[3]С2!F33</f>
        <v>10</v>
      </c>
    </row>
    <row r="62" spans="1:3" ht="30" x14ac:dyDescent="0.2">
      <c r="A62" s="59" t="s">
        <v>81</v>
      </c>
      <c r="B62" s="64" t="s">
        <v>82</v>
      </c>
      <c r="C62" s="34">
        <f>[3]С2!F26</f>
        <v>2780.7867618428891</v>
      </c>
    </row>
    <row r="63" spans="1:3" ht="17.25" x14ac:dyDescent="0.2">
      <c r="A63" s="59" t="s">
        <v>83</v>
      </c>
      <c r="B63" s="53" t="s">
        <v>84</v>
      </c>
      <c r="C63" s="34">
        <f>[3]С2!F27</f>
        <v>0.44209422600000003</v>
      </c>
    </row>
    <row r="64" spans="1:3" ht="17.25" x14ac:dyDescent="0.2">
      <c r="A64" s="59" t="s">
        <v>85</v>
      </c>
      <c r="B64" s="58" t="s">
        <v>86</v>
      </c>
      <c r="C64" s="62">
        <f>[3]С2!F28</f>
        <v>4200</v>
      </c>
    </row>
    <row r="65" spans="1:3" ht="42.75" x14ac:dyDescent="0.2">
      <c r="A65" s="59" t="s">
        <v>87</v>
      </c>
      <c r="B65" s="33" t="s">
        <v>88</v>
      </c>
      <c r="C65" s="34">
        <f>[3]С2!F22</f>
        <v>38698.422798410109</v>
      </c>
    </row>
    <row r="66" spans="1:3" ht="30" x14ac:dyDescent="0.2">
      <c r="A66" s="59" t="s">
        <v>89</v>
      </c>
      <c r="B66" s="60" t="s">
        <v>90</v>
      </c>
      <c r="C66" s="34">
        <f>[3]С2!F23</f>
        <v>1990</v>
      </c>
    </row>
    <row r="67" spans="1:3" ht="30" x14ac:dyDescent="0.2">
      <c r="A67" s="59" t="s">
        <v>91</v>
      </c>
      <c r="B67" s="53" t="s">
        <v>92</v>
      </c>
      <c r="C67" s="34">
        <f>[3]С2.1!E27</f>
        <v>14307.876789999998</v>
      </c>
    </row>
    <row r="68" spans="1:3" ht="38.25" x14ac:dyDescent="0.2">
      <c r="A68" s="59" t="s">
        <v>93</v>
      </c>
      <c r="B68" s="65" t="s">
        <v>94</v>
      </c>
      <c r="C68" s="52">
        <f>[3]С2.3!E21</f>
        <v>0</v>
      </c>
    </row>
    <row r="69" spans="1:3" ht="25.5" x14ac:dyDescent="0.2">
      <c r="A69" s="59" t="s">
        <v>95</v>
      </c>
      <c r="B69" s="66" t="s">
        <v>96</v>
      </c>
      <c r="C69" s="67">
        <f>[3]С2.3!E11</f>
        <v>9.89</v>
      </c>
    </row>
    <row r="70" spans="1:3" ht="25.5" x14ac:dyDescent="0.2">
      <c r="A70" s="59" t="s">
        <v>97</v>
      </c>
      <c r="B70" s="66" t="s">
        <v>98</v>
      </c>
      <c r="C70" s="62">
        <f>[3]С2.3!E13</f>
        <v>300</v>
      </c>
    </row>
    <row r="71" spans="1:3" ht="25.5" x14ac:dyDescent="0.2">
      <c r="A71" s="59" t="s">
        <v>99</v>
      </c>
      <c r="B71" s="65" t="s">
        <v>100</v>
      </c>
      <c r="C71" s="68">
        <f>IF([3]С2.3!E22&gt;0,[3]С2.3!E22,[3]С2.3!E14)</f>
        <v>61211</v>
      </c>
    </row>
    <row r="72" spans="1:3" ht="38.25" x14ac:dyDescent="0.2">
      <c r="A72" s="59" t="s">
        <v>101</v>
      </c>
      <c r="B72" s="65" t="s">
        <v>102</v>
      </c>
      <c r="C72" s="68">
        <f>IF([3]С2.3!E23&gt;0,[3]С2.3!E23,[3]С2.3!E15)</f>
        <v>45675</v>
      </c>
    </row>
    <row r="73" spans="1:3" ht="30" x14ac:dyDescent="0.2">
      <c r="A73" s="59" t="s">
        <v>103</v>
      </c>
      <c r="B73" s="53" t="s">
        <v>104</v>
      </c>
      <c r="C73" s="34">
        <f>[3]С2.1!E28</f>
        <v>9541.9567200000001</v>
      </c>
    </row>
    <row r="74" spans="1:3" ht="38.25" x14ac:dyDescent="0.2">
      <c r="A74" s="59" t="s">
        <v>105</v>
      </c>
      <c r="B74" s="65" t="s">
        <v>106</v>
      </c>
      <c r="C74" s="52">
        <f>[3]С2.3!E25</f>
        <v>0</v>
      </c>
    </row>
    <row r="75" spans="1:3" ht="25.5" x14ac:dyDescent="0.2">
      <c r="A75" s="59" t="s">
        <v>107</v>
      </c>
      <c r="B75" s="66" t="s">
        <v>108</v>
      </c>
      <c r="C75" s="67">
        <f>[3]С2.3!E12</f>
        <v>0.56000000000000005</v>
      </c>
    </row>
    <row r="76" spans="1:3" ht="25.5" x14ac:dyDescent="0.2">
      <c r="A76" s="59" t="s">
        <v>109</v>
      </c>
      <c r="B76" s="66" t="s">
        <v>98</v>
      </c>
      <c r="C76" s="62">
        <f>[3]С2.3!E13</f>
        <v>300</v>
      </c>
    </row>
    <row r="77" spans="1:3" ht="25.5" x14ac:dyDescent="0.2">
      <c r="A77" s="59" t="s">
        <v>110</v>
      </c>
      <c r="B77" s="69" t="s">
        <v>111</v>
      </c>
      <c r="C77" s="68">
        <f>IF([3]С2.3!E26&gt;0,[3]С2.3!E26,[3]С2.3!E16)</f>
        <v>65637</v>
      </c>
    </row>
    <row r="78" spans="1:3" ht="38.25" x14ac:dyDescent="0.2">
      <c r="A78" s="59" t="s">
        <v>112</v>
      </c>
      <c r="B78" s="69" t="s">
        <v>113</v>
      </c>
      <c r="C78" s="68">
        <f>IF([3]С2.3!E27&gt;0,[3]С2.3!E27,[3]С2.3!E17)</f>
        <v>31684</v>
      </c>
    </row>
    <row r="79" spans="1:3" ht="17.25" x14ac:dyDescent="0.2">
      <c r="A79" s="59" t="s">
        <v>114</v>
      </c>
      <c r="B79" s="33" t="s">
        <v>115</v>
      </c>
      <c r="C79" s="35">
        <f>[3]С2!F29</f>
        <v>9.5962865259740182E-2</v>
      </c>
    </row>
    <row r="80" spans="1:3" ht="30" x14ac:dyDescent="0.2">
      <c r="A80" s="59" t="s">
        <v>116</v>
      </c>
      <c r="B80" s="53" t="s">
        <v>117</v>
      </c>
      <c r="C80" s="70">
        <f>[3]С2!F30</f>
        <v>8.4029304029304031E-2</v>
      </c>
    </row>
    <row r="81" spans="1:3" ht="17.25" x14ac:dyDescent="0.2">
      <c r="A81" s="59" t="s">
        <v>118</v>
      </c>
      <c r="B81" s="71" t="s">
        <v>119</v>
      </c>
      <c r="C81" s="35">
        <f>[3]С2!F31</f>
        <v>0.13880000000000001</v>
      </c>
    </row>
    <row r="82" spans="1:3" s="63" customFormat="1" ht="18" thickBot="1" x14ac:dyDescent="0.25">
      <c r="A82" s="72" t="s">
        <v>120</v>
      </c>
      <c r="B82" s="73" t="s">
        <v>121</v>
      </c>
      <c r="C82" s="74">
        <f>[3]С2!F32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[3]С3!F14</f>
        <v>6117.6201782637581</v>
      </c>
    </row>
    <row r="86" spans="1:3" s="63" customFormat="1" ht="42.75" x14ac:dyDescent="0.2">
      <c r="A86" s="77" t="s">
        <v>126</v>
      </c>
      <c r="B86" s="53" t="s">
        <v>127</v>
      </c>
      <c r="C86" s="78">
        <f>[3]С3!F15</f>
        <v>0.2</v>
      </c>
    </row>
    <row r="87" spans="1:3" s="63" customFormat="1" ht="14.25" x14ac:dyDescent="0.2">
      <c r="A87" s="77" t="s">
        <v>128</v>
      </c>
      <c r="B87" s="79" t="s">
        <v>129</v>
      </c>
      <c r="C87" s="62">
        <f>[3]С3!F18</f>
        <v>15</v>
      </c>
    </row>
    <row r="88" spans="1:3" s="63" customFormat="1" ht="17.25" x14ac:dyDescent="0.2">
      <c r="A88" s="77" t="s">
        <v>130</v>
      </c>
      <c r="B88" s="33" t="s">
        <v>131</v>
      </c>
      <c r="C88" s="34">
        <f>[3]С3!F19</f>
        <v>3778.1614077800232</v>
      </c>
    </row>
    <row r="89" spans="1:3" s="63" customFormat="1" ht="55.5" x14ac:dyDescent="0.2">
      <c r="A89" s="77" t="s">
        <v>132</v>
      </c>
      <c r="B89" s="53" t="s">
        <v>133</v>
      </c>
      <c r="C89" s="80">
        <f>[3]С3!F20</f>
        <v>2.1999999999999999E-2</v>
      </c>
    </row>
    <row r="90" spans="1:3" s="63" customFormat="1" ht="14.25" x14ac:dyDescent="0.2">
      <c r="A90" s="77" t="s">
        <v>134</v>
      </c>
      <c r="B90" s="58" t="s">
        <v>80</v>
      </c>
      <c r="C90" s="62">
        <f>[3]С3!F21</f>
        <v>10</v>
      </c>
    </row>
    <row r="91" spans="1:3" s="63" customFormat="1" ht="17.25" x14ac:dyDescent="0.2">
      <c r="A91" s="77" t="s">
        <v>135</v>
      </c>
      <c r="B91" s="33" t="s">
        <v>136</v>
      </c>
      <c r="C91" s="34">
        <f>[3]С3!F22</f>
        <v>8.3423602855286667</v>
      </c>
    </row>
    <row r="92" spans="1:3" s="63" customFormat="1" ht="55.5" x14ac:dyDescent="0.2">
      <c r="A92" s="77" t="s">
        <v>137</v>
      </c>
      <c r="B92" s="53" t="s">
        <v>138</v>
      </c>
      <c r="C92" s="80">
        <f>[3]С3!F23</f>
        <v>3.0000000000000001E-3</v>
      </c>
    </row>
    <row r="93" spans="1:3" s="63" customFormat="1" ht="27.75" thickBot="1" x14ac:dyDescent="0.25">
      <c r="A93" s="81" t="s">
        <v>139</v>
      </c>
      <c r="B93" s="82" t="s">
        <v>140</v>
      </c>
      <c r="C93" s="83">
        <f>[3]С3!F24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[3]С4!F16</f>
        <v>1652.5</v>
      </c>
    </row>
    <row r="97" spans="1:3" ht="30" x14ac:dyDescent="0.2">
      <c r="A97" s="59" t="s">
        <v>145</v>
      </c>
      <c r="B97" s="58" t="s">
        <v>146</v>
      </c>
      <c r="C97" s="34">
        <f>[3]С4!F17</f>
        <v>73547</v>
      </c>
    </row>
    <row r="98" spans="1:3" ht="17.25" x14ac:dyDescent="0.2">
      <c r="A98" s="59" t="s">
        <v>147</v>
      </c>
      <c r="B98" s="58" t="s">
        <v>148</v>
      </c>
      <c r="C98" s="40">
        <f>[3]С4!F18</f>
        <v>0.02</v>
      </c>
    </row>
    <row r="99" spans="1:3" ht="30" x14ac:dyDescent="0.2">
      <c r="A99" s="59" t="s">
        <v>149</v>
      </c>
      <c r="B99" s="58" t="s">
        <v>150</v>
      </c>
      <c r="C99" s="34">
        <f>[3]С4!F19</f>
        <v>12104</v>
      </c>
    </row>
    <row r="100" spans="1:3" ht="31.5" x14ac:dyDescent="0.2">
      <c r="A100" s="59" t="s">
        <v>151</v>
      </c>
      <c r="B100" s="58" t="s">
        <v>152</v>
      </c>
      <c r="C100" s="40">
        <f>[3]С4!F20</f>
        <v>1.4999999999999999E-2</v>
      </c>
    </row>
    <row r="101" spans="1:3" ht="30" x14ac:dyDescent="0.2">
      <c r="A101" s="59" t="s">
        <v>153</v>
      </c>
      <c r="B101" s="33" t="s">
        <v>154</v>
      </c>
      <c r="C101" s="34">
        <f>[3]С4!F21</f>
        <v>1933.1949342509995</v>
      </c>
    </row>
    <row r="102" spans="1:3" ht="24" customHeight="1" x14ac:dyDescent="0.2">
      <c r="A102" s="59" t="s">
        <v>155</v>
      </c>
      <c r="B102" s="53" t="s">
        <v>156</v>
      </c>
      <c r="C102" s="85">
        <f>IF([3]С4.2!F8="да",[3]С4.2!D21,[3]С4.2!D15)</f>
        <v>0</v>
      </c>
    </row>
    <row r="103" spans="1:3" ht="68.25" x14ac:dyDescent="0.2">
      <c r="A103" s="59" t="s">
        <v>157</v>
      </c>
      <c r="B103" s="53" t="s">
        <v>158</v>
      </c>
      <c r="C103" s="34">
        <f>[3]С4!F22</f>
        <v>3.6112641666666665</v>
      </c>
    </row>
    <row r="104" spans="1:3" ht="30" x14ac:dyDescent="0.2">
      <c r="A104" s="59" t="s">
        <v>159</v>
      </c>
      <c r="B104" s="58" t="s">
        <v>160</v>
      </c>
      <c r="C104" s="34">
        <f>[3]С4!F23</f>
        <v>180</v>
      </c>
    </row>
    <row r="105" spans="1:3" ht="14.25" x14ac:dyDescent="0.2">
      <c r="A105" s="59" t="s">
        <v>161</v>
      </c>
      <c r="B105" s="53" t="s">
        <v>162</v>
      </c>
      <c r="C105" s="34">
        <f>[3]С4!F24</f>
        <v>8497.1999999999989</v>
      </c>
    </row>
    <row r="106" spans="1:3" ht="14.25" x14ac:dyDescent="0.2">
      <c r="A106" s="59" t="s">
        <v>163</v>
      </c>
      <c r="B106" s="58" t="s">
        <v>164</v>
      </c>
      <c r="C106" s="40">
        <f>[3]С4!F25</f>
        <v>0.35</v>
      </c>
    </row>
    <row r="107" spans="1:3" ht="17.25" x14ac:dyDescent="0.2">
      <c r="A107" s="59" t="s">
        <v>165</v>
      </c>
      <c r="B107" s="33" t="s">
        <v>166</v>
      </c>
      <c r="C107" s="34">
        <f>[3]С4!F26</f>
        <v>85.988129999999998</v>
      </c>
    </row>
    <row r="108" spans="1:3" ht="25.5" x14ac:dyDescent="0.2">
      <c r="A108" s="59" t="s">
        <v>167</v>
      </c>
      <c r="B108" s="53" t="s">
        <v>94</v>
      </c>
      <c r="C108" s="85">
        <f>[3]С4.3!E16</f>
        <v>0</v>
      </c>
    </row>
    <row r="109" spans="1:3" ht="25.5" x14ac:dyDescent="0.2">
      <c r="A109" s="59" t="s">
        <v>168</v>
      </c>
      <c r="B109" s="53" t="s">
        <v>169</v>
      </c>
      <c r="C109" s="34">
        <f>[3]С4.3!E17</f>
        <v>20.350000000000001</v>
      </c>
    </row>
    <row r="110" spans="1:3" ht="38.25" x14ac:dyDescent="0.2">
      <c r="A110" s="59" t="s">
        <v>170</v>
      </c>
      <c r="B110" s="53" t="s">
        <v>106</v>
      </c>
      <c r="C110" s="85">
        <f>[3]С4.3!E18</f>
        <v>0</v>
      </c>
    </row>
    <row r="111" spans="1:3" x14ac:dyDescent="0.2">
      <c r="A111" s="59" t="s">
        <v>171</v>
      </c>
      <c r="B111" s="53" t="s">
        <v>172</v>
      </c>
      <c r="C111" s="34">
        <f>[3]С4.3!E19</f>
        <v>71.67</v>
      </c>
    </row>
    <row r="112" spans="1:3" x14ac:dyDescent="0.2">
      <c r="A112" s="59" t="s">
        <v>173</v>
      </c>
      <c r="B112" s="58" t="s">
        <v>174</v>
      </c>
      <c r="C112" s="34">
        <f>[3]С4.3!E11</f>
        <v>1871</v>
      </c>
    </row>
    <row r="113" spans="1:3" x14ac:dyDescent="0.2">
      <c r="A113" s="59" t="s">
        <v>175</v>
      </c>
      <c r="B113" s="58" t="s">
        <v>176</v>
      </c>
      <c r="C113" s="52">
        <f>[3]С4.3!E12</f>
        <v>1636</v>
      </c>
    </row>
    <row r="114" spans="1:3" x14ac:dyDescent="0.2">
      <c r="A114" s="59" t="s">
        <v>177</v>
      </c>
      <c r="B114" s="58" t="s">
        <v>178</v>
      </c>
      <c r="C114" s="52">
        <f>[3]С4.3!E13</f>
        <v>204</v>
      </c>
    </row>
    <row r="115" spans="1:3" ht="30" x14ac:dyDescent="0.2">
      <c r="A115" s="59" t="s">
        <v>179</v>
      </c>
      <c r="B115" s="33" t="s">
        <v>180</v>
      </c>
      <c r="C115" s="34">
        <f>[3]С4!F27</f>
        <v>1291.2863994686898</v>
      </c>
    </row>
    <row r="116" spans="1:3" ht="25.5" x14ac:dyDescent="0.2">
      <c r="A116" s="59" t="s">
        <v>181</v>
      </c>
      <c r="B116" s="53" t="s">
        <v>182</v>
      </c>
      <c r="C116" s="34">
        <f>[3]С4!F28</f>
        <v>991.77142816335618</v>
      </c>
    </row>
    <row r="117" spans="1:3" ht="42.75" x14ac:dyDescent="0.2">
      <c r="A117" s="59" t="s">
        <v>183</v>
      </c>
      <c r="B117" s="53" t="s">
        <v>184</v>
      </c>
      <c r="C117" s="34">
        <f>[3]С4!F29</f>
        <v>299.51497130533357</v>
      </c>
    </row>
    <row r="118" spans="1:3" ht="30" x14ac:dyDescent="0.2">
      <c r="A118" s="59" t="s">
        <v>185</v>
      </c>
      <c r="B118" s="39" t="s">
        <v>186</v>
      </c>
      <c r="C118" s="34">
        <f>[3]С4!F30</f>
        <v>1846.1709738656207</v>
      </c>
    </row>
    <row r="119" spans="1:3" ht="42.75" x14ac:dyDescent="0.2">
      <c r="A119" s="59" t="s">
        <v>187</v>
      </c>
      <c r="B119" s="86" t="s">
        <v>188</v>
      </c>
      <c r="C119" s="34">
        <f>[3]С4!F33</f>
        <v>1124.091225525967</v>
      </c>
    </row>
    <row r="120" spans="1:3" ht="30" x14ac:dyDescent="0.2">
      <c r="A120" s="59" t="s">
        <v>189</v>
      </c>
      <c r="B120" s="87" t="s">
        <v>190</v>
      </c>
      <c r="C120" s="34">
        <f>[3]С4!F35</f>
        <v>17.040680999999999</v>
      </c>
    </row>
    <row r="121" spans="1:3" ht="14.25" x14ac:dyDescent="0.2">
      <c r="A121" s="59" t="s">
        <v>191</v>
      </c>
      <c r="B121" s="56" t="s">
        <v>192</v>
      </c>
      <c r="C121" s="34">
        <f>[3]С4!F36</f>
        <v>14319.9</v>
      </c>
    </row>
    <row r="122" spans="1:3" ht="28.5" thickBot="1" x14ac:dyDescent="0.25">
      <c r="A122" s="72" t="s">
        <v>193</v>
      </c>
      <c r="B122" s="88" t="s">
        <v>194</v>
      </c>
      <c r="C122" s="83">
        <f>[3]С4!F37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[3]С5!F17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[3]С2!F37</f>
        <v>20.818139999999996</v>
      </c>
    </row>
    <row r="136" spans="1:4" ht="14.25" x14ac:dyDescent="0.2">
      <c r="A136" s="59" t="s">
        <v>216</v>
      </c>
      <c r="B136" s="101" t="s">
        <v>217</v>
      </c>
      <c r="C136" s="34">
        <f>[3]С2!F38</f>
        <v>7</v>
      </c>
    </row>
    <row r="137" spans="1:4" ht="17.25" x14ac:dyDescent="0.2">
      <c r="A137" s="59" t="s">
        <v>218</v>
      </c>
      <c r="B137" s="101" t="s">
        <v>219</v>
      </c>
      <c r="C137" s="34">
        <f>[3]С2!F40</f>
        <v>0.97</v>
      </c>
    </row>
    <row r="138" spans="1:4" ht="15" thickBot="1" x14ac:dyDescent="0.25">
      <c r="A138" s="72" t="s">
        <v>220</v>
      </c>
      <c r="B138" s="102" t="s">
        <v>221</v>
      </c>
      <c r="C138" s="46">
        <f>[3]С2!F42</f>
        <v>0.35</v>
      </c>
    </row>
    <row r="139" spans="1:4" s="89" customFormat="1" ht="13.5" thickBot="1" x14ac:dyDescent="0.25">
      <c r="A139" s="47"/>
      <c r="B139" s="75"/>
      <c r="C139" s="15"/>
    </row>
    <row r="140" spans="1:4" ht="30" x14ac:dyDescent="0.2">
      <c r="A140" s="84" t="s">
        <v>222</v>
      </c>
      <c r="B140" s="103" t="s">
        <v>223</v>
      </c>
      <c r="C140" s="104">
        <f>[3]С2!F35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[3]С2.5!$E$11</f>
        <v>-2.9000000000000026E-2</v>
      </c>
      <c r="D143" s="89"/>
    </row>
    <row r="144" spans="1:4" x14ac:dyDescent="0.2">
      <c r="A144" s="105"/>
      <c r="B144" s="110">
        <f>B143+1</f>
        <v>2021</v>
      </c>
      <c r="C144" s="111">
        <f>[3]С2.5!$F$11</f>
        <v>0.245</v>
      </c>
      <c r="D144" s="89"/>
    </row>
    <row r="145" spans="1:4" x14ac:dyDescent="0.2">
      <c r="A145" s="105"/>
      <c r="B145" s="110">
        <f t="shared" ref="B145:B208" si="0">B144+1</f>
        <v>2022</v>
      </c>
      <c r="C145" s="111">
        <f>[3]С2.5!$G$11</f>
        <v>0.114</v>
      </c>
      <c r="D145" s="89"/>
    </row>
    <row r="146" spans="1:4" ht="13.5" thickBot="1" x14ac:dyDescent="0.25">
      <c r="A146" s="105"/>
      <c r="B146" s="112">
        <f t="shared" si="0"/>
        <v>2023</v>
      </c>
      <c r="C146" s="113">
        <f>[3]С2.5!$H$11</f>
        <v>2.4E-2</v>
      </c>
      <c r="D146" s="89"/>
    </row>
    <row r="147" spans="1:4" x14ac:dyDescent="0.2">
      <c r="A147" s="105"/>
      <c r="B147" s="114">
        <f t="shared" si="0"/>
        <v>2024</v>
      </c>
      <c r="C147" s="115">
        <f>[3]С2.5!$I$11</f>
        <v>8.5999999999999993E-2</v>
      </c>
      <c r="D147" s="89"/>
    </row>
    <row r="148" spans="1:4" hidden="1" x14ac:dyDescent="0.2">
      <c r="A148" s="105"/>
      <c r="B148" s="110">
        <f t="shared" si="0"/>
        <v>2025</v>
      </c>
      <c r="C148" s="111">
        <f>[3]С2.5!$J$11</f>
        <v>0.21215960863291</v>
      </c>
      <c r="D148" s="89"/>
    </row>
    <row r="149" spans="1:4" hidden="1" x14ac:dyDescent="0.2">
      <c r="A149" s="105"/>
      <c r="B149" s="110">
        <f t="shared" si="0"/>
        <v>2026</v>
      </c>
      <c r="C149" s="111">
        <f>[3]С2.5!$K$11</f>
        <v>3.5813361771260002E-2</v>
      </c>
      <c r="D149" s="89"/>
    </row>
    <row r="150" spans="1:4" hidden="1" x14ac:dyDescent="0.2">
      <c r="A150" s="105"/>
      <c r="B150" s="110">
        <f t="shared" si="0"/>
        <v>2027</v>
      </c>
      <c r="C150" s="111">
        <f>[3]С2.5!$L$11</f>
        <v>3.2682303599220003E-2</v>
      </c>
      <c r="D150" s="89"/>
    </row>
    <row r="151" spans="1:4" hidden="1" x14ac:dyDescent="0.2">
      <c r="A151" s="105"/>
      <c r="B151" s="110">
        <f t="shared" si="0"/>
        <v>2028</v>
      </c>
      <c r="C151" s="111">
        <f>[3]С2.5!$M$11</f>
        <v>0</v>
      </c>
      <c r="D151" s="89"/>
    </row>
    <row r="152" spans="1:4" hidden="1" x14ac:dyDescent="0.2">
      <c r="A152" s="105"/>
      <c r="B152" s="110">
        <f t="shared" si="0"/>
        <v>2029</v>
      </c>
      <c r="C152" s="111">
        <f>[3]С2.5!$N$11</f>
        <v>0</v>
      </c>
      <c r="D152" s="89"/>
    </row>
    <row r="153" spans="1:4" hidden="1" x14ac:dyDescent="0.2">
      <c r="A153" s="105"/>
      <c r="B153" s="110">
        <f t="shared" si="0"/>
        <v>2030</v>
      </c>
      <c r="C153" s="111">
        <f>[3]С2.5!$O$11</f>
        <v>0</v>
      </c>
      <c r="D153" s="89"/>
    </row>
    <row r="154" spans="1:4" hidden="1" x14ac:dyDescent="0.2">
      <c r="A154" s="105"/>
      <c r="B154" s="110">
        <f t="shared" si="0"/>
        <v>2031</v>
      </c>
      <c r="C154" s="111">
        <f>[3]С2.5!$P$11</f>
        <v>0</v>
      </c>
      <c r="D154" s="89"/>
    </row>
    <row r="155" spans="1:4" hidden="1" x14ac:dyDescent="0.2">
      <c r="A155" s="89"/>
      <c r="B155" s="110">
        <f t="shared" si="0"/>
        <v>2032</v>
      </c>
      <c r="C155" s="111">
        <f>[3]С2.5!$Q$11</f>
        <v>0</v>
      </c>
      <c r="D155" s="89"/>
    </row>
    <row r="156" spans="1:4" hidden="1" x14ac:dyDescent="0.2">
      <c r="A156" s="89"/>
      <c r="B156" s="110">
        <f t="shared" si="0"/>
        <v>2033</v>
      </c>
      <c r="C156" s="111">
        <f>[3]С2.5!$R$11</f>
        <v>0</v>
      </c>
      <c r="D156" s="89"/>
    </row>
    <row r="157" spans="1:4" hidden="1" x14ac:dyDescent="0.2">
      <c r="B157" s="110">
        <f t="shared" si="0"/>
        <v>2034</v>
      </c>
      <c r="C157" s="111">
        <f>[3]С2.5!$S$11</f>
        <v>0</v>
      </c>
    </row>
    <row r="158" spans="1:4" hidden="1" x14ac:dyDescent="0.2">
      <c r="B158" s="110">
        <f t="shared" si="0"/>
        <v>2035</v>
      </c>
      <c r="C158" s="111">
        <f>[3]С2.5!$T$11</f>
        <v>0</v>
      </c>
    </row>
    <row r="159" spans="1:4" hidden="1" x14ac:dyDescent="0.2">
      <c r="B159" s="110">
        <f t="shared" si="0"/>
        <v>2036</v>
      </c>
      <c r="C159" s="111">
        <f>[3]С2.5!$U$11</f>
        <v>0</v>
      </c>
    </row>
    <row r="160" spans="1:4" hidden="1" x14ac:dyDescent="0.2">
      <c r="B160" s="110">
        <f t="shared" si="0"/>
        <v>2037</v>
      </c>
      <c r="C160" s="111">
        <f>[3]С2.5!$V$11</f>
        <v>0</v>
      </c>
    </row>
    <row r="161" spans="2:3" hidden="1" x14ac:dyDescent="0.2">
      <c r="B161" s="110">
        <f t="shared" si="0"/>
        <v>2038</v>
      </c>
      <c r="C161" s="111">
        <f>[3]С2.5!$W$11</f>
        <v>0</v>
      </c>
    </row>
    <row r="162" spans="2:3" hidden="1" x14ac:dyDescent="0.2">
      <c r="B162" s="110">
        <f t="shared" si="0"/>
        <v>2039</v>
      </c>
      <c r="C162" s="111">
        <f>[3]С2.5!$X$11</f>
        <v>0</v>
      </c>
    </row>
    <row r="163" spans="2:3" hidden="1" x14ac:dyDescent="0.2">
      <c r="B163" s="110">
        <f t="shared" si="0"/>
        <v>2040</v>
      </c>
      <c r="C163" s="111">
        <f>[3]С2.5!$Y$11</f>
        <v>0</v>
      </c>
    </row>
    <row r="164" spans="2:3" hidden="1" x14ac:dyDescent="0.2">
      <c r="B164" s="110">
        <f t="shared" si="0"/>
        <v>2041</v>
      </c>
      <c r="C164" s="111">
        <f>[3]С2.5!$Z$11</f>
        <v>0</v>
      </c>
    </row>
    <row r="165" spans="2:3" hidden="1" x14ac:dyDescent="0.2">
      <c r="B165" s="110">
        <f t="shared" si="0"/>
        <v>2042</v>
      </c>
      <c r="C165" s="111">
        <f>[3]С2.5!$AA$11</f>
        <v>0</v>
      </c>
    </row>
    <row r="166" spans="2:3" hidden="1" x14ac:dyDescent="0.2">
      <c r="B166" s="110">
        <f t="shared" si="0"/>
        <v>2043</v>
      </c>
      <c r="C166" s="111">
        <f>[3]С2.5!$AB$11</f>
        <v>0</v>
      </c>
    </row>
    <row r="167" spans="2:3" hidden="1" x14ac:dyDescent="0.2">
      <c r="B167" s="110">
        <f t="shared" si="0"/>
        <v>2044</v>
      </c>
      <c r="C167" s="111">
        <f>[3]С2.5!$AC$11</f>
        <v>0</v>
      </c>
    </row>
    <row r="168" spans="2:3" hidden="1" x14ac:dyDescent="0.2">
      <c r="B168" s="110">
        <f t="shared" si="0"/>
        <v>2045</v>
      </c>
      <c r="C168" s="111">
        <f>[3]С2.5!$AD$11</f>
        <v>0</v>
      </c>
    </row>
    <row r="169" spans="2:3" hidden="1" x14ac:dyDescent="0.2">
      <c r="B169" s="110">
        <f t="shared" si="0"/>
        <v>2046</v>
      </c>
      <c r="C169" s="111">
        <f>[3]С2.5!$AE$11</f>
        <v>0</v>
      </c>
    </row>
    <row r="170" spans="2:3" hidden="1" x14ac:dyDescent="0.2">
      <c r="B170" s="110">
        <f t="shared" si="0"/>
        <v>2047</v>
      </c>
      <c r="C170" s="111">
        <f>[3]С2.5!$AF$11</f>
        <v>0</v>
      </c>
    </row>
    <row r="171" spans="2:3" hidden="1" x14ac:dyDescent="0.2">
      <c r="B171" s="110">
        <f t="shared" si="0"/>
        <v>2048</v>
      </c>
      <c r="C171" s="111">
        <f>[3]С2.5!$AG$11</f>
        <v>0</v>
      </c>
    </row>
    <row r="172" spans="2:3" hidden="1" x14ac:dyDescent="0.2">
      <c r="B172" s="110">
        <f t="shared" si="0"/>
        <v>2049</v>
      </c>
      <c r="C172" s="111">
        <f>[3]С2.5!$AH$11</f>
        <v>0</v>
      </c>
    </row>
    <row r="173" spans="2:3" hidden="1" x14ac:dyDescent="0.2">
      <c r="B173" s="110">
        <f t="shared" si="0"/>
        <v>2050</v>
      </c>
      <c r="C173" s="111">
        <f>[3]С2.5!$AI$11</f>
        <v>0</v>
      </c>
    </row>
    <row r="174" spans="2:3" hidden="1" x14ac:dyDescent="0.2">
      <c r="B174" s="110">
        <f t="shared" si="0"/>
        <v>2051</v>
      </c>
      <c r="C174" s="111">
        <f>[3]С2.5!$AJ$11</f>
        <v>0</v>
      </c>
    </row>
    <row r="175" spans="2:3" hidden="1" x14ac:dyDescent="0.2">
      <c r="B175" s="110">
        <f t="shared" si="0"/>
        <v>2052</v>
      </c>
      <c r="C175" s="111">
        <f>[3]С2.5!$AK$11</f>
        <v>0</v>
      </c>
    </row>
    <row r="176" spans="2:3" hidden="1" x14ac:dyDescent="0.2">
      <c r="B176" s="110">
        <f t="shared" si="0"/>
        <v>2053</v>
      </c>
      <c r="C176" s="111">
        <f>[3]С2.5!$AL$11</f>
        <v>0</v>
      </c>
    </row>
    <row r="177" spans="2:3" hidden="1" x14ac:dyDescent="0.2">
      <c r="B177" s="110">
        <f t="shared" si="0"/>
        <v>2054</v>
      </c>
      <c r="C177" s="111">
        <f>[3]С2.5!$AM$11</f>
        <v>0</v>
      </c>
    </row>
    <row r="178" spans="2:3" hidden="1" x14ac:dyDescent="0.2">
      <c r="B178" s="110">
        <f t="shared" si="0"/>
        <v>2055</v>
      </c>
      <c r="C178" s="111">
        <f>[3]С2.5!$AN$11</f>
        <v>0</v>
      </c>
    </row>
    <row r="179" spans="2:3" hidden="1" x14ac:dyDescent="0.2">
      <c r="B179" s="110">
        <f t="shared" si="0"/>
        <v>2056</v>
      </c>
      <c r="C179" s="111">
        <f>[3]С2.5!$AO$11</f>
        <v>0</v>
      </c>
    </row>
    <row r="180" spans="2:3" hidden="1" x14ac:dyDescent="0.2">
      <c r="B180" s="110">
        <f t="shared" si="0"/>
        <v>2057</v>
      </c>
      <c r="C180" s="111">
        <f>[3]С2.5!$AP$11</f>
        <v>0</v>
      </c>
    </row>
    <row r="181" spans="2:3" hidden="1" x14ac:dyDescent="0.2">
      <c r="B181" s="110">
        <f t="shared" si="0"/>
        <v>2058</v>
      </c>
      <c r="C181" s="111">
        <f>[3]С2.5!$AQ$11</f>
        <v>0</v>
      </c>
    </row>
    <row r="182" spans="2:3" hidden="1" x14ac:dyDescent="0.2">
      <c r="B182" s="110">
        <f t="shared" si="0"/>
        <v>2059</v>
      </c>
      <c r="C182" s="111">
        <f>[3]С2.5!$AR$11</f>
        <v>0</v>
      </c>
    </row>
    <row r="183" spans="2:3" hidden="1" x14ac:dyDescent="0.2">
      <c r="B183" s="110">
        <f t="shared" si="0"/>
        <v>2060</v>
      </c>
      <c r="C183" s="111">
        <f>[3]С2.5!$AS$11</f>
        <v>0</v>
      </c>
    </row>
    <row r="184" spans="2:3" hidden="1" x14ac:dyDescent="0.2">
      <c r="B184" s="110">
        <f t="shared" si="0"/>
        <v>2061</v>
      </c>
      <c r="C184" s="111">
        <f>[3]С2.5!$AT$11</f>
        <v>0</v>
      </c>
    </row>
    <row r="185" spans="2:3" hidden="1" x14ac:dyDescent="0.2">
      <c r="B185" s="110">
        <f t="shared" si="0"/>
        <v>2062</v>
      </c>
      <c r="C185" s="111">
        <f>[3]С2.5!$AU$11</f>
        <v>0</v>
      </c>
    </row>
    <row r="186" spans="2:3" hidden="1" x14ac:dyDescent="0.2">
      <c r="B186" s="110">
        <f t="shared" si="0"/>
        <v>2063</v>
      </c>
      <c r="C186" s="111">
        <f>[3]С2.5!$AV$11</f>
        <v>0</v>
      </c>
    </row>
    <row r="187" spans="2:3" hidden="1" x14ac:dyDescent="0.2">
      <c r="B187" s="110">
        <f t="shared" si="0"/>
        <v>2064</v>
      </c>
      <c r="C187" s="111">
        <f>[3]С2.5!$AW$11</f>
        <v>0</v>
      </c>
    </row>
    <row r="188" spans="2:3" hidden="1" x14ac:dyDescent="0.2">
      <c r="B188" s="110">
        <f t="shared" si="0"/>
        <v>2065</v>
      </c>
      <c r="C188" s="111">
        <f>[3]С2.5!$AX$11</f>
        <v>0</v>
      </c>
    </row>
    <row r="189" spans="2:3" hidden="1" x14ac:dyDescent="0.2">
      <c r="B189" s="110">
        <f t="shared" si="0"/>
        <v>2066</v>
      </c>
      <c r="C189" s="111">
        <f>[3]С2.5!$AY$11</f>
        <v>0</v>
      </c>
    </row>
    <row r="190" spans="2:3" hidden="1" x14ac:dyDescent="0.2">
      <c r="B190" s="110">
        <f t="shared" si="0"/>
        <v>2067</v>
      </c>
      <c r="C190" s="111">
        <f>[3]С2.5!$AZ$11</f>
        <v>0</v>
      </c>
    </row>
    <row r="191" spans="2:3" hidden="1" x14ac:dyDescent="0.2">
      <c r="B191" s="110">
        <f t="shared" si="0"/>
        <v>2068</v>
      </c>
      <c r="C191" s="111">
        <f>[3]С2.5!$BA$11</f>
        <v>0</v>
      </c>
    </row>
    <row r="192" spans="2:3" hidden="1" x14ac:dyDescent="0.2">
      <c r="B192" s="110">
        <f t="shared" si="0"/>
        <v>2069</v>
      </c>
      <c r="C192" s="111">
        <f>[3]С2.5!$BB$11</f>
        <v>0</v>
      </c>
    </row>
    <row r="193" spans="2:3" hidden="1" x14ac:dyDescent="0.2">
      <c r="B193" s="110">
        <f t="shared" si="0"/>
        <v>2070</v>
      </c>
      <c r="C193" s="111">
        <f>[3]С2.5!$BC$11</f>
        <v>0</v>
      </c>
    </row>
    <row r="194" spans="2:3" hidden="1" x14ac:dyDescent="0.2">
      <c r="B194" s="110">
        <f t="shared" si="0"/>
        <v>2071</v>
      </c>
      <c r="C194" s="111">
        <f>[3]С2.5!$BD$11</f>
        <v>0</v>
      </c>
    </row>
    <row r="195" spans="2:3" hidden="1" x14ac:dyDescent="0.2">
      <c r="B195" s="110">
        <f t="shared" si="0"/>
        <v>2072</v>
      </c>
      <c r="C195" s="111">
        <f>[3]С2.5!$BE$11</f>
        <v>0</v>
      </c>
    </row>
    <row r="196" spans="2:3" hidden="1" x14ac:dyDescent="0.2">
      <c r="B196" s="110">
        <f t="shared" si="0"/>
        <v>2073</v>
      </c>
      <c r="C196" s="111">
        <f>[3]С2.5!$BF$11</f>
        <v>0</v>
      </c>
    </row>
    <row r="197" spans="2:3" hidden="1" x14ac:dyDescent="0.2">
      <c r="B197" s="110">
        <f t="shared" si="0"/>
        <v>2074</v>
      </c>
      <c r="C197" s="111">
        <f>[3]С2.5!$BG$11</f>
        <v>0</v>
      </c>
    </row>
    <row r="198" spans="2:3" hidden="1" x14ac:dyDescent="0.2">
      <c r="B198" s="110">
        <f t="shared" si="0"/>
        <v>2075</v>
      </c>
      <c r="C198" s="111">
        <f>[3]С2.5!$BH$11</f>
        <v>0</v>
      </c>
    </row>
    <row r="199" spans="2:3" hidden="1" x14ac:dyDescent="0.2">
      <c r="B199" s="110">
        <f t="shared" si="0"/>
        <v>2076</v>
      </c>
      <c r="C199" s="111">
        <f>[3]С2.5!$BI$11</f>
        <v>0</v>
      </c>
    </row>
    <row r="200" spans="2:3" hidden="1" x14ac:dyDescent="0.2">
      <c r="B200" s="110">
        <f t="shared" si="0"/>
        <v>2077</v>
      </c>
      <c r="C200" s="111">
        <f>[3]С2.5!$BJ$11</f>
        <v>0</v>
      </c>
    </row>
    <row r="201" spans="2:3" hidden="1" x14ac:dyDescent="0.2">
      <c r="B201" s="110">
        <f t="shared" si="0"/>
        <v>2078</v>
      </c>
      <c r="C201" s="111">
        <f>[3]С2.5!$BK$11</f>
        <v>0</v>
      </c>
    </row>
    <row r="202" spans="2:3" hidden="1" x14ac:dyDescent="0.2">
      <c r="B202" s="110">
        <f t="shared" si="0"/>
        <v>2079</v>
      </c>
      <c r="C202" s="111">
        <f>[3]С2.5!$BL$11</f>
        <v>0</v>
      </c>
    </row>
    <row r="203" spans="2:3" hidden="1" x14ac:dyDescent="0.2">
      <c r="B203" s="110">
        <f t="shared" si="0"/>
        <v>2080</v>
      </c>
      <c r="C203" s="111">
        <f>[3]С2.5!$BM$11</f>
        <v>0</v>
      </c>
    </row>
    <row r="204" spans="2:3" hidden="1" x14ac:dyDescent="0.2">
      <c r="B204" s="110">
        <f t="shared" si="0"/>
        <v>2081</v>
      </c>
      <c r="C204" s="111">
        <f>[3]С2.5!$BN$11</f>
        <v>0</v>
      </c>
    </row>
    <row r="205" spans="2:3" hidden="1" x14ac:dyDescent="0.2">
      <c r="B205" s="110">
        <f t="shared" si="0"/>
        <v>2082</v>
      </c>
      <c r="C205" s="111">
        <f>[3]С2.5!$BO$11</f>
        <v>0</v>
      </c>
    </row>
    <row r="206" spans="2:3" hidden="1" x14ac:dyDescent="0.2">
      <c r="B206" s="110">
        <f t="shared" si="0"/>
        <v>2083</v>
      </c>
      <c r="C206" s="111">
        <f>[3]С2.5!$BP$11</f>
        <v>0</v>
      </c>
    </row>
    <row r="207" spans="2:3" hidden="1" x14ac:dyDescent="0.2">
      <c r="B207" s="110">
        <f t="shared" si="0"/>
        <v>2084</v>
      </c>
      <c r="C207" s="111">
        <f>[3]С2.5!$BQ$11</f>
        <v>0</v>
      </c>
    </row>
    <row r="208" spans="2:3" hidden="1" x14ac:dyDescent="0.2">
      <c r="B208" s="110">
        <f t="shared" si="0"/>
        <v>2085</v>
      </c>
      <c r="C208" s="111">
        <f>[3]С2.5!$BR$11</f>
        <v>0</v>
      </c>
    </row>
    <row r="209" spans="2:3" hidden="1" x14ac:dyDescent="0.2">
      <c r="B209" s="110">
        <f t="shared" ref="B209:B223" si="1">B208+1</f>
        <v>2086</v>
      </c>
      <c r="C209" s="111">
        <f>[3]С2.5!$BS$11</f>
        <v>0</v>
      </c>
    </row>
    <row r="210" spans="2:3" hidden="1" x14ac:dyDescent="0.2">
      <c r="B210" s="110">
        <f t="shared" si="1"/>
        <v>2087</v>
      </c>
      <c r="C210" s="111">
        <f>[3]С2.5!$BT$11</f>
        <v>0</v>
      </c>
    </row>
    <row r="211" spans="2:3" hidden="1" x14ac:dyDescent="0.2">
      <c r="B211" s="110">
        <f t="shared" si="1"/>
        <v>2088</v>
      </c>
      <c r="C211" s="111">
        <f>[3]С2.5!$BU$11</f>
        <v>0</v>
      </c>
    </row>
    <row r="212" spans="2:3" hidden="1" x14ac:dyDescent="0.2">
      <c r="B212" s="110">
        <f t="shared" si="1"/>
        <v>2089</v>
      </c>
      <c r="C212" s="111">
        <f>[3]С2.5!$BV$11</f>
        <v>0</v>
      </c>
    </row>
    <row r="213" spans="2:3" hidden="1" x14ac:dyDescent="0.2">
      <c r="B213" s="110">
        <f t="shared" si="1"/>
        <v>2090</v>
      </c>
      <c r="C213" s="111">
        <f>[3]С2.5!$BW$11</f>
        <v>0</v>
      </c>
    </row>
    <row r="214" spans="2:3" hidden="1" x14ac:dyDescent="0.2">
      <c r="B214" s="110">
        <f t="shared" si="1"/>
        <v>2091</v>
      </c>
      <c r="C214" s="111">
        <f>[3]С2.5!$BX$11</f>
        <v>0</v>
      </c>
    </row>
    <row r="215" spans="2:3" hidden="1" x14ac:dyDescent="0.2">
      <c r="B215" s="110">
        <f t="shared" si="1"/>
        <v>2092</v>
      </c>
      <c r="C215" s="111">
        <f>[3]С2.5!$BY$11</f>
        <v>0</v>
      </c>
    </row>
    <row r="216" spans="2:3" hidden="1" x14ac:dyDescent="0.2">
      <c r="B216" s="110">
        <f t="shared" si="1"/>
        <v>2093</v>
      </c>
      <c r="C216" s="111">
        <f>[3]С2.5!$BZ$11</f>
        <v>0</v>
      </c>
    </row>
    <row r="217" spans="2:3" hidden="1" x14ac:dyDescent="0.2">
      <c r="B217" s="110">
        <f t="shared" si="1"/>
        <v>2094</v>
      </c>
      <c r="C217" s="111">
        <f>[3]С2.5!$CA$11</f>
        <v>0</v>
      </c>
    </row>
    <row r="218" spans="2:3" hidden="1" x14ac:dyDescent="0.2">
      <c r="B218" s="110">
        <f t="shared" si="1"/>
        <v>2095</v>
      </c>
      <c r="C218" s="111">
        <f>[3]С2.5!$CB$11</f>
        <v>0</v>
      </c>
    </row>
    <row r="219" spans="2:3" hidden="1" x14ac:dyDescent="0.2">
      <c r="B219" s="110">
        <f t="shared" si="1"/>
        <v>2096</v>
      </c>
      <c r="C219" s="111">
        <f>[3]С2.5!$CC$11</f>
        <v>0</v>
      </c>
    </row>
    <row r="220" spans="2:3" hidden="1" x14ac:dyDescent="0.2">
      <c r="B220" s="110">
        <f t="shared" si="1"/>
        <v>2097</v>
      </c>
      <c r="C220" s="111">
        <f>[3]С2.5!$CD$11</f>
        <v>0</v>
      </c>
    </row>
    <row r="221" spans="2:3" hidden="1" x14ac:dyDescent="0.2">
      <c r="B221" s="110">
        <f t="shared" si="1"/>
        <v>2098</v>
      </c>
      <c r="C221" s="111">
        <f>[3]С2.5!$CE$11</f>
        <v>0</v>
      </c>
    </row>
    <row r="222" spans="2:3" hidden="1" x14ac:dyDescent="0.2">
      <c r="B222" s="110">
        <f t="shared" si="1"/>
        <v>2099</v>
      </c>
      <c r="C222" s="111">
        <f>[3]С2.5!$CF$11</f>
        <v>0</v>
      </c>
    </row>
    <row r="223" spans="2:3" ht="13.5" hidden="1" thickBot="1" x14ac:dyDescent="0.25">
      <c r="B223" s="112">
        <f t="shared" si="1"/>
        <v>2100</v>
      </c>
      <c r="C223" s="113">
        <f>[3]С2.5!$CG$11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50" r:id="rId4" name="Button 2">
              <controlPr defaultSize="0" print="0" autoFill="0" autoPict="0" macro="[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3"/>
      <c r="B1" s="163" t="s">
        <v>227</v>
      </c>
      <c r="C1" s="163"/>
    </row>
    <row r="2" spans="1:3" x14ac:dyDescent="0.2">
      <c r="A2" s="3"/>
      <c r="B2" s="4" t="s">
        <v>1</v>
      </c>
      <c r="C2" s="5">
        <v>45317</v>
      </c>
    </row>
    <row r="3" spans="1:3" x14ac:dyDescent="0.2">
      <c r="A3" s="3"/>
      <c r="B3" s="117" t="s">
        <v>2</v>
      </c>
      <c r="C3" s="7"/>
    </row>
    <row r="4" spans="1:3" ht="25.5" x14ac:dyDescent="0.2">
      <c r="A4" s="8"/>
      <c r="B4" s="9" t="str">
        <f>[5]И1!D13</f>
        <v>Субъект Российской Федерации</v>
      </c>
      <c r="C4" s="10" t="str">
        <f>[5]И1!E13</f>
        <v>Новосибирская область</v>
      </c>
    </row>
    <row r="5" spans="1:3" ht="48.6" customHeight="1" x14ac:dyDescent="0.2">
      <c r="A5" s="8"/>
      <c r="B5" s="9" t="str">
        <f>[5]И1!D14</f>
        <v>Тип муниципального образования (выберите из списка)</v>
      </c>
      <c r="C5" s="10" t="str">
        <f>[5]И1!E14</f>
        <v xml:space="preserve">село Верх-Коен, Искитимский муниципальный район </v>
      </c>
    </row>
    <row r="6" spans="1:3" x14ac:dyDescent="0.2">
      <c r="A6" s="8"/>
      <c r="B6" s="9" t="str">
        <f>IF([5]И1!E15="","",[5]И1!D15)</f>
        <v/>
      </c>
      <c r="C6" s="7" t="str">
        <f>IF([5]И1!E15="","",[5]И1!E15)</f>
        <v/>
      </c>
    </row>
    <row r="7" spans="1:3" x14ac:dyDescent="0.2">
      <c r="A7" s="8"/>
      <c r="B7" s="9" t="str">
        <f>[5]И1!D16</f>
        <v>Код ОКТМО</v>
      </c>
      <c r="C7" s="11" t="str">
        <f>[5]И1!E16</f>
        <v>(50615404101)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2024</v>
      </c>
    </row>
    <row r="10" spans="1:3" x14ac:dyDescent="0.2">
      <c r="A10" s="8"/>
      <c r="B10" s="9" t="str">
        <f>[5]И1!D9</f>
        <v>Период регулирования (i-1)-й</v>
      </c>
      <c r="C10" s="14">
        <f>[5]И1!E9</f>
        <v>2023</v>
      </c>
    </row>
    <row r="11" spans="1:3" x14ac:dyDescent="0.2">
      <c r="A11" s="8"/>
      <c r="B11" s="9" t="str">
        <f>[5]И1!D10</f>
        <v>Период регулирования (i-2)-й</v>
      </c>
      <c r="C11" s="14">
        <f>[5]И1!E10</f>
        <v>2022</v>
      </c>
    </row>
    <row r="12" spans="1:3" x14ac:dyDescent="0.2">
      <c r="A12" s="8"/>
      <c r="B12" s="9" t="str">
        <f>[5]И1!D11</f>
        <v>Базовый год (б)</v>
      </c>
      <c r="C12" s="14">
        <f>[5]И1!E11</f>
        <v>2019</v>
      </c>
    </row>
    <row r="13" spans="1:3" x14ac:dyDescent="0.2">
      <c r="A13" s="8"/>
      <c r="B13" s="9" t="str">
        <f>[5]И1!D18</f>
        <v>Вид топлива, использование которого преобладает в системе теплоснабжения</v>
      </c>
      <c r="C13" s="15" t="str">
        <f>[5]И1!E18</f>
        <v>Газ</v>
      </c>
    </row>
    <row r="14" spans="1:3" ht="26.25" customHeight="1" thickBot="1" x14ac:dyDescent="0.25">
      <c r="A14" s="167" t="s">
        <v>3</v>
      </c>
      <c r="B14" s="167"/>
      <c r="C14" s="16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2939.204068798766</v>
      </c>
    </row>
    <row r="18" spans="1:3" ht="42.75" x14ac:dyDescent="0.2">
      <c r="A18" s="22" t="s">
        <v>8</v>
      </c>
      <c r="B18" s="25" t="s">
        <v>9</v>
      </c>
      <c r="C18" s="26">
        <f>[5]С1!F12</f>
        <v>994.35037159416254</v>
      </c>
    </row>
    <row r="19" spans="1:3" ht="42.75" x14ac:dyDescent="0.2">
      <c r="A19" s="22" t="s">
        <v>10</v>
      </c>
      <c r="B19" s="25" t="s">
        <v>11</v>
      </c>
      <c r="C19" s="26">
        <f>[5]С2!F12</f>
        <v>1338.5714783459885</v>
      </c>
    </row>
    <row r="20" spans="1:3" ht="30" x14ac:dyDescent="0.2">
      <c r="A20" s="22" t="s">
        <v>12</v>
      </c>
      <c r="B20" s="25" t="s">
        <v>13</v>
      </c>
      <c r="C20" s="26">
        <f>[5]С3!F12</f>
        <v>317.98065232680995</v>
      </c>
    </row>
    <row r="21" spans="1:3" ht="42.75" x14ac:dyDescent="0.2">
      <c r="A21" s="22" t="s">
        <v>14</v>
      </c>
      <c r="B21" s="25" t="s">
        <v>228</v>
      </c>
      <c r="C21" s="26">
        <f>[5]С4!F12</f>
        <v>230.67011420241766</v>
      </c>
    </row>
    <row r="22" spans="1:3" ht="33" customHeight="1" x14ac:dyDescent="0.2">
      <c r="A22" s="22" t="s">
        <v>16</v>
      </c>
      <c r="B22" s="25" t="s">
        <v>229</v>
      </c>
      <c r="C22" s="26">
        <f>[5]С5!F12</f>
        <v>57.631452329387571</v>
      </c>
    </row>
    <row r="23" spans="1:3" ht="45.75" customHeight="1" thickBot="1" x14ac:dyDescent="0.25">
      <c r="A23" s="27" t="s">
        <v>18</v>
      </c>
      <c r="B23" s="140" t="s">
        <v>230</v>
      </c>
      <c r="C23" s="28">
        <f>[5]С6!F12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231</v>
      </c>
      <c r="C28" s="34">
        <f>[5]С1.1!E16</f>
        <v>7900</v>
      </c>
    </row>
    <row r="29" spans="1:3" ht="42.75" x14ac:dyDescent="0.2">
      <c r="A29" s="22" t="s">
        <v>10</v>
      </c>
      <c r="B29" s="33" t="s">
        <v>232</v>
      </c>
      <c r="C29" s="34">
        <f>[5]С1.1!E32</f>
        <v>5751.37</v>
      </c>
    </row>
    <row r="30" spans="1:3" ht="38.25" x14ac:dyDescent="0.2">
      <c r="A30" s="22" t="s">
        <v>233</v>
      </c>
      <c r="B30" s="33" t="s">
        <v>234</v>
      </c>
      <c r="C30" s="85" t="str">
        <f>[5]С1.1!E25</f>
        <v>ООО "Газпром газораспределение Томск"</v>
      </c>
    </row>
    <row r="31" spans="1:3" ht="38.25" x14ac:dyDescent="0.2">
      <c r="A31" s="22" t="s">
        <v>235</v>
      </c>
      <c r="B31" s="33" t="str">
        <f>[5]С1.1!D26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[5]С1.1!E26</f>
        <v>4699.5</v>
      </c>
    </row>
    <row r="32" spans="1:3" ht="25.5" x14ac:dyDescent="0.2">
      <c r="A32" s="22" t="s">
        <v>236</v>
      </c>
      <c r="B32" s="33" t="str">
        <f>[5]С1.1!D27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[5]С1.1!E27</f>
        <v>795.43</v>
      </c>
    </row>
    <row r="33" spans="1:3" ht="25.5" x14ac:dyDescent="0.2">
      <c r="A33" s="22" t="s">
        <v>237</v>
      </c>
      <c r="B33" s="33" t="str">
        <f>[5]С1.1!D28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[5]С1.1!E28</f>
        <v>136.54</v>
      </c>
    </row>
    <row r="34" spans="1:3" ht="38.25" x14ac:dyDescent="0.2">
      <c r="A34" s="22" t="s">
        <v>238</v>
      </c>
      <c r="B34" s="33" t="str">
        <f>[5]С1.1!D29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[5]С1.1!E29</f>
        <v>119.9</v>
      </c>
    </row>
    <row r="35" spans="1:3" ht="17.25" x14ac:dyDescent="0.2">
      <c r="A35" s="22" t="s">
        <v>12</v>
      </c>
      <c r="B35" s="33" t="s">
        <v>23</v>
      </c>
      <c r="C35" s="35">
        <f>[5]С1.1!E20</f>
        <v>8.5000000000000006E-2</v>
      </c>
    </row>
    <row r="36" spans="1:3" ht="17.25" x14ac:dyDescent="0.2">
      <c r="A36" s="22" t="s">
        <v>14</v>
      </c>
      <c r="B36" s="33" t="s">
        <v>24</v>
      </c>
      <c r="C36" s="35">
        <f>[5]С1.1!E21</f>
        <v>0.112</v>
      </c>
    </row>
    <row r="37" spans="1:3" ht="30" x14ac:dyDescent="0.2">
      <c r="A37" s="22" t="s">
        <v>16</v>
      </c>
      <c r="B37" s="36" t="s">
        <v>239</v>
      </c>
      <c r="C37" s="121">
        <f>[5]С1!F13</f>
        <v>156.1</v>
      </c>
    </row>
    <row r="38" spans="1:3" x14ac:dyDescent="0.2">
      <c r="A38" s="22" t="s">
        <v>18</v>
      </c>
      <c r="B38" s="36" t="s">
        <v>26</v>
      </c>
      <c r="C38" s="38">
        <f>[5]С1!F16</f>
        <v>7000</v>
      </c>
    </row>
    <row r="39" spans="1:3" ht="14.25" x14ac:dyDescent="0.2">
      <c r="A39" s="122" t="s">
        <v>27</v>
      </c>
      <c r="B39" s="39" t="s">
        <v>240</v>
      </c>
      <c r="C39" s="40">
        <f>[5]С1!F17</f>
        <v>1.1285714285714286</v>
      </c>
    </row>
    <row r="40" spans="1:3" ht="15.75" x14ac:dyDescent="0.2">
      <c r="A40" s="123" t="s">
        <v>29</v>
      </c>
      <c r="B40" s="42" t="s">
        <v>30</v>
      </c>
      <c r="C40" s="40">
        <f>[5]С1!F20</f>
        <v>22.307053372799995</v>
      </c>
    </row>
    <row r="41" spans="1:3" ht="15.75" x14ac:dyDescent="0.2">
      <c r="A41" s="123" t="s">
        <v>31</v>
      </c>
      <c r="B41" s="43" t="s">
        <v>32</v>
      </c>
      <c r="C41" s="40">
        <f>[5]С1!F21</f>
        <v>21.531904799999996</v>
      </c>
    </row>
    <row r="42" spans="1:3" ht="14.25" x14ac:dyDescent="0.2">
      <c r="A42" s="123" t="s">
        <v>33</v>
      </c>
      <c r="B42" s="44" t="s">
        <v>34</v>
      </c>
      <c r="C42" s="40">
        <f>[5]С1!F22</f>
        <v>1.036</v>
      </c>
    </row>
    <row r="43" spans="1:3" ht="53.25" thickBot="1" x14ac:dyDescent="0.25">
      <c r="A43" s="27" t="s">
        <v>35</v>
      </c>
      <c r="B43" s="45" t="s">
        <v>36</v>
      </c>
      <c r="C43" s="46" t="str">
        <f>[5]С1!F23</f>
        <v>-</v>
      </c>
    </row>
    <row r="44" spans="1:3" ht="13.5" thickBot="1" x14ac:dyDescent="0.25">
      <c r="A44" s="47"/>
      <c r="B44" s="75"/>
      <c r="C44" s="15"/>
    </row>
    <row r="45" spans="1:3" ht="30" customHeight="1" x14ac:dyDescent="0.2">
      <c r="A45" s="50" t="s">
        <v>37</v>
      </c>
      <c r="B45" s="165" t="s">
        <v>38</v>
      </c>
      <c r="C45" s="165"/>
    </row>
    <row r="46" spans="1:3" ht="25.5" x14ac:dyDescent="0.2">
      <c r="A46" s="22" t="s">
        <v>39</v>
      </c>
      <c r="B46" s="36" t="s">
        <v>40</v>
      </c>
      <c r="C46" s="51" t="str">
        <f>[5]С2.1!E12</f>
        <v>V</v>
      </c>
    </row>
    <row r="47" spans="1:3" ht="25.5" x14ac:dyDescent="0.2">
      <c r="A47" s="22" t="s">
        <v>41</v>
      </c>
      <c r="B47" s="33" t="s">
        <v>42</v>
      </c>
      <c r="C47" s="51" t="str">
        <f>[5]С2.1!E13</f>
        <v>6 и менее баллов</v>
      </c>
    </row>
    <row r="48" spans="1:3" ht="25.5" x14ac:dyDescent="0.2">
      <c r="A48" s="22" t="s">
        <v>43</v>
      </c>
      <c r="B48" s="33" t="s">
        <v>241</v>
      </c>
      <c r="C48" s="51" t="str">
        <f>[5]С2.1!E14</f>
        <v>от 200 до 500</v>
      </c>
    </row>
    <row r="49" spans="1:3" ht="25.5" x14ac:dyDescent="0.2">
      <c r="A49" s="22" t="s">
        <v>45</v>
      </c>
      <c r="B49" s="33" t="s">
        <v>242</v>
      </c>
      <c r="C49" s="52" t="str">
        <f>[5]С2.1!E15</f>
        <v>нет</v>
      </c>
    </row>
    <row r="50" spans="1:3" ht="30" x14ac:dyDescent="0.2">
      <c r="A50" s="22" t="s">
        <v>47</v>
      </c>
      <c r="B50" s="33" t="s">
        <v>48</v>
      </c>
      <c r="C50" s="34">
        <f>[5]С2!F18</f>
        <v>35106.652004551666</v>
      </c>
    </row>
    <row r="51" spans="1:3" ht="30" x14ac:dyDescent="0.2">
      <c r="A51" s="22" t="s">
        <v>49</v>
      </c>
      <c r="B51" s="53" t="s">
        <v>50</v>
      </c>
      <c r="C51" s="34">
        <f>IF([5]С2!F19&gt;0,[5]С2!F19,[5]С2!F20)</f>
        <v>23441.524932855718</v>
      </c>
    </row>
    <row r="52" spans="1:3" ht="25.5" x14ac:dyDescent="0.2">
      <c r="A52" s="22" t="s">
        <v>51</v>
      </c>
      <c r="B52" s="54" t="s">
        <v>52</v>
      </c>
      <c r="C52" s="34">
        <f>[5]С2.1!E20</f>
        <v>-38</v>
      </c>
    </row>
    <row r="53" spans="1:3" ht="25.5" x14ac:dyDescent="0.2">
      <c r="A53" s="22" t="s">
        <v>53</v>
      </c>
      <c r="B53" s="54" t="s">
        <v>54</v>
      </c>
      <c r="C53" s="34" t="str">
        <f>[5]С2.1!E23</f>
        <v>нет</v>
      </c>
    </row>
    <row r="54" spans="1:3" ht="38.25" x14ac:dyDescent="0.2">
      <c r="A54" s="22" t="s">
        <v>55</v>
      </c>
      <c r="B54" s="55" t="s">
        <v>56</v>
      </c>
      <c r="C54" s="34">
        <f>[5]С2.2!E10</f>
        <v>1287</v>
      </c>
    </row>
    <row r="55" spans="1:3" ht="25.5" x14ac:dyDescent="0.2">
      <c r="A55" s="22" t="s">
        <v>57</v>
      </c>
      <c r="B55" s="56" t="s">
        <v>58</v>
      </c>
      <c r="C55" s="34">
        <f>[5]С2.2!E12</f>
        <v>5.97</v>
      </c>
    </row>
    <row r="56" spans="1:3" ht="52.5" x14ac:dyDescent="0.2">
      <c r="A56" s="22" t="s">
        <v>59</v>
      </c>
      <c r="B56" s="57" t="s">
        <v>60</v>
      </c>
      <c r="C56" s="34">
        <f>[5]С2.2!E13</f>
        <v>1</v>
      </c>
    </row>
    <row r="57" spans="1:3" ht="27.75" x14ac:dyDescent="0.2">
      <c r="A57" s="22" t="s">
        <v>61</v>
      </c>
      <c r="B57" s="56" t="s">
        <v>62</v>
      </c>
      <c r="C57" s="34">
        <f>[5]С2.2!E14</f>
        <v>12104</v>
      </c>
    </row>
    <row r="58" spans="1:3" ht="25.5" x14ac:dyDescent="0.2">
      <c r="A58" s="22" t="s">
        <v>63</v>
      </c>
      <c r="B58" s="57" t="s">
        <v>64</v>
      </c>
      <c r="C58" s="35">
        <f>[5]С2.2!E15</f>
        <v>4.8000000000000001E-2</v>
      </c>
    </row>
    <row r="59" spans="1:3" x14ac:dyDescent="0.2">
      <c r="A59" s="22" t="s">
        <v>65</v>
      </c>
      <c r="B59" s="57" t="s">
        <v>66</v>
      </c>
      <c r="C59" s="124">
        <f>[5]С2.2!E16</f>
        <v>1</v>
      </c>
    </row>
    <row r="60" spans="1:3" ht="15.75" x14ac:dyDescent="0.2">
      <c r="A60" s="22" t="s">
        <v>67</v>
      </c>
      <c r="B60" s="58" t="s">
        <v>68</v>
      </c>
      <c r="C60" s="34">
        <f>[5]С2!F21</f>
        <v>1</v>
      </c>
    </row>
    <row r="61" spans="1:3" ht="30" x14ac:dyDescent="0.2">
      <c r="A61" s="59" t="s">
        <v>69</v>
      </c>
      <c r="B61" s="33" t="s">
        <v>243</v>
      </c>
      <c r="C61" s="34">
        <f>[5]С2!F13</f>
        <v>105136.23090983224</v>
      </c>
    </row>
    <row r="62" spans="1:3" ht="30" x14ac:dyDescent="0.2">
      <c r="A62" s="59" t="s">
        <v>71</v>
      </c>
      <c r="B62" s="60" t="s">
        <v>244</v>
      </c>
      <c r="C62" s="34">
        <f>[5]С2!F14</f>
        <v>64899</v>
      </c>
    </row>
    <row r="63" spans="1:3" ht="15.75" x14ac:dyDescent="0.2">
      <c r="A63" s="59" t="s">
        <v>73</v>
      </c>
      <c r="B63" s="60" t="s">
        <v>74</v>
      </c>
      <c r="C63" s="40">
        <f>[5]С2!F15</f>
        <v>1.071</v>
      </c>
    </row>
    <row r="64" spans="1:3" ht="15.75" x14ac:dyDescent="0.2">
      <c r="A64" s="59" t="s">
        <v>75</v>
      </c>
      <c r="B64" s="60" t="s">
        <v>76</v>
      </c>
      <c r="C64" s="125">
        <f>[5]С2!F16</f>
        <v>1</v>
      </c>
    </row>
    <row r="65" spans="1:3" ht="17.25" x14ac:dyDescent="0.2">
      <c r="A65" s="59" t="s">
        <v>77</v>
      </c>
      <c r="B65" s="60" t="s">
        <v>78</v>
      </c>
      <c r="C65" s="126">
        <f>[5]С2!F17</f>
        <v>1.01</v>
      </c>
    </row>
    <row r="66" spans="1:3" s="63" customFormat="1" ht="14.25" x14ac:dyDescent="0.2">
      <c r="A66" s="59" t="s">
        <v>79</v>
      </c>
      <c r="B66" s="61" t="s">
        <v>80</v>
      </c>
      <c r="C66" s="62">
        <f>[5]С2!F35</f>
        <v>10</v>
      </c>
    </row>
    <row r="67" spans="1:3" ht="30" x14ac:dyDescent="0.2">
      <c r="A67" s="59" t="s">
        <v>81</v>
      </c>
      <c r="B67" s="64" t="s">
        <v>82</v>
      </c>
      <c r="C67" s="34">
        <f>[5]С2!F28</f>
        <v>331.04604307653443</v>
      </c>
    </row>
    <row r="68" spans="1:3" ht="17.25" x14ac:dyDescent="0.2">
      <c r="A68" s="59" t="s">
        <v>83</v>
      </c>
      <c r="B68" s="53" t="s">
        <v>245</v>
      </c>
      <c r="C68" s="40">
        <f>[5]С2!F29</f>
        <v>0.44209422600000003</v>
      </c>
    </row>
    <row r="69" spans="1:3" ht="17.25" x14ac:dyDescent="0.2">
      <c r="A69" s="59" t="s">
        <v>85</v>
      </c>
      <c r="B69" s="58" t="s">
        <v>246</v>
      </c>
      <c r="C69" s="62">
        <f>[5]С2!F30</f>
        <v>500</v>
      </c>
    </row>
    <row r="70" spans="1:3" ht="42.75" x14ac:dyDescent="0.2">
      <c r="A70" s="59" t="s">
        <v>87</v>
      </c>
      <c r="B70" s="33" t="s">
        <v>247</v>
      </c>
      <c r="C70" s="34">
        <f>[5]С2!F22</f>
        <v>39638.324046481182</v>
      </c>
    </row>
    <row r="71" spans="1:3" ht="30" x14ac:dyDescent="0.2">
      <c r="A71" s="59" t="s">
        <v>89</v>
      </c>
      <c r="B71" s="60" t="s">
        <v>248</v>
      </c>
      <c r="C71" s="34">
        <f>[5]С2!F23</f>
        <v>21</v>
      </c>
    </row>
    <row r="72" spans="1:3" ht="30" x14ac:dyDescent="0.2">
      <c r="A72" s="59" t="s">
        <v>91</v>
      </c>
      <c r="B72" s="53" t="s">
        <v>92</v>
      </c>
      <c r="C72" s="34">
        <f>[5]С2.1!E28</f>
        <v>14036.09995</v>
      </c>
    </row>
    <row r="73" spans="1:3" ht="38.25" x14ac:dyDescent="0.2">
      <c r="A73" s="59" t="s">
        <v>93</v>
      </c>
      <c r="B73" s="65" t="s">
        <v>94</v>
      </c>
      <c r="C73" s="52">
        <f>[5]С2.3!E21</f>
        <v>0</v>
      </c>
    </row>
    <row r="74" spans="1:3" ht="25.5" x14ac:dyDescent="0.2">
      <c r="A74" s="59" t="s">
        <v>95</v>
      </c>
      <c r="B74" s="66" t="s">
        <v>96</v>
      </c>
      <c r="C74" s="67">
        <f>[5]С2.3!E11</f>
        <v>5.45</v>
      </c>
    </row>
    <row r="75" spans="1:3" ht="25.5" x14ac:dyDescent="0.2">
      <c r="A75" s="59" t="s">
        <v>97</v>
      </c>
      <c r="B75" s="66" t="s">
        <v>98</v>
      </c>
      <c r="C75" s="62">
        <f>[5]С2.3!E13</f>
        <v>300</v>
      </c>
    </row>
    <row r="76" spans="1:3" ht="25.5" x14ac:dyDescent="0.2">
      <c r="A76" s="59" t="s">
        <v>99</v>
      </c>
      <c r="B76" s="65" t="s">
        <v>100</v>
      </c>
      <c r="C76" s="68">
        <f>IF([5]С2.3!E22&gt;0,[5]С2.3!E22,[5]С2.3!E14)</f>
        <v>61211</v>
      </c>
    </row>
    <row r="77" spans="1:3" ht="38.25" x14ac:dyDescent="0.2">
      <c r="A77" s="59" t="s">
        <v>101</v>
      </c>
      <c r="B77" s="65" t="s">
        <v>102</v>
      </c>
      <c r="C77" s="68">
        <f>IF([5]С2.3!E23&gt;0,[5]С2.3!E23,[5]С2.3!E15)</f>
        <v>45675</v>
      </c>
    </row>
    <row r="78" spans="1:3" ht="30" x14ac:dyDescent="0.2">
      <c r="A78" s="59" t="s">
        <v>103</v>
      </c>
      <c r="B78" s="53" t="s">
        <v>104</v>
      </c>
      <c r="C78" s="34">
        <f>[5]С2.1!E29</f>
        <v>9518.3274000000001</v>
      </c>
    </row>
    <row r="79" spans="1:3" ht="38.25" x14ac:dyDescent="0.2">
      <c r="A79" s="59" t="s">
        <v>105</v>
      </c>
      <c r="B79" s="65" t="s">
        <v>106</v>
      </c>
      <c r="C79" s="52">
        <f>[5]С2.3!E25</f>
        <v>0</v>
      </c>
    </row>
    <row r="80" spans="1:3" ht="25.5" x14ac:dyDescent="0.2">
      <c r="A80" s="59" t="s">
        <v>107</v>
      </c>
      <c r="B80" s="66" t="s">
        <v>108</v>
      </c>
      <c r="C80" s="67">
        <f>[5]С2.3!E12</f>
        <v>0.2</v>
      </c>
    </row>
    <row r="81" spans="1:3" ht="25.5" x14ac:dyDescent="0.2">
      <c r="A81" s="59" t="s">
        <v>109</v>
      </c>
      <c r="B81" s="66" t="s">
        <v>98</v>
      </c>
      <c r="C81" s="62">
        <f>[5]С2.3!E13</f>
        <v>300</v>
      </c>
    </row>
    <row r="82" spans="1:3" ht="25.5" x14ac:dyDescent="0.2">
      <c r="A82" s="59" t="s">
        <v>110</v>
      </c>
      <c r="B82" s="69" t="s">
        <v>111</v>
      </c>
      <c r="C82" s="68">
        <f>IF([5]С2.3!E26&gt;0,[5]С2.3!E26,[5]С2.3!E16)</f>
        <v>65637</v>
      </c>
    </row>
    <row r="83" spans="1:3" ht="38.25" x14ac:dyDescent="0.2">
      <c r="A83" s="59" t="s">
        <v>112</v>
      </c>
      <c r="B83" s="69" t="s">
        <v>113</v>
      </c>
      <c r="C83" s="68">
        <f>IF([5]С2.3!E27&gt;0,[5]С2.3!E27,[5]С2.3!E17)</f>
        <v>31684</v>
      </c>
    </row>
    <row r="84" spans="1:3" ht="30" x14ac:dyDescent="0.2">
      <c r="A84" s="59" t="s">
        <v>249</v>
      </c>
      <c r="B84" s="60" t="s">
        <v>250</v>
      </c>
      <c r="C84" s="68">
        <f>IF([5]С2.1!E19&gt;0,[5]С2.1!E19,[5]С2!F26)</f>
        <v>2892</v>
      </c>
    </row>
    <row r="85" spans="1:3" ht="17.25" x14ac:dyDescent="0.2">
      <c r="A85" s="59" t="s">
        <v>114</v>
      </c>
      <c r="B85" s="33" t="s">
        <v>115</v>
      </c>
      <c r="C85" s="35">
        <f>[5]С2!F31</f>
        <v>9.5962865259740182E-2</v>
      </c>
    </row>
    <row r="86" spans="1:3" ht="30" x14ac:dyDescent="0.2">
      <c r="A86" s="59" t="s">
        <v>116</v>
      </c>
      <c r="B86" s="53" t="s">
        <v>117</v>
      </c>
      <c r="C86" s="70">
        <f>[5]С2!F32</f>
        <v>8.4029304029304031E-2</v>
      </c>
    </row>
    <row r="87" spans="1:3" ht="17.25" x14ac:dyDescent="0.2">
      <c r="A87" s="59" t="s">
        <v>118</v>
      </c>
      <c r="B87" s="71" t="s">
        <v>119</v>
      </c>
      <c r="C87" s="35">
        <f>[5]С2!F33</f>
        <v>0.13880000000000001</v>
      </c>
    </row>
    <row r="88" spans="1:3" s="63" customFormat="1" ht="18" thickBot="1" x14ac:dyDescent="0.25">
      <c r="A88" s="72" t="s">
        <v>120</v>
      </c>
      <c r="B88" s="73" t="s">
        <v>121</v>
      </c>
      <c r="C88" s="74">
        <f>[5]С2!F34</f>
        <v>0.12640000000000001</v>
      </c>
    </row>
    <row r="89" spans="1:3" ht="13.5" thickBot="1" x14ac:dyDescent="0.25">
      <c r="A89" s="47"/>
      <c r="B89" s="75"/>
      <c r="C89" s="15"/>
    </row>
    <row r="90" spans="1:3" s="63" customFormat="1" ht="30" customHeight="1" x14ac:dyDescent="0.2">
      <c r="A90" s="76" t="s">
        <v>122</v>
      </c>
      <c r="B90" s="165" t="s">
        <v>123</v>
      </c>
      <c r="C90" s="165"/>
    </row>
    <row r="91" spans="1:3" s="63" customFormat="1" ht="30" x14ac:dyDescent="0.2">
      <c r="A91" s="77" t="s">
        <v>124</v>
      </c>
      <c r="B91" s="33" t="s">
        <v>125</v>
      </c>
      <c r="C91" s="34">
        <f>[5]С3!F14</f>
        <v>4207.4782939208517</v>
      </c>
    </row>
    <row r="92" spans="1:3" s="63" customFormat="1" ht="42.75" x14ac:dyDescent="0.2">
      <c r="A92" s="77" t="s">
        <v>126</v>
      </c>
      <c r="B92" s="53" t="s">
        <v>127</v>
      </c>
      <c r="C92" s="78">
        <f>[5]С3!F15</f>
        <v>0.2</v>
      </c>
    </row>
    <row r="93" spans="1:3" s="63" customFormat="1" ht="14.25" x14ac:dyDescent="0.2">
      <c r="A93" s="77" t="s">
        <v>128</v>
      </c>
      <c r="B93" s="79" t="s">
        <v>129</v>
      </c>
      <c r="C93" s="62">
        <f>[5]С3!F18</f>
        <v>15</v>
      </c>
    </row>
    <row r="94" spans="1:3" s="63" customFormat="1" ht="17.25" x14ac:dyDescent="0.2">
      <c r="A94" s="77" t="s">
        <v>130</v>
      </c>
      <c r="B94" s="33" t="s">
        <v>131</v>
      </c>
      <c r="C94" s="34">
        <f>[5]С3!F19</f>
        <v>2638.2577020926874</v>
      </c>
    </row>
    <row r="95" spans="1:3" s="63" customFormat="1" ht="55.5" x14ac:dyDescent="0.2">
      <c r="A95" s="77" t="s">
        <v>132</v>
      </c>
      <c r="B95" s="53" t="s">
        <v>133</v>
      </c>
      <c r="C95" s="80">
        <f>[5]С3!F20</f>
        <v>2.1999999999999999E-2</v>
      </c>
    </row>
    <row r="96" spans="1:3" s="63" customFormat="1" ht="14.25" x14ac:dyDescent="0.2">
      <c r="A96" s="77" t="s">
        <v>134</v>
      </c>
      <c r="B96" s="58" t="s">
        <v>80</v>
      </c>
      <c r="C96" s="62">
        <f>[5]С3!F21</f>
        <v>10</v>
      </c>
    </row>
    <row r="97" spans="1:3" s="63" customFormat="1" ht="17.25" x14ac:dyDescent="0.2">
      <c r="A97" s="77" t="s">
        <v>135</v>
      </c>
      <c r="B97" s="33" t="s">
        <v>136</v>
      </c>
      <c r="C97" s="34">
        <f>[5]С3!F22</f>
        <v>0.99313812922960332</v>
      </c>
    </row>
    <row r="98" spans="1:3" s="63" customFormat="1" ht="55.5" x14ac:dyDescent="0.2">
      <c r="A98" s="77" t="s">
        <v>137</v>
      </c>
      <c r="B98" s="53" t="s">
        <v>138</v>
      </c>
      <c r="C98" s="80">
        <f>[5]С3!F23</f>
        <v>3.0000000000000001E-3</v>
      </c>
    </row>
    <row r="99" spans="1:3" s="63" customFormat="1" ht="30.75" thickBot="1" x14ac:dyDescent="0.25">
      <c r="A99" s="81" t="s">
        <v>139</v>
      </c>
      <c r="B99" s="82" t="s">
        <v>82</v>
      </c>
      <c r="C99" s="83">
        <f>[5]С3!F24</f>
        <v>331.04604307653443</v>
      </c>
    </row>
    <row r="100" spans="1:3" ht="13.5" thickBot="1" x14ac:dyDescent="0.25">
      <c r="A100" s="47"/>
      <c r="B100" s="75"/>
      <c r="C100" s="15"/>
    </row>
    <row r="101" spans="1:3" ht="30" customHeight="1" x14ac:dyDescent="0.2">
      <c r="A101" s="84" t="s">
        <v>141</v>
      </c>
      <c r="B101" s="165" t="s">
        <v>142</v>
      </c>
      <c r="C101" s="165"/>
    </row>
    <row r="102" spans="1:3" ht="30" x14ac:dyDescent="0.2">
      <c r="A102" s="59" t="s">
        <v>143</v>
      </c>
      <c r="B102" s="33" t="s">
        <v>251</v>
      </c>
      <c r="C102" s="34">
        <f>[5]С4!F16</f>
        <v>832.33500000000004</v>
      </c>
    </row>
    <row r="103" spans="1:3" ht="30" x14ac:dyDescent="0.2">
      <c r="A103" s="59" t="s">
        <v>145</v>
      </c>
      <c r="B103" s="58" t="s">
        <v>252</v>
      </c>
      <c r="C103" s="34">
        <f>[5]С4!F17</f>
        <v>43385</v>
      </c>
    </row>
    <row r="104" spans="1:3" ht="17.25" x14ac:dyDescent="0.2">
      <c r="A104" s="59" t="s">
        <v>147</v>
      </c>
      <c r="B104" s="58" t="s">
        <v>148</v>
      </c>
      <c r="C104" s="40">
        <f>[5]С4!F18</f>
        <v>1.4999999999999999E-2</v>
      </c>
    </row>
    <row r="105" spans="1:3" ht="30" x14ac:dyDescent="0.2">
      <c r="A105" s="59" t="s">
        <v>149</v>
      </c>
      <c r="B105" s="58" t="s">
        <v>150</v>
      </c>
      <c r="C105" s="34">
        <f>[5]С4!F19</f>
        <v>12104</v>
      </c>
    </row>
    <row r="106" spans="1:3" ht="31.5" x14ac:dyDescent="0.2">
      <c r="A106" s="59" t="s">
        <v>151</v>
      </c>
      <c r="B106" s="58" t="s">
        <v>152</v>
      </c>
      <c r="C106" s="40">
        <f>[5]С4!F20</f>
        <v>1.4999999999999999E-2</v>
      </c>
    </row>
    <row r="107" spans="1:3" ht="30" x14ac:dyDescent="0.2">
      <c r="A107" s="59" t="s">
        <v>153</v>
      </c>
      <c r="B107" s="33" t="s">
        <v>253</v>
      </c>
      <c r="C107" s="34">
        <f>[5]С4!F21</f>
        <v>1221.9019409821399</v>
      </c>
    </row>
    <row r="108" spans="1:3" ht="45.6" customHeight="1" x14ac:dyDescent="0.2">
      <c r="A108" s="59" t="s">
        <v>155</v>
      </c>
      <c r="B108" s="53" t="s">
        <v>156</v>
      </c>
      <c r="C108" s="85" t="str">
        <f>IF([5]С4.2!F8="да",[5]С4.2!D21,[5]С4.2!D15)</f>
        <v>АО "Новосибирскэнергосбыт"</v>
      </c>
    </row>
    <row r="109" spans="1:3" ht="68.25" customHeight="1" x14ac:dyDescent="0.2">
      <c r="A109" s="59" t="s">
        <v>157</v>
      </c>
      <c r="B109" s="53" t="s">
        <v>158</v>
      </c>
      <c r="C109" s="34">
        <f>[5]С4!F22</f>
        <v>3.6112641666666665</v>
      </c>
    </row>
    <row r="110" spans="1:3" ht="30" x14ac:dyDescent="0.2">
      <c r="A110" s="59" t="s">
        <v>159</v>
      </c>
      <c r="B110" s="58" t="s">
        <v>254</v>
      </c>
      <c r="C110" s="62">
        <f>[5]С4!F23</f>
        <v>110</v>
      </c>
    </row>
    <row r="111" spans="1:3" ht="14.25" x14ac:dyDescent="0.2">
      <c r="A111" s="59" t="s">
        <v>161</v>
      </c>
      <c r="B111" s="53" t="s">
        <v>162</v>
      </c>
      <c r="C111" s="34">
        <f>[5]С4!F24</f>
        <v>8497.1999999999989</v>
      </c>
    </row>
    <row r="112" spans="1:3" ht="14.25" x14ac:dyDescent="0.2">
      <c r="A112" s="59" t="s">
        <v>163</v>
      </c>
      <c r="B112" s="58" t="s">
        <v>164</v>
      </c>
      <c r="C112" s="40">
        <f>[5]С4!F25</f>
        <v>0.36199999999999999</v>
      </c>
    </row>
    <row r="113" spans="1:3" ht="17.25" x14ac:dyDescent="0.2">
      <c r="A113" s="59" t="s">
        <v>165</v>
      </c>
      <c r="B113" s="33" t="s">
        <v>166</v>
      </c>
      <c r="C113" s="34">
        <f>[5]С4!F26</f>
        <v>40.123830000000005</v>
      </c>
    </row>
    <row r="114" spans="1:3" ht="25.5" x14ac:dyDescent="0.2">
      <c r="A114" s="59" t="s">
        <v>167</v>
      </c>
      <c r="B114" s="53" t="s">
        <v>94</v>
      </c>
      <c r="C114" s="85">
        <f>[5]С4.3!E16</f>
        <v>0</v>
      </c>
    </row>
    <row r="115" spans="1:3" ht="25.5" x14ac:dyDescent="0.2">
      <c r="A115" s="59" t="s">
        <v>168</v>
      </c>
      <c r="B115" s="53" t="s">
        <v>169</v>
      </c>
      <c r="C115" s="34">
        <f>[5]С4.3!E17</f>
        <v>18.059999999999999</v>
      </c>
    </row>
    <row r="116" spans="1:3" ht="38.25" x14ac:dyDescent="0.2">
      <c r="A116" s="59" t="s">
        <v>170</v>
      </c>
      <c r="B116" s="53" t="s">
        <v>106</v>
      </c>
      <c r="C116" s="85">
        <f>[5]С4.3!E18</f>
        <v>0</v>
      </c>
    </row>
    <row r="117" spans="1:3" x14ac:dyDescent="0.2">
      <c r="A117" s="59" t="s">
        <v>171</v>
      </c>
      <c r="B117" s="53" t="s">
        <v>172</v>
      </c>
      <c r="C117" s="34">
        <f>[5]С4.3!E19</f>
        <v>71.67</v>
      </c>
    </row>
    <row r="118" spans="1:3" x14ac:dyDescent="0.2">
      <c r="A118" s="59" t="s">
        <v>173</v>
      </c>
      <c r="B118" s="58" t="s">
        <v>174</v>
      </c>
      <c r="C118" s="62">
        <f>[5]С4.3!E11</f>
        <v>1871</v>
      </c>
    </row>
    <row r="119" spans="1:3" x14ac:dyDescent="0.2">
      <c r="A119" s="59" t="s">
        <v>175</v>
      </c>
      <c r="B119" s="58" t="s">
        <v>176</v>
      </c>
      <c r="C119" s="52">
        <f>[5]С4.3!E12</f>
        <v>61</v>
      </c>
    </row>
    <row r="120" spans="1:3" x14ac:dyDescent="0.2">
      <c r="A120" s="59" t="s">
        <v>177</v>
      </c>
      <c r="B120" s="58" t="s">
        <v>178</v>
      </c>
      <c r="C120" s="52">
        <f>[5]С4.3!E13</f>
        <v>73</v>
      </c>
    </row>
    <row r="121" spans="1:3" ht="30" x14ac:dyDescent="0.2">
      <c r="A121" s="59" t="s">
        <v>179</v>
      </c>
      <c r="B121" s="33" t="s">
        <v>255</v>
      </c>
      <c r="C121" s="34">
        <f>[5]С4!F27</f>
        <v>904.62444244124072</v>
      </c>
    </row>
    <row r="122" spans="1:3" ht="25.5" x14ac:dyDescent="0.2">
      <c r="A122" s="59" t="s">
        <v>181</v>
      </c>
      <c r="B122" s="53" t="s">
        <v>256</v>
      </c>
      <c r="C122" s="34">
        <f>[5]С4!F28</f>
        <v>694.79603874135228</v>
      </c>
    </row>
    <row r="123" spans="1:3" ht="42.75" x14ac:dyDescent="0.2">
      <c r="A123" s="59" t="s">
        <v>183</v>
      </c>
      <c r="B123" s="53" t="s">
        <v>184</v>
      </c>
      <c r="C123" s="34">
        <f>[5]С4!F29</f>
        <v>209.82840369988838</v>
      </c>
    </row>
    <row r="124" spans="1:3" ht="30.75" thickBot="1" x14ac:dyDescent="0.25">
      <c r="A124" s="72" t="s">
        <v>185</v>
      </c>
      <c r="B124" s="90" t="s">
        <v>186</v>
      </c>
      <c r="C124" s="83">
        <f>[5]С4!F30</f>
        <v>475.40681839948314</v>
      </c>
    </row>
    <row r="125" spans="1:3" s="89" customFormat="1" ht="13.5" thickBot="1" x14ac:dyDescent="0.25">
      <c r="A125" s="47"/>
      <c r="B125" s="75"/>
      <c r="C125" s="15"/>
    </row>
    <row r="126" spans="1:3" s="63" customFormat="1" ht="30" customHeight="1" x14ac:dyDescent="0.2">
      <c r="A126" s="76" t="s">
        <v>195</v>
      </c>
      <c r="B126" s="165" t="s">
        <v>196</v>
      </c>
      <c r="C126" s="165"/>
    </row>
    <row r="127" spans="1:3" ht="30.6" customHeight="1" thickBot="1" x14ac:dyDescent="0.25">
      <c r="A127" s="27" t="s">
        <v>197</v>
      </c>
      <c r="B127" s="90" t="s">
        <v>198</v>
      </c>
      <c r="C127" s="83">
        <f>[5]С5!F17</f>
        <v>0.02</v>
      </c>
    </row>
    <row r="128" spans="1:3" s="89" customFormat="1" ht="13.5" thickBot="1" x14ac:dyDescent="0.25">
      <c r="A128" s="47"/>
      <c r="B128" s="75"/>
      <c r="C128" s="15"/>
    </row>
    <row r="129" spans="1:4" ht="42.75" customHeight="1" x14ac:dyDescent="0.2">
      <c r="A129" s="84" t="s">
        <v>199</v>
      </c>
      <c r="B129" s="165" t="s">
        <v>200</v>
      </c>
      <c r="C129" s="165"/>
    </row>
    <row r="130" spans="1:4" ht="68.25" x14ac:dyDescent="0.2">
      <c r="A130" s="59" t="s">
        <v>201</v>
      </c>
      <c r="B130" s="91" t="s">
        <v>202</v>
      </c>
      <c r="C130" s="34" t="str">
        <f>IF([5]С6.1!E11="нет",[5]С6!F13,"")</f>
        <v/>
      </c>
    </row>
    <row r="131" spans="1:4" ht="42.75" x14ac:dyDescent="0.2">
      <c r="A131" s="59" t="s">
        <v>204</v>
      </c>
      <c r="B131" s="86" t="s">
        <v>205</v>
      </c>
      <c r="C131" s="92" t="str">
        <f>IF([5]С6.1!E12="нет",[5]С6.1!E17,"")</f>
        <v/>
      </c>
    </row>
    <row r="132" spans="1:4" ht="68.25" x14ac:dyDescent="0.2">
      <c r="A132" s="59" t="s">
        <v>206</v>
      </c>
      <c r="B132" s="91" t="s">
        <v>207</v>
      </c>
      <c r="C132" s="127" t="str">
        <f>IF([5]С6.1!E18="нет",[5]С6!F19,"")</f>
        <v/>
      </c>
    </row>
    <row r="133" spans="1:4" ht="55.5" x14ac:dyDescent="0.2">
      <c r="A133" s="59" t="s">
        <v>208</v>
      </c>
      <c r="B133" s="86" t="s">
        <v>209</v>
      </c>
      <c r="C133" s="35" t="str">
        <f>IF([5]С6.1!E18="нет",[5]С6.1!E19,"")</f>
        <v/>
      </c>
    </row>
    <row r="134" spans="1:4" ht="61.5" customHeight="1" x14ac:dyDescent="0.2">
      <c r="A134" s="59" t="s">
        <v>210</v>
      </c>
      <c r="B134" s="86" t="s">
        <v>257</v>
      </c>
      <c r="C134" s="35" t="str">
        <f>IF([5]С6.1!E18="нет",[5]С6.1!E22,"")</f>
        <v/>
      </c>
    </row>
    <row r="135" spans="1:4" ht="69" thickBot="1" x14ac:dyDescent="0.25">
      <c r="A135" s="72" t="s">
        <v>212</v>
      </c>
      <c r="B135" s="98" t="s">
        <v>213</v>
      </c>
      <c r="C135" s="74" t="str">
        <f>IF([5]С6.1!E18="нет",[5]С6.1!E23,"")</f>
        <v/>
      </c>
    </row>
    <row r="136" spans="1:4" s="89" customFormat="1" ht="13.5" thickBot="1" x14ac:dyDescent="0.25">
      <c r="A136" s="47"/>
      <c r="B136" s="75"/>
      <c r="C136" s="15"/>
    </row>
    <row r="137" spans="1:4" ht="15.75" x14ac:dyDescent="0.2">
      <c r="A137" s="84" t="s">
        <v>214</v>
      </c>
      <c r="B137" s="99" t="s">
        <v>215</v>
      </c>
      <c r="C137" s="100">
        <f>[5]С2!F39</f>
        <v>21.531904799999996</v>
      </c>
    </row>
    <row r="138" spans="1:4" ht="14.25" x14ac:dyDescent="0.2">
      <c r="A138" s="59" t="s">
        <v>216</v>
      </c>
      <c r="B138" s="58" t="s">
        <v>217</v>
      </c>
      <c r="C138" s="34">
        <f>[5]С2!F40</f>
        <v>7</v>
      </c>
    </row>
    <row r="139" spans="1:4" ht="17.25" x14ac:dyDescent="0.2">
      <c r="A139" s="59" t="s">
        <v>218</v>
      </c>
      <c r="B139" s="58" t="s">
        <v>219</v>
      </c>
      <c r="C139" s="34">
        <f>[5]С2!F42</f>
        <v>0.97</v>
      </c>
    </row>
    <row r="140" spans="1:4" ht="15" thickBot="1" x14ac:dyDescent="0.25">
      <c r="A140" s="72" t="s">
        <v>220</v>
      </c>
      <c r="B140" s="73" t="s">
        <v>221</v>
      </c>
      <c r="C140" s="46">
        <f>[5]С2!F44</f>
        <v>0.36199999999999999</v>
      </c>
    </row>
    <row r="141" spans="1:4" s="89" customFormat="1" ht="13.5" thickBot="1" x14ac:dyDescent="0.25">
      <c r="A141" s="47"/>
      <c r="B141" s="75"/>
      <c r="C141" s="15"/>
    </row>
    <row r="142" spans="1:4" ht="17.25" x14ac:dyDescent="0.2">
      <c r="A142" s="84" t="s">
        <v>222</v>
      </c>
      <c r="B142" s="103" t="s">
        <v>258</v>
      </c>
      <c r="C142" s="128">
        <f>[5]С2!F37</f>
        <v>1.4976266307379205</v>
      </c>
      <c r="D142" s="89"/>
    </row>
    <row r="143" spans="1:4" ht="17.25" customHeight="1" thickBot="1" x14ac:dyDescent="0.25">
      <c r="A143" s="72" t="s">
        <v>224</v>
      </c>
      <c r="B143" s="161" t="s">
        <v>225</v>
      </c>
      <c r="C143" s="161"/>
      <c r="D143" s="89"/>
    </row>
    <row r="144" spans="1:4" x14ac:dyDescent="0.2">
      <c r="A144" s="105"/>
      <c r="B144" s="129" t="s">
        <v>226</v>
      </c>
      <c r="C144" s="130"/>
    </row>
    <row r="145" spans="1:3" x14ac:dyDescent="0.2">
      <c r="A145" s="105"/>
      <c r="B145" s="131">
        <v>2020</v>
      </c>
      <c r="C145" s="132">
        <f>[5]С2.5!$E$11</f>
        <v>-2.9000000000000026E-2</v>
      </c>
    </row>
    <row r="146" spans="1:3" x14ac:dyDescent="0.2">
      <c r="B146" s="131">
        <f>B145+1</f>
        <v>2021</v>
      </c>
      <c r="C146" s="133">
        <f>[5]С2.5!$F$11</f>
        <v>0.245</v>
      </c>
    </row>
    <row r="147" spans="1:3" x14ac:dyDescent="0.2">
      <c r="B147" s="131">
        <f t="shared" ref="B147:B210" si="0">B146+1</f>
        <v>2022</v>
      </c>
      <c r="C147" s="134">
        <f>[5]С2.5!$G$11</f>
        <v>0.114</v>
      </c>
    </row>
    <row r="148" spans="1:3" x14ac:dyDescent="0.2">
      <c r="B148" s="110">
        <f t="shared" si="0"/>
        <v>2023</v>
      </c>
      <c r="C148" s="135">
        <f>[5]С2.5!$H$11</f>
        <v>2.4E-2</v>
      </c>
    </row>
    <row r="149" spans="1:3" ht="13.5" thickBot="1" x14ac:dyDescent="0.25">
      <c r="B149" s="110">
        <f t="shared" si="0"/>
        <v>2024</v>
      </c>
      <c r="C149" s="135">
        <f>[5]С2.5!$I$11</f>
        <v>8.5999999999999993E-2</v>
      </c>
    </row>
    <row r="150" spans="1:3" ht="13.5" hidden="1" thickBot="1" x14ac:dyDescent="0.25">
      <c r="B150" s="110">
        <f t="shared" si="0"/>
        <v>2025</v>
      </c>
      <c r="C150" s="135">
        <f>[5]С2.5!$J$11</f>
        <v>0</v>
      </c>
    </row>
    <row r="151" spans="1:3" ht="13.5" hidden="1" thickBot="1" x14ac:dyDescent="0.25">
      <c r="B151" s="110">
        <f t="shared" si="0"/>
        <v>2026</v>
      </c>
      <c r="C151" s="135">
        <f>[5]С2.5!$K$11</f>
        <v>0</v>
      </c>
    </row>
    <row r="152" spans="1:3" ht="13.5" hidden="1" thickBot="1" x14ac:dyDescent="0.25">
      <c r="B152" s="110">
        <f t="shared" si="0"/>
        <v>2027</v>
      </c>
      <c r="C152" s="135">
        <f>[5]С2.5!$L$11</f>
        <v>0</v>
      </c>
    </row>
    <row r="153" spans="1:3" ht="13.5" hidden="1" thickBot="1" x14ac:dyDescent="0.25">
      <c r="B153" s="110">
        <f t="shared" si="0"/>
        <v>2028</v>
      </c>
      <c r="C153" s="135">
        <f>[5]С2.5!$M$11</f>
        <v>0</v>
      </c>
    </row>
    <row r="154" spans="1:3" ht="13.5" hidden="1" thickBot="1" x14ac:dyDescent="0.25">
      <c r="B154" s="110">
        <f t="shared" si="0"/>
        <v>2029</v>
      </c>
      <c r="C154" s="135">
        <f>[5]С2.5!$N$11</f>
        <v>0</v>
      </c>
    </row>
    <row r="155" spans="1:3" ht="13.5" hidden="1" thickBot="1" x14ac:dyDescent="0.25">
      <c r="B155" s="110">
        <f t="shared" si="0"/>
        <v>2030</v>
      </c>
      <c r="C155" s="135">
        <f>[5]С2.5!$O$11</f>
        <v>0</v>
      </c>
    </row>
    <row r="156" spans="1:3" ht="13.5" hidden="1" thickBot="1" x14ac:dyDescent="0.25">
      <c r="B156" s="110">
        <f t="shared" si="0"/>
        <v>2031</v>
      </c>
      <c r="C156" s="135">
        <f>[5]С2.5!$P$11</f>
        <v>0</v>
      </c>
    </row>
    <row r="157" spans="1:3" ht="13.5" hidden="1" thickBot="1" x14ac:dyDescent="0.25">
      <c r="B157" s="110">
        <f t="shared" si="0"/>
        <v>2032</v>
      </c>
      <c r="C157" s="135">
        <f>[5]С2.5!$Q$11</f>
        <v>0</v>
      </c>
    </row>
    <row r="158" spans="1:3" ht="13.5" hidden="1" thickBot="1" x14ac:dyDescent="0.25">
      <c r="B158" s="110">
        <f t="shared" si="0"/>
        <v>2033</v>
      </c>
      <c r="C158" s="135">
        <f>[5]С2.5!$R$11</f>
        <v>0</v>
      </c>
    </row>
    <row r="159" spans="1:3" ht="13.5" hidden="1" thickBot="1" x14ac:dyDescent="0.25">
      <c r="B159" s="110">
        <f t="shared" si="0"/>
        <v>2034</v>
      </c>
      <c r="C159" s="135">
        <f>[5]С2.5!$S$11</f>
        <v>0</v>
      </c>
    </row>
    <row r="160" spans="1:3" ht="13.5" hidden="1" thickBot="1" x14ac:dyDescent="0.25">
      <c r="B160" s="110">
        <f t="shared" si="0"/>
        <v>2035</v>
      </c>
      <c r="C160" s="135">
        <f>[5]С2.5!$T$11</f>
        <v>0</v>
      </c>
    </row>
    <row r="161" spans="2:3" ht="13.5" hidden="1" thickBot="1" x14ac:dyDescent="0.25">
      <c r="B161" s="110">
        <f t="shared" si="0"/>
        <v>2036</v>
      </c>
      <c r="C161" s="135">
        <f>[5]С2.5!$U$11</f>
        <v>0</v>
      </c>
    </row>
    <row r="162" spans="2:3" ht="13.5" hidden="1" thickBot="1" x14ac:dyDescent="0.25">
      <c r="B162" s="110">
        <f t="shared" si="0"/>
        <v>2037</v>
      </c>
      <c r="C162" s="135">
        <f>[5]С2.5!$V$11</f>
        <v>0</v>
      </c>
    </row>
    <row r="163" spans="2:3" ht="13.5" hidden="1" thickBot="1" x14ac:dyDescent="0.25">
      <c r="B163" s="110">
        <f t="shared" si="0"/>
        <v>2038</v>
      </c>
      <c r="C163" s="135">
        <f>[5]С2.5!$W$11</f>
        <v>0</v>
      </c>
    </row>
    <row r="164" spans="2:3" ht="13.5" hidden="1" thickBot="1" x14ac:dyDescent="0.25">
      <c r="B164" s="110">
        <f t="shared" si="0"/>
        <v>2039</v>
      </c>
      <c r="C164" s="135">
        <f>[5]С2.5!$X$11</f>
        <v>0</v>
      </c>
    </row>
    <row r="165" spans="2:3" ht="13.5" hidden="1" thickBot="1" x14ac:dyDescent="0.25">
      <c r="B165" s="110">
        <f t="shared" si="0"/>
        <v>2040</v>
      </c>
      <c r="C165" s="135">
        <f>[5]С2.5!$Y$11</f>
        <v>0</v>
      </c>
    </row>
    <row r="166" spans="2:3" ht="13.5" hidden="1" thickBot="1" x14ac:dyDescent="0.25">
      <c r="B166" s="110">
        <f t="shared" si="0"/>
        <v>2041</v>
      </c>
      <c r="C166" s="135">
        <f>[5]С2.5!$Z$11</f>
        <v>0</v>
      </c>
    </row>
    <row r="167" spans="2:3" ht="13.5" hidden="1" thickBot="1" x14ac:dyDescent="0.25">
      <c r="B167" s="110">
        <f t="shared" si="0"/>
        <v>2042</v>
      </c>
      <c r="C167" s="135">
        <f>[5]С2.5!$AA$11</f>
        <v>0</v>
      </c>
    </row>
    <row r="168" spans="2:3" ht="13.5" hidden="1" thickBot="1" x14ac:dyDescent="0.25">
      <c r="B168" s="110">
        <f t="shared" si="0"/>
        <v>2043</v>
      </c>
      <c r="C168" s="135">
        <f>[5]С2.5!$AB$11</f>
        <v>0</v>
      </c>
    </row>
    <row r="169" spans="2:3" ht="13.5" hidden="1" thickBot="1" x14ac:dyDescent="0.25">
      <c r="B169" s="110">
        <f t="shared" si="0"/>
        <v>2044</v>
      </c>
      <c r="C169" s="135">
        <f>[5]С2.5!$AC$11</f>
        <v>0</v>
      </c>
    </row>
    <row r="170" spans="2:3" ht="13.5" hidden="1" thickBot="1" x14ac:dyDescent="0.25">
      <c r="B170" s="110">
        <f t="shared" si="0"/>
        <v>2045</v>
      </c>
      <c r="C170" s="135">
        <f>[5]С2.5!$AD$11</f>
        <v>0</v>
      </c>
    </row>
    <row r="171" spans="2:3" ht="13.5" hidden="1" thickBot="1" x14ac:dyDescent="0.25">
      <c r="B171" s="110">
        <f t="shared" si="0"/>
        <v>2046</v>
      </c>
      <c r="C171" s="135">
        <f>[5]С2.5!$AE$11</f>
        <v>0</v>
      </c>
    </row>
    <row r="172" spans="2:3" ht="13.5" hidden="1" thickBot="1" x14ac:dyDescent="0.25">
      <c r="B172" s="110">
        <f t="shared" si="0"/>
        <v>2047</v>
      </c>
      <c r="C172" s="135">
        <f>[5]С2.5!$AF$11</f>
        <v>0</v>
      </c>
    </row>
    <row r="173" spans="2:3" ht="13.5" hidden="1" thickBot="1" x14ac:dyDescent="0.25">
      <c r="B173" s="110">
        <f t="shared" si="0"/>
        <v>2048</v>
      </c>
      <c r="C173" s="135">
        <f>[5]С2.5!$AG$11</f>
        <v>0</v>
      </c>
    </row>
    <row r="174" spans="2:3" ht="13.5" hidden="1" thickBot="1" x14ac:dyDescent="0.25">
      <c r="B174" s="110">
        <f t="shared" si="0"/>
        <v>2049</v>
      </c>
      <c r="C174" s="135">
        <f>[5]С2.5!$AH$11</f>
        <v>0</v>
      </c>
    </row>
    <row r="175" spans="2:3" ht="13.5" hidden="1" thickBot="1" x14ac:dyDescent="0.25">
      <c r="B175" s="110">
        <f t="shared" si="0"/>
        <v>2050</v>
      </c>
      <c r="C175" s="135">
        <f>[5]С2.5!$AI$11</f>
        <v>0</v>
      </c>
    </row>
    <row r="176" spans="2:3" ht="13.5" hidden="1" thickBot="1" x14ac:dyDescent="0.25">
      <c r="B176" s="110">
        <f t="shared" si="0"/>
        <v>2051</v>
      </c>
      <c r="C176" s="135">
        <f>[5]С2.5!$AJ$11</f>
        <v>0</v>
      </c>
    </row>
    <row r="177" spans="2:3" ht="13.5" hidden="1" thickBot="1" x14ac:dyDescent="0.25">
      <c r="B177" s="110">
        <f t="shared" si="0"/>
        <v>2052</v>
      </c>
      <c r="C177" s="135">
        <f>[5]С2.5!$AK$11</f>
        <v>0</v>
      </c>
    </row>
    <row r="178" spans="2:3" ht="13.5" hidden="1" thickBot="1" x14ac:dyDescent="0.25">
      <c r="B178" s="110">
        <f t="shared" si="0"/>
        <v>2053</v>
      </c>
      <c r="C178" s="135">
        <f>[5]С2.5!$AL$11</f>
        <v>0</v>
      </c>
    </row>
    <row r="179" spans="2:3" ht="13.5" hidden="1" thickBot="1" x14ac:dyDescent="0.25">
      <c r="B179" s="110">
        <f t="shared" si="0"/>
        <v>2054</v>
      </c>
      <c r="C179" s="135">
        <f>[5]С2.5!$AM$11</f>
        <v>0</v>
      </c>
    </row>
    <row r="180" spans="2:3" ht="13.5" hidden="1" thickBot="1" x14ac:dyDescent="0.25">
      <c r="B180" s="110">
        <f t="shared" si="0"/>
        <v>2055</v>
      </c>
      <c r="C180" s="135">
        <f>[5]С2.5!$AN$11</f>
        <v>0</v>
      </c>
    </row>
    <row r="181" spans="2:3" ht="13.5" hidden="1" thickBot="1" x14ac:dyDescent="0.25">
      <c r="B181" s="110">
        <f t="shared" si="0"/>
        <v>2056</v>
      </c>
      <c r="C181" s="135">
        <f>[5]С2.5!$AO$11</f>
        <v>0</v>
      </c>
    </row>
    <row r="182" spans="2:3" ht="13.5" hidden="1" thickBot="1" x14ac:dyDescent="0.25">
      <c r="B182" s="110">
        <f t="shared" si="0"/>
        <v>2057</v>
      </c>
      <c r="C182" s="135">
        <f>[5]С2.5!$AP$11</f>
        <v>0</v>
      </c>
    </row>
    <row r="183" spans="2:3" ht="13.5" hidden="1" thickBot="1" x14ac:dyDescent="0.25">
      <c r="B183" s="110">
        <f t="shared" si="0"/>
        <v>2058</v>
      </c>
      <c r="C183" s="135">
        <f>[5]С2.5!$AQ$11</f>
        <v>0</v>
      </c>
    </row>
    <row r="184" spans="2:3" ht="13.5" hidden="1" thickBot="1" x14ac:dyDescent="0.25">
      <c r="B184" s="110">
        <f t="shared" si="0"/>
        <v>2059</v>
      </c>
      <c r="C184" s="135">
        <f>[5]С2.5!$AR$11</f>
        <v>0</v>
      </c>
    </row>
    <row r="185" spans="2:3" ht="13.5" hidden="1" thickBot="1" x14ac:dyDescent="0.25">
      <c r="B185" s="110">
        <f t="shared" si="0"/>
        <v>2060</v>
      </c>
      <c r="C185" s="135">
        <f>[5]С2.5!$AS$11</f>
        <v>0</v>
      </c>
    </row>
    <row r="186" spans="2:3" ht="13.5" hidden="1" thickBot="1" x14ac:dyDescent="0.25">
      <c r="B186" s="110">
        <f t="shared" si="0"/>
        <v>2061</v>
      </c>
      <c r="C186" s="135">
        <f>[5]С2.5!$AT$11</f>
        <v>0</v>
      </c>
    </row>
    <row r="187" spans="2:3" ht="13.5" hidden="1" thickBot="1" x14ac:dyDescent="0.25">
      <c r="B187" s="110">
        <f t="shared" si="0"/>
        <v>2062</v>
      </c>
      <c r="C187" s="135">
        <f>[5]С2.5!$AU$11</f>
        <v>0</v>
      </c>
    </row>
    <row r="188" spans="2:3" ht="13.5" hidden="1" thickBot="1" x14ac:dyDescent="0.25">
      <c r="B188" s="110">
        <f t="shared" si="0"/>
        <v>2063</v>
      </c>
      <c r="C188" s="135">
        <f>[5]С2.5!$AV$11</f>
        <v>0</v>
      </c>
    </row>
    <row r="189" spans="2:3" ht="13.5" hidden="1" thickBot="1" x14ac:dyDescent="0.25">
      <c r="B189" s="110">
        <f t="shared" si="0"/>
        <v>2064</v>
      </c>
      <c r="C189" s="135">
        <f>[5]С2.5!$AW$11</f>
        <v>0</v>
      </c>
    </row>
    <row r="190" spans="2:3" ht="13.5" hidden="1" thickBot="1" x14ac:dyDescent="0.25">
      <c r="B190" s="110">
        <f t="shared" si="0"/>
        <v>2065</v>
      </c>
      <c r="C190" s="135">
        <f>[5]С2.5!$AX$11</f>
        <v>0</v>
      </c>
    </row>
    <row r="191" spans="2:3" ht="13.5" hidden="1" thickBot="1" x14ac:dyDescent="0.25">
      <c r="B191" s="110">
        <f t="shared" si="0"/>
        <v>2066</v>
      </c>
      <c r="C191" s="135">
        <f>[5]С2.5!$AY$11</f>
        <v>0</v>
      </c>
    </row>
    <row r="192" spans="2:3" ht="13.5" hidden="1" thickBot="1" x14ac:dyDescent="0.25">
      <c r="B192" s="110">
        <f t="shared" si="0"/>
        <v>2067</v>
      </c>
      <c r="C192" s="135">
        <f>[5]С2.5!$AZ$11</f>
        <v>0</v>
      </c>
    </row>
    <row r="193" spans="2:3" ht="13.5" hidden="1" thickBot="1" x14ac:dyDescent="0.25">
      <c r="B193" s="110">
        <f t="shared" si="0"/>
        <v>2068</v>
      </c>
      <c r="C193" s="135">
        <f>[5]С2.5!$BA$11</f>
        <v>0</v>
      </c>
    </row>
    <row r="194" spans="2:3" ht="13.5" hidden="1" thickBot="1" x14ac:dyDescent="0.25">
      <c r="B194" s="110">
        <f t="shared" si="0"/>
        <v>2069</v>
      </c>
      <c r="C194" s="135">
        <f>[5]С2.5!$BB$11</f>
        <v>0</v>
      </c>
    </row>
    <row r="195" spans="2:3" ht="13.5" hidden="1" thickBot="1" x14ac:dyDescent="0.25">
      <c r="B195" s="110">
        <f t="shared" si="0"/>
        <v>2070</v>
      </c>
      <c r="C195" s="135">
        <f>[5]С2.5!$BC$11</f>
        <v>0</v>
      </c>
    </row>
    <row r="196" spans="2:3" ht="13.5" hidden="1" thickBot="1" x14ac:dyDescent="0.25">
      <c r="B196" s="110">
        <f t="shared" si="0"/>
        <v>2071</v>
      </c>
      <c r="C196" s="135">
        <f>[5]С2.5!$BD$11</f>
        <v>0</v>
      </c>
    </row>
    <row r="197" spans="2:3" ht="13.5" hidden="1" thickBot="1" x14ac:dyDescent="0.25">
      <c r="B197" s="110">
        <f t="shared" si="0"/>
        <v>2072</v>
      </c>
      <c r="C197" s="135">
        <f>[5]С2.5!$BE$11</f>
        <v>0</v>
      </c>
    </row>
    <row r="198" spans="2:3" ht="13.5" hidden="1" thickBot="1" x14ac:dyDescent="0.25">
      <c r="B198" s="110">
        <f t="shared" si="0"/>
        <v>2073</v>
      </c>
      <c r="C198" s="135">
        <f>[5]С2.5!$BF$11</f>
        <v>0</v>
      </c>
    </row>
    <row r="199" spans="2:3" ht="13.5" hidden="1" thickBot="1" x14ac:dyDescent="0.25">
      <c r="B199" s="110">
        <f t="shared" si="0"/>
        <v>2074</v>
      </c>
      <c r="C199" s="135">
        <f>[5]С2.5!$BG$11</f>
        <v>0</v>
      </c>
    </row>
    <row r="200" spans="2:3" ht="13.5" hidden="1" thickBot="1" x14ac:dyDescent="0.25">
      <c r="B200" s="110">
        <f t="shared" si="0"/>
        <v>2075</v>
      </c>
      <c r="C200" s="135">
        <f>[5]С2.5!$BH$11</f>
        <v>0</v>
      </c>
    </row>
    <row r="201" spans="2:3" ht="13.5" hidden="1" thickBot="1" x14ac:dyDescent="0.25">
      <c r="B201" s="110">
        <f t="shared" si="0"/>
        <v>2076</v>
      </c>
      <c r="C201" s="135">
        <f>[5]С2.5!$BI$11</f>
        <v>0</v>
      </c>
    </row>
    <row r="202" spans="2:3" ht="13.5" hidden="1" thickBot="1" x14ac:dyDescent="0.25">
      <c r="B202" s="110">
        <f t="shared" si="0"/>
        <v>2077</v>
      </c>
      <c r="C202" s="135">
        <f>[5]С2.5!$BJ$11</f>
        <v>0</v>
      </c>
    </row>
    <row r="203" spans="2:3" ht="13.5" hidden="1" thickBot="1" x14ac:dyDescent="0.25">
      <c r="B203" s="110">
        <f t="shared" si="0"/>
        <v>2078</v>
      </c>
      <c r="C203" s="135">
        <f>[5]С2.5!$BK$11</f>
        <v>0</v>
      </c>
    </row>
    <row r="204" spans="2:3" ht="13.5" hidden="1" thickBot="1" x14ac:dyDescent="0.25">
      <c r="B204" s="110">
        <f t="shared" si="0"/>
        <v>2079</v>
      </c>
      <c r="C204" s="135">
        <f>[5]С2.5!$BL$11</f>
        <v>0</v>
      </c>
    </row>
    <row r="205" spans="2:3" ht="13.5" hidden="1" thickBot="1" x14ac:dyDescent="0.25">
      <c r="B205" s="110">
        <f t="shared" si="0"/>
        <v>2080</v>
      </c>
      <c r="C205" s="135">
        <f>[5]С2.5!$BM$11</f>
        <v>0</v>
      </c>
    </row>
    <row r="206" spans="2:3" ht="13.5" hidden="1" thickBot="1" x14ac:dyDescent="0.25">
      <c r="B206" s="110">
        <f t="shared" si="0"/>
        <v>2081</v>
      </c>
      <c r="C206" s="135">
        <f>[5]С2.5!$BN$11</f>
        <v>0</v>
      </c>
    </row>
    <row r="207" spans="2:3" ht="13.5" hidden="1" thickBot="1" x14ac:dyDescent="0.25">
      <c r="B207" s="110">
        <f t="shared" si="0"/>
        <v>2082</v>
      </c>
      <c r="C207" s="135">
        <f>[5]С2.5!$BO$11</f>
        <v>0</v>
      </c>
    </row>
    <row r="208" spans="2:3" ht="13.5" hidden="1" thickBot="1" x14ac:dyDescent="0.25">
      <c r="B208" s="110">
        <f t="shared" si="0"/>
        <v>2083</v>
      </c>
      <c r="C208" s="135">
        <f>[5]С2.5!$BP$11</f>
        <v>0</v>
      </c>
    </row>
    <row r="209" spans="2:3" ht="13.5" hidden="1" thickBot="1" x14ac:dyDescent="0.25">
      <c r="B209" s="110">
        <f t="shared" si="0"/>
        <v>2084</v>
      </c>
      <c r="C209" s="135">
        <f>[5]С2.5!$BQ$11</f>
        <v>0</v>
      </c>
    </row>
    <row r="210" spans="2:3" ht="13.5" hidden="1" thickBot="1" x14ac:dyDescent="0.25">
      <c r="B210" s="110">
        <f t="shared" si="0"/>
        <v>2085</v>
      </c>
      <c r="C210" s="135">
        <f>[5]С2.5!$BR$11</f>
        <v>0</v>
      </c>
    </row>
    <row r="211" spans="2:3" ht="13.5" hidden="1" thickBot="1" x14ac:dyDescent="0.25">
      <c r="B211" s="110">
        <f t="shared" ref="B211:B224" si="1">B210+1</f>
        <v>2086</v>
      </c>
      <c r="C211" s="135">
        <f>[5]С2.5!$BS$11</f>
        <v>0</v>
      </c>
    </row>
    <row r="212" spans="2:3" ht="13.5" hidden="1" thickBot="1" x14ac:dyDescent="0.25">
      <c r="B212" s="110">
        <f t="shared" si="1"/>
        <v>2087</v>
      </c>
      <c r="C212" s="135">
        <f>[5]С2.5!$BT$11</f>
        <v>0</v>
      </c>
    </row>
    <row r="213" spans="2:3" ht="13.5" hidden="1" thickBot="1" x14ac:dyDescent="0.25">
      <c r="B213" s="110">
        <f t="shared" si="1"/>
        <v>2088</v>
      </c>
      <c r="C213" s="135">
        <f>[5]С2.5!$BU$11</f>
        <v>0</v>
      </c>
    </row>
    <row r="214" spans="2:3" ht="13.5" hidden="1" thickBot="1" x14ac:dyDescent="0.25">
      <c r="B214" s="110">
        <f t="shared" si="1"/>
        <v>2089</v>
      </c>
      <c r="C214" s="135">
        <f>[5]С2.5!$BV$11</f>
        <v>0</v>
      </c>
    </row>
    <row r="215" spans="2:3" ht="13.5" hidden="1" thickBot="1" x14ac:dyDescent="0.25">
      <c r="B215" s="110">
        <f t="shared" si="1"/>
        <v>2090</v>
      </c>
      <c r="C215" s="135">
        <f>[5]С2.5!$BW$11</f>
        <v>0</v>
      </c>
    </row>
    <row r="216" spans="2:3" ht="13.5" hidden="1" thickBot="1" x14ac:dyDescent="0.25">
      <c r="B216" s="110">
        <f t="shared" si="1"/>
        <v>2091</v>
      </c>
      <c r="C216" s="135">
        <f>[5]С2.5!$BX$11</f>
        <v>0</v>
      </c>
    </row>
    <row r="217" spans="2:3" ht="13.5" hidden="1" thickBot="1" x14ac:dyDescent="0.25">
      <c r="B217" s="110">
        <f t="shared" si="1"/>
        <v>2092</v>
      </c>
      <c r="C217" s="135">
        <f>[5]С2.5!$BY$11</f>
        <v>0</v>
      </c>
    </row>
    <row r="218" spans="2:3" ht="13.5" hidden="1" thickBot="1" x14ac:dyDescent="0.25">
      <c r="B218" s="110">
        <f t="shared" si="1"/>
        <v>2093</v>
      </c>
      <c r="C218" s="135">
        <f>[5]С2.5!$BZ$11</f>
        <v>0</v>
      </c>
    </row>
    <row r="219" spans="2:3" ht="13.5" hidden="1" thickBot="1" x14ac:dyDescent="0.25">
      <c r="B219" s="110">
        <f t="shared" si="1"/>
        <v>2094</v>
      </c>
      <c r="C219" s="135">
        <f>[5]С2.5!$CA$11</f>
        <v>0</v>
      </c>
    </row>
    <row r="220" spans="2:3" ht="13.5" hidden="1" thickBot="1" x14ac:dyDescent="0.25">
      <c r="B220" s="110">
        <f t="shared" si="1"/>
        <v>2095</v>
      </c>
      <c r="C220" s="135">
        <f>[5]С2.5!$CB$11</f>
        <v>0</v>
      </c>
    </row>
    <row r="221" spans="2:3" ht="13.5" hidden="1" thickBot="1" x14ac:dyDescent="0.25">
      <c r="B221" s="110">
        <f t="shared" si="1"/>
        <v>2096</v>
      </c>
      <c r="C221" s="135">
        <f>[5]С2.5!$CC$11</f>
        <v>0</v>
      </c>
    </row>
    <row r="222" spans="2:3" ht="13.5" hidden="1" thickBot="1" x14ac:dyDescent="0.25">
      <c r="B222" s="110">
        <f t="shared" si="1"/>
        <v>2097</v>
      </c>
      <c r="C222" s="135">
        <f>[5]С2.5!$CD$11</f>
        <v>0</v>
      </c>
    </row>
    <row r="223" spans="2:3" ht="13.5" hidden="1" thickBot="1" x14ac:dyDescent="0.25">
      <c r="B223" s="110">
        <f t="shared" si="1"/>
        <v>2098</v>
      </c>
      <c r="C223" s="135">
        <f>[5]С2.5!$CE$11</f>
        <v>0</v>
      </c>
    </row>
    <row r="224" spans="2:3" ht="13.5" hidden="1" thickBot="1" x14ac:dyDescent="0.25">
      <c r="B224" s="110">
        <f t="shared" si="1"/>
        <v>2099</v>
      </c>
      <c r="C224" s="135">
        <f>[5]С2.5!$CF$11</f>
        <v>0</v>
      </c>
    </row>
    <row r="225" spans="2:3" ht="13.5" hidden="1" thickBot="1" x14ac:dyDescent="0.25">
      <c r="B225" s="112">
        <f>B162+1</f>
        <v>2038</v>
      </c>
      <c r="C225" s="136" t="e">
        <f>[5]С2.5!#REF!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6]!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3074" r:id="rId4" name="Button 2">
              <controlPr defaultSize="0" print="0" autoFill="0" autoPict="0" macro="[5]!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[7]И1!D13</f>
        <v>Субъект Российской Федерации</v>
      </c>
      <c r="C4" s="10" t="str">
        <f>[7]И1!E13</f>
        <v>Новосибирская область</v>
      </c>
    </row>
    <row r="5" spans="1:3" ht="46.9" customHeight="1" x14ac:dyDescent="0.2">
      <c r="A5" s="8"/>
      <c r="B5" s="9" t="str">
        <f>[7]И1!D14</f>
        <v>Тип муниципального образования (выберите из списка)</v>
      </c>
      <c r="C5" s="10" t="str">
        <f>[7]И1!E14</f>
        <v>деревня Гилево, Искитимский муниципальный район</v>
      </c>
    </row>
    <row r="6" spans="1:3" ht="38.25" x14ac:dyDescent="0.2">
      <c r="A6" s="8"/>
      <c r="B6" s="9" t="str">
        <f>IF([7]И1!E15="","",[7]И1!D15)</f>
        <v/>
      </c>
      <c r="C6" s="10" t="str">
        <f>IF([7]И1!E15="","",[7]И1!E15)</f>
        <v>деревня Гилево, Искитимский муниципальный район</v>
      </c>
    </row>
    <row r="7" spans="1:3" x14ac:dyDescent="0.2">
      <c r="A7" s="8"/>
      <c r="B7" s="9" t="str">
        <f>[7]И1!D16</f>
        <v>Код ОКТМО</v>
      </c>
      <c r="C7" s="11" t="str">
        <f>[7]И1!E16</f>
        <v xml:space="preserve"> (50615407106)</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2024</v>
      </c>
    </row>
    <row r="10" spans="1:3" x14ac:dyDescent="0.2">
      <c r="A10" s="8"/>
      <c r="B10" s="9" t="str">
        <f>[7]И1!D9</f>
        <v>Период регулирования (i-1)-й</v>
      </c>
      <c r="C10" s="14">
        <f>[7]И1!E9</f>
        <v>2023</v>
      </c>
    </row>
    <row r="11" spans="1:3" x14ac:dyDescent="0.2">
      <c r="A11" s="8"/>
      <c r="B11" s="9" t="str">
        <f>[7]И1!D10</f>
        <v>Период регулирования (i-2)-й</v>
      </c>
      <c r="C11" s="14">
        <f>[7]И1!E10</f>
        <v>2022</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3755.1269222377105</v>
      </c>
    </row>
    <row r="18" spans="1:3" ht="42.75" x14ac:dyDescent="0.2">
      <c r="A18" s="22" t="s">
        <v>8</v>
      </c>
      <c r="B18" s="25" t="s">
        <v>9</v>
      </c>
      <c r="C18" s="26">
        <f>[7]С1!F12</f>
        <v>759.67438872744583</v>
      </c>
    </row>
    <row r="19" spans="1:3" ht="42.75" x14ac:dyDescent="0.2">
      <c r="A19" s="22" t="s">
        <v>10</v>
      </c>
      <c r="B19" s="25" t="s">
        <v>11</v>
      </c>
      <c r="C19" s="26">
        <f>[7]С2!F12</f>
        <v>2000.3680279558928</v>
      </c>
    </row>
    <row r="20" spans="1:3" ht="30" x14ac:dyDescent="0.2">
      <c r="A20" s="22" t="s">
        <v>12</v>
      </c>
      <c r="B20" s="25" t="s">
        <v>13</v>
      </c>
      <c r="C20" s="26">
        <f>[7]С3!F12</f>
        <v>475.74490066496389</v>
      </c>
    </row>
    <row r="21" spans="1:3" ht="42.75" x14ac:dyDescent="0.2">
      <c r="A21" s="22" t="s">
        <v>14</v>
      </c>
      <c r="B21" s="25" t="s">
        <v>15</v>
      </c>
      <c r="C21" s="26">
        <f>[7]С4!F12</f>
        <v>445.70966523768817</v>
      </c>
    </row>
    <row r="22" spans="1:3" ht="30" x14ac:dyDescent="0.2">
      <c r="A22" s="22" t="s">
        <v>16</v>
      </c>
      <c r="B22" s="25" t="s">
        <v>17</v>
      </c>
      <c r="C22" s="26">
        <f>[7]С5!F12</f>
        <v>73.629939651719823</v>
      </c>
    </row>
    <row r="23" spans="1:3" ht="43.5" thickBot="1" x14ac:dyDescent="0.25">
      <c r="A23" s="27" t="s">
        <v>18</v>
      </c>
      <c r="B23" s="140" t="s">
        <v>19</v>
      </c>
      <c r="C23" s="28" t="str">
        <f>[7]С6!F12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[7]С1.1!E16</f>
        <v>5100</v>
      </c>
    </row>
    <row r="29" spans="1:3" ht="42.75" x14ac:dyDescent="0.2">
      <c r="A29" s="22" t="s">
        <v>10</v>
      </c>
      <c r="B29" s="33" t="s">
        <v>22</v>
      </c>
      <c r="C29" s="34">
        <f>[7]С1.1!E27</f>
        <v>3413.25</v>
      </c>
    </row>
    <row r="30" spans="1:3" ht="17.25" x14ac:dyDescent="0.2">
      <c r="A30" s="22" t="s">
        <v>12</v>
      </c>
      <c r="B30" s="33" t="s">
        <v>23</v>
      </c>
      <c r="C30" s="35">
        <f>[7]С1.1!E19</f>
        <v>-0.19900000000000001</v>
      </c>
    </row>
    <row r="31" spans="1:3" ht="17.25" x14ac:dyDescent="0.2">
      <c r="A31" s="22" t="s">
        <v>14</v>
      </c>
      <c r="B31" s="33" t="s">
        <v>24</v>
      </c>
      <c r="C31" s="35">
        <f>[7]С1.1!E20</f>
        <v>5.7000000000000002E-2</v>
      </c>
    </row>
    <row r="32" spans="1:3" ht="30" x14ac:dyDescent="0.2">
      <c r="A32" s="22" t="s">
        <v>16</v>
      </c>
      <c r="B32" s="36" t="s">
        <v>25</v>
      </c>
      <c r="C32" s="37">
        <f>[7]С1!F13</f>
        <v>176.4</v>
      </c>
    </row>
    <row r="33" spans="1:3" x14ac:dyDescent="0.2">
      <c r="A33" s="22" t="s">
        <v>18</v>
      </c>
      <c r="B33" s="36" t="s">
        <v>26</v>
      </c>
      <c r="C33" s="38">
        <f>[7]С1!F16</f>
        <v>7000</v>
      </c>
    </row>
    <row r="34" spans="1:3" ht="14.25" x14ac:dyDescent="0.2">
      <c r="A34" s="22" t="s">
        <v>27</v>
      </c>
      <c r="B34" s="39" t="s">
        <v>28</v>
      </c>
      <c r="C34" s="40">
        <f>[7]С1!F17</f>
        <v>0.72857142857142854</v>
      </c>
    </row>
    <row r="35" spans="1:3" ht="15.75" x14ac:dyDescent="0.2">
      <c r="A35" s="41" t="s">
        <v>29</v>
      </c>
      <c r="B35" s="42" t="s">
        <v>30</v>
      </c>
      <c r="C35" s="40">
        <f>[7]С1!F20</f>
        <v>21.588411179999994</v>
      </c>
    </row>
    <row r="36" spans="1:3" ht="15.75" x14ac:dyDescent="0.2">
      <c r="A36" s="41" t="s">
        <v>31</v>
      </c>
      <c r="B36" s="43" t="s">
        <v>32</v>
      </c>
      <c r="C36" s="40">
        <f>[7]С1!F21</f>
        <v>20.818139999999996</v>
      </c>
    </row>
    <row r="37" spans="1:3" ht="14.25" x14ac:dyDescent="0.2">
      <c r="A37" s="41" t="s">
        <v>33</v>
      </c>
      <c r="B37" s="44" t="s">
        <v>34</v>
      </c>
      <c r="C37" s="40">
        <f>[7]С1!F22</f>
        <v>1.0369999999999999</v>
      </c>
    </row>
    <row r="38" spans="1:3" ht="53.25" thickBot="1" x14ac:dyDescent="0.25">
      <c r="A38" s="27" t="s">
        <v>35</v>
      </c>
      <c r="B38" s="45" t="s">
        <v>36</v>
      </c>
      <c r="C38" s="46">
        <f>[7]С1!F23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[7]С2.1!E12</f>
        <v>V</v>
      </c>
    </row>
    <row r="42" spans="1:3" ht="25.5" x14ac:dyDescent="0.2">
      <c r="A42" s="22" t="s">
        <v>41</v>
      </c>
      <c r="B42" s="33" t="s">
        <v>42</v>
      </c>
      <c r="C42" s="51" t="str">
        <f>[7]С2.1!E13</f>
        <v>6 и менее баллов</v>
      </c>
    </row>
    <row r="43" spans="1:3" ht="25.5" x14ac:dyDescent="0.2">
      <c r="A43" s="22" t="s">
        <v>43</v>
      </c>
      <c r="B43" s="33" t="s">
        <v>44</v>
      </c>
      <c r="C43" s="51" t="str">
        <f>[7]С2.1!E14</f>
        <v>от 200 до 500</v>
      </c>
    </row>
    <row r="44" spans="1:3" ht="25.5" x14ac:dyDescent="0.2">
      <c r="A44" s="22" t="s">
        <v>45</v>
      </c>
      <c r="B44" s="33" t="s">
        <v>46</v>
      </c>
      <c r="C44" s="52" t="str">
        <f>[7]С2.1!E15</f>
        <v>нет</v>
      </c>
    </row>
    <row r="45" spans="1:3" ht="30" x14ac:dyDescent="0.2">
      <c r="A45" s="22" t="s">
        <v>47</v>
      </c>
      <c r="B45" s="33" t="s">
        <v>48</v>
      </c>
      <c r="C45" s="34">
        <f>[7]С2!F18</f>
        <v>35106.652004551666</v>
      </c>
    </row>
    <row r="46" spans="1:3" ht="30" x14ac:dyDescent="0.2">
      <c r="A46" s="22" t="s">
        <v>49</v>
      </c>
      <c r="B46" s="53" t="s">
        <v>50</v>
      </c>
      <c r="C46" s="34">
        <f>IF([7]С2!F19&gt;0,[7]С2!F19,[7]С2!F20)</f>
        <v>23441.524932855718</v>
      </c>
    </row>
    <row r="47" spans="1:3" ht="25.5" x14ac:dyDescent="0.2">
      <c r="A47" s="22" t="s">
        <v>51</v>
      </c>
      <c r="B47" s="54" t="s">
        <v>52</v>
      </c>
      <c r="C47" s="34">
        <f>[7]С2.1!E19</f>
        <v>-38</v>
      </c>
    </row>
    <row r="48" spans="1:3" ht="25.5" x14ac:dyDescent="0.2">
      <c r="A48" s="22" t="s">
        <v>53</v>
      </c>
      <c r="B48" s="54" t="s">
        <v>54</v>
      </c>
      <c r="C48" s="34" t="str">
        <f>[7]С2.1!E22</f>
        <v>нет</v>
      </c>
    </row>
    <row r="49" spans="1:3" ht="38.25" x14ac:dyDescent="0.2">
      <c r="A49" s="22" t="s">
        <v>55</v>
      </c>
      <c r="B49" s="55" t="s">
        <v>56</v>
      </c>
      <c r="C49" s="34">
        <f>[7]С2.2!E10</f>
        <v>1287</v>
      </c>
    </row>
    <row r="50" spans="1:3" ht="25.5" x14ac:dyDescent="0.2">
      <c r="A50" s="22" t="s">
        <v>57</v>
      </c>
      <c r="B50" s="56" t="s">
        <v>58</v>
      </c>
      <c r="C50" s="34">
        <f>[7]С2.2!E12</f>
        <v>5.97</v>
      </c>
    </row>
    <row r="51" spans="1:3" ht="52.5" x14ac:dyDescent="0.2">
      <c r="A51" s="22" t="s">
        <v>59</v>
      </c>
      <c r="B51" s="57" t="s">
        <v>60</v>
      </c>
      <c r="C51" s="34">
        <f>[7]С2.2!E13</f>
        <v>1</v>
      </c>
    </row>
    <row r="52" spans="1:3" ht="27.75" x14ac:dyDescent="0.2">
      <c r="A52" s="22" t="s">
        <v>61</v>
      </c>
      <c r="B52" s="56" t="s">
        <v>62</v>
      </c>
      <c r="C52" s="34">
        <f>[7]С2.2!E14</f>
        <v>12104</v>
      </c>
    </row>
    <row r="53" spans="1:3" ht="25.5" x14ac:dyDescent="0.2">
      <c r="A53" s="22" t="s">
        <v>63</v>
      </c>
      <c r="B53" s="57" t="s">
        <v>64</v>
      </c>
      <c r="C53" s="35">
        <f>[7]С2.2!E15</f>
        <v>4.8000000000000001E-2</v>
      </c>
    </row>
    <row r="54" spans="1:3" x14ac:dyDescent="0.2">
      <c r="A54" s="22" t="s">
        <v>65</v>
      </c>
      <c r="B54" s="57" t="s">
        <v>66</v>
      </c>
      <c r="C54" s="34">
        <f>[7]С2.2!E16</f>
        <v>1</v>
      </c>
    </row>
    <row r="55" spans="1:3" ht="15.75" x14ac:dyDescent="0.2">
      <c r="A55" s="22" t="s">
        <v>67</v>
      </c>
      <c r="B55" s="58" t="s">
        <v>68</v>
      </c>
      <c r="C55" s="34">
        <f>[7]С2!F21</f>
        <v>1</v>
      </c>
    </row>
    <row r="56" spans="1:3" ht="30" x14ac:dyDescent="0.2">
      <c r="A56" s="59" t="s">
        <v>69</v>
      </c>
      <c r="B56" s="33" t="s">
        <v>70</v>
      </c>
      <c r="C56" s="34">
        <f>[7]С2!F13</f>
        <v>183796.83936385796</v>
      </c>
    </row>
    <row r="57" spans="1:3" ht="30" x14ac:dyDescent="0.2">
      <c r="A57" s="59" t="s">
        <v>71</v>
      </c>
      <c r="B57" s="58" t="s">
        <v>72</v>
      </c>
      <c r="C57" s="34">
        <f>[7]С2!F14</f>
        <v>113455</v>
      </c>
    </row>
    <row r="58" spans="1:3" ht="15.75" x14ac:dyDescent="0.2">
      <c r="A58" s="59" t="s">
        <v>73</v>
      </c>
      <c r="B58" s="60" t="s">
        <v>74</v>
      </c>
      <c r="C58" s="40">
        <f>[7]С2!F15</f>
        <v>1.071</v>
      </c>
    </row>
    <row r="59" spans="1:3" ht="15.75" x14ac:dyDescent="0.2">
      <c r="A59" s="59" t="s">
        <v>75</v>
      </c>
      <c r="B59" s="60" t="s">
        <v>76</v>
      </c>
      <c r="C59" s="40">
        <f>[7]С2!F16</f>
        <v>1</v>
      </c>
    </row>
    <row r="60" spans="1:3" ht="17.25" x14ac:dyDescent="0.2">
      <c r="A60" s="59" t="s">
        <v>77</v>
      </c>
      <c r="B60" s="58" t="s">
        <v>78</v>
      </c>
      <c r="C60" s="34">
        <f>[7]С2!F17</f>
        <v>1.01</v>
      </c>
    </row>
    <row r="61" spans="1:3" s="63" customFormat="1" ht="14.25" x14ac:dyDescent="0.2">
      <c r="A61" s="59" t="s">
        <v>79</v>
      </c>
      <c r="B61" s="61" t="s">
        <v>80</v>
      </c>
      <c r="C61" s="62">
        <f>[7]С2!F33</f>
        <v>10</v>
      </c>
    </row>
    <row r="62" spans="1:3" ht="30" x14ac:dyDescent="0.2">
      <c r="A62" s="59" t="s">
        <v>81</v>
      </c>
      <c r="B62" s="64" t="s">
        <v>82</v>
      </c>
      <c r="C62" s="34">
        <f>[7]С2!F26</f>
        <v>2780.7867618428891</v>
      </c>
    </row>
    <row r="63" spans="1:3" ht="17.25" x14ac:dyDescent="0.2">
      <c r="A63" s="59" t="s">
        <v>83</v>
      </c>
      <c r="B63" s="53" t="s">
        <v>84</v>
      </c>
      <c r="C63" s="34">
        <f>[7]С2!F27</f>
        <v>0.44209422600000003</v>
      </c>
    </row>
    <row r="64" spans="1:3" ht="17.25" x14ac:dyDescent="0.2">
      <c r="A64" s="59" t="s">
        <v>85</v>
      </c>
      <c r="B64" s="58" t="s">
        <v>86</v>
      </c>
      <c r="C64" s="62">
        <f>[7]С2!F28</f>
        <v>4200</v>
      </c>
    </row>
    <row r="65" spans="1:3" ht="42.75" x14ac:dyDescent="0.2">
      <c r="A65" s="59" t="s">
        <v>87</v>
      </c>
      <c r="B65" s="33" t="s">
        <v>88</v>
      </c>
      <c r="C65" s="34">
        <f>[7]С2!F22</f>
        <v>38698.422798410109</v>
      </c>
    </row>
    <row r="66" spans="1:3" ht="30" x14ac:dyDescent="0.2">
      <c r="A66" s="59" t="s">
        <v>89</v>
      </c>
      <c r="B66" s="60" t="s">
        <v>90</v>
      </c>
      <c r="C66" s="34">
        <f>[7]С2!F23</f>
        <v>1990</v>
      </c>
    </row>
    <row r="67" spans="1:3" ht="30" x14ac:dyDescent="0.2">
      <c r="A67" s="59" t="s">
        <v>91</v>
      </c>
      <c r="B67" s="53" t="s">
        <v>92</v>
      </c>
      <c r="C67" s="34">
        <f>[7]С2.1!E27</f>
        <v>14307.876789999998</v>
      </c>
    </row>
    <row r="68" spans="1:3" ht="38.25" x14ac:dyDescent="0.2">
      <c r="A68" s="59" t="s">
        <v>93</v>
      </c>
      <c r="B68" s="65" t="s">
        <v>94</v>
      </c>
      <c r="C68" s="52">
        <f>[7]С2.3!E21</f>
        <v>0</v>
      </c>
    </row>
    <row r="69" spans="1:3" ht="25.5" x14ac:dyDescent="0.2">
      <c r="A69" s="59" t="s">
        <v>95</v>
      </c>
      <c r="B69" s="66" t="s">
        <v>96</v>
      </c>
      <c r="C69" s="67">
        <f>[7]С2.3!E11</f>
        <v>9.89</v>
      </c>
    </row>
    <row r="70" spans="1:3" ht="25.5" x14ac:dyDescent="0.2">
      <c r="A70" s="59" t="s">
        <v>97</v>
      </c>
      <c r="B70" s="66" t="s">
        <v>98</v>
      </c>
      <c r="C70" s="62">
        <f>[7]С2.3!E13</f>
        <v>300</v>
      </c>
    </row>
    <row r="71" spans="1:3" ht="25.5" x14ac:dyDescent="0.2">
      <c r="A71" s="59" t="s">
        <v>99</v>
      </c>
      <c r="B71" s="65" t="s">
        <v>100</v>
      </c>
      <c r="C71" s="68">
        <f>IF([7]С2.3!E22&gt;0,[7]С2.3!E22,[7]С2.3!E14)</f>
        <v>61211</v>
      </c>
    </row>
    <row r="72" spans="1:3" ht="38.25" x14ac:dyDescent="0.2">
      <c r="A72" s="59" t="s">
        <v>101</v>
      </c>
      <c r="B72" s="65" t="s">
        <v>102</v>
      </c>
      <c r="C72" s="68">
        <f>IF([7]С2.3!E23&gt;0,[7]С2.3!E23,[7]С2.3!E15)</f>
        <v>45675</v>
      </c>
    </row>
    <row r="73" spans="1:3" ht="30" x14ac:dyDescent="0.2">
      <c r="A73" s="59" t="s">
        <v>103</v>
      </c>
      <c r="B73" s="53" t="s">
        <v>104</v>
      </c>
      <c r="C73" s="34">
        <f>[7]С2.1!E28</f>
        <v>9541.9567200000001</v>
      </c>
    </row>
    <row r="74" spans="1:3" ht="38.25" x14ac:dyDescent="0.2">
      <c r="A74" s="59" t="s">
        <v>105</v>
      </c>
      <c r="B74" s="65" t="s">
        <v>106</v>
      </c>
      <c r="C74" s="52">
        <f>[7]С2.3!E25</f>
        <v>0</v>
      </c>
    </row>
    <row r="75" spans="1:3" ht="25.5" x14ac:dyDescent="0.2">
      <c r="A75" s="59" t="s">
        <v>107</v>
      </c>
      <c r="B75" s="66" t="s">
        <v>108</v>
      </c>
      <c r="C75" s="67">
        <f>[7]С2.3!E12</f>
        <v>0.56000000000000005</v>
      </c>
    </row>
    <row r="76" spans="1:3" ht="25.5" x14ac:dyDescent="0.2">
      <c r="A76" s="59" t="s">
        <v>109</v>
      </c>
      <c r="B76" s="66" t="s">
        <v>98</v>
      </c>
      <c r="C76" s="62">
        <f>[7]С2.3!E13</f>
        <v>300</v>
      </c>
    </row>
    <row r="77" spans="1:3" ht="25.5" x14ac:dyDescent="0.2">
      <c r="A77" s="59" t="s">
        <v>110</v>
      </c>
      <c r="B77" s="69" t="s">
        <v>111</v>
      </c>
      <c r="C77" s="68">
        <f>IF([7]С2.3!E26&gt;0,[7]С2.3!E26,[7]С2.3!E16)</f>
        <v>65637</v>
      </c>
    </row>
    <row r="78" spans="1:3" ht="38.25" x14ac:dyDescent="0.2">
      <c r="A78" s="59" t="s">
        <v>112</v>
      </c>
      <c r="B78" s="69" t="s">
        <v>113</v>
      </c>
      <c r="C78" s="68">
        <f>IF([7]С2.3!E27&gt;0,[7]С2.3!E27,[7]С2.3!E17)</f>
        <v>31684</v>
      </c>
    </row>
    <row r="79" spans="1:3" ht="17.25" x14ac:dyDescent="0.2">
      <c r="A79" s="59" t="s">
        <v>114</v>
      </c>
      <c r="B79" s="33" t="s">
        <v>115</v>
      </c>
      <c r="C79" s="35">
        <f>[7]С2!F29</f>
        <v>9.5962865259740182E-2</v>
      </c>
    </row>
    <row r="80" spans="1:3" ht="30" x14ac:dyDescent="0.2">
      <c r="A80" s="59" t="s">
        <v>116</v>
      </c>
      <c r="B80" s="53" t="s">
        <v>117</v>
      </c>
      <c r="C80" s="70">
        <f>[7]С2!F30</f>
        <v>8.4029304029304031E-2</v>
      </c>
    </row>
    <row r="81" spans="1:3" ht="17.25" x14ac:dyDescent="0.2">
      <c r="A81" s="59" t="s">
        <v>118</v>
      </c>
      <c r="B81" s="71" t="s">
        <v>119</v>
      </c>
      <c r="C81" s="35">
        <f>[7]С2!F31</f>
        <v>0.13880000000000001</v>
      </c>
    </row>
    <row r="82" spans="1:3" s="63" customFormat="1" ht="18" thickBot="1" x14ac:dyDescent="0.25">
      <c r="A82" s="72" t="s">
        <v>120</v>
      </c>
      <c r="B82" s="73" t="s">
        <v>121</v>
      </c>
      <c r="C82" s="74">
        <f>[7]С2!F32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[7]С3!F14</f>
        <v>6117.6201782637581</v>
      </c>
    </row>
    <row r="86" spans="1:3" s="63" customFormat="1" ht="42.75" x14ac:dyDescent="0.2">
      <c r="A86" s="77" t="s">
        <v>126</v>
      </c>
      <c r="B86" s="53" t="s">
        <v>127</v>
      </c>
      <c r="C86" s="78">
        <f>[7]С3!F15</f>
        <v>0.2</v>
      </c>
    </row>
    <row r="87" spans="1:3" s="63" customFormat="1" ht="14.25" x14ac:dyDescent="0.2">
      <c r="A87" s="77" t="s">
        <v>128</v>
      </c>
      <c r="B87" s="79" t="s">
        <v>129</v>
      </c>
      <c r="C87" s="62">
        <f>[7]С3!F18</f>
        <v>15</v>
      </c>
    </row>
    <row r="88" spans="1:3" s="63" customFormat="1" ht="17.25" x14ac:dyDescent="0.2">
      <c r="A88" s="77" t="s">
        <v>130</v>
      </c>
      <c r="B88" s="33" t="s">
        <v>131</v>
      </c>
      <c r="C88" s="34">
        <f>[7]С3!F19</f>
        <v>3778.1614077800232</v>
      </c>
    </row>
    <row r="89" spans="1:3" s="63" customFormat="1" ht="55.5" x14ac:dyDescent="0.2">
      <c r="A89" s="77" t="s">
        <v>132</v>
      </c>
      <c r="B89" s="53" t="s">
        <v>133</v>
      </c>
      <c r="C89" s="80">
        <f>[7]С3!F20</f>
        <v>2.1999999999999999E-2</v>
      </c>
    </row>
    <row r="90" spans="1:3" s="63" customFormat="1" ht="14.25" x14ac:dyDescent="0.2">
      <c r="A90" s="77" t="s">
        <v>134</v>
      </c>
      <c r="B90" s="58" t="s">
        <v>80</v>
      </c>
      <c r="C90" s="62">
        <f>[7]С3!F21</f>
        <v>10</v>
      </c>
    </row>
    <row r="91" spans="1:3" s="63" customFormat="1" ht="17.25" x14ac:dyDescent="0.2">
      <c r="A91" s="77" t="s">
        <v>135</v>
      </c>
      <c r="B91" s="33" t="s">
        <v>136</v>
      </c>
      <c r="C91" s="34">
        <f>[7]С3!F22</f>
        <v>8.3423602855286667</v>
      </c>
    </row>
    <row r="92" spans="1:3" s="63" customFormat="1" ht="55.5" x14ac:dyDescent="0.2">
      <c r="A92" s="77" t="s">
        <v>137</v>
      </c>
      <c r="B92" s="53" t="s">
        <v>138</v>
      </c>
      <c r="C92" s="80">
        <f>[7]С3!F23</f>
        <v>3.0000000000000001E-3</v>
      </c>
    </row>
    <row r="93" spans="1:3" s="63" customFormat="1" ht="27.75" thickBot="1" x14ac:dyDescent="0.25">
      <c r="A93" s="81" t="s">
        <v>139</v>
      </c>
      <c r="B93" s="82" t="s">
        <v>140</v>
      </c>
      <c r="C93" s="83">
        <f>[7]С3!F24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[7]С4!F16</f>
        <v>1652.5</v>
      </c>
    </row>
    <row r="97" spans="1:3" ht="30" x14ac:dyDescent="0.2">
      <c r="A97" s="59" t="s">
        <v>145</v>
      </c>
      <c r="B97" s="58" t="s">
        <v>146</v>
      </c>
      <c r="C97" s="34">
        <f>[7]С4!F17</f>
        <v>73547</v>
      </c>
    </row>
    <row r="98" spans="1:3" ht="17.25" x14ac:dyDescent="0.2">
      <c r="A98" s="59" t="s">
        <v>147</v>
      </c>
      <c r="B98" s="58" t="s">
        <v>148</v>
      </c>
      <c r="C98" s="40">
        <f>[7]С4!F18</f>
        <v>0.02</v>
      </c>
    </row>
    <row r="99" spans="1:3" ht="30" x14ac:dyDescent="0.2">
      <c r="A99" s="59" t="s">
        <v>149</v>
      </c>
      <c r="B99" s="58" t="s">
        <v>150</v>
      </c>
      <c r="C99" s="34">
        <f>[7]С4!F19</f>
        <v>12104</v>
      </c>
    </row>
    <row r="100" spans="1:3" ht="31.5" x14ac:dyDescent="0.2">
      <c r="A100" s="59" t="s">
        <v>151</v>
      </c>
      <c r="B100" s="58" t="s">
        <v>152</v>
      </c>
      <c r="C100" s="40">
        <f>[7]С4!F20</f>
        <v>1.4999999999999999E-2</v>
      </c>
    </row>
    <row r="101" spans="1:3" ht="30" x14ac:dyDescent="0.2">
      <c r="A101" s="59" t="s">
        <v>153</v>
      </c>
      <c r="B101" s="33" t="s">
        <v>154</v>
      </c>
      <c r="C101" s="34">
        <f>[7]С4!F21</f>
        <v>1933.1949342509995</v>
      </c>
    </row>
    <row r="102" spans="1:3" ht="24" customHeight="1" x14ac:dyDescent="0.2">
      <c r="A102" s="59" t="s">
        <v>155</v>
      </c>
      <c r="B102" s="53" t="s">
        <v>156</v>
      </c>
      <c r="C102" s="85">
        <f>IF([7]С4.2!F8="да",[7]С4.2!D21,[7]С4.2!D15)</f>
        <v>0</v>
      </c>
    </row>
    <row r="103" spans="1:3" ht="68.25" x14ac:dyDescent="0.2">
      <c r="A103" s="59" t="s">
        <v>157</v>
      </c>
      <c r="B103" s="53" t="s">
        <v>158</v>
      </c>
      <c r="C103" s="34">
        <f>[7]С4!F22</f>
        <v>3.6112641666666665</v>
      </c>
    </row>
    <row r="104" spans="1:3" ht="30" x14ac:dyDescent="0.2">
      <c r="A104" s="59" t="s">
        <v>159</v>
      </c>
      <c r="B104" s="58" t="s">
        <v>160</v>
      </c>
      <c r="C104" s="34">
        <f>[7]С4!F23</f>
        <v>180</v>
      </c>
    </row>
    <row r="105" spans="1:3" ht="14.25" x14ac:dyDescent="0.2">
      <c r="A105" s="59" t="s">
        <v>161</v>
      </c>
      <c r="B105" s="53" t="s">
        <v>162</v>
      </c>
      <c r="C105" s="34">
        <f>[7]С4!F24</f>
        <v>8497.1999999999989</v>
      </c>
    </row>
    <row r="106" spans="1:3" ht="14.25" x14ac:dyDescent="0.2">
      <c r="A106" s="59" t="s">
        <v>163</v>
      </c>
      <c r="B106" s="58" t="s">
        <v>164</v>
      </c>
      <c r="C106" s="40">
        <f>[7]С4!F25</f>
        <v>0.35</v>
      </c>
    </row>
    <row r="107" spans="1:3" ht="17.25" x14ac:dyDescent="0.2">
      <c r="A107" s="59" t="s">
        <v>165</v>
      </c>
      <c r="B107" s="33" t="s">
        <v>166</v>
      </c>
      <c r="C107" s="34">
        <f>[7]С4!F26</f>
        <v>85.988129999999998</v>
      </c>
    </row>
    <row r="108" spans="1:3" ht="25.5" x14ac:dyDescent="0.2">
      <c r="A108" s="59" t="s">
        <v>167</v>
      </c>
      <c r="B108" s="53" t="s">
        <v>94</v>
      </c>
      <c r="C108" s="85">
        <f>[7]С4.3!E16</f>
        <v>0</v>
      </c>
    </row>
    <row r="109" spans="1:3" ht="25.5" x14ac:dyDescent="0.2">
      <c r="A109" s="59" t="s">
        <v>168</v>
      </c>
      <c r="B109" s="53" t="s">
        <v>169</v>
      </c>
      <c r="C109" s="34">
        <f>[7]С4.3!E17</f>
        <v>20.350000000000001</v>
      </c>
    </row>
    <row r="110" spans="1:3" ht="38.25" x14ac:dyDescent="0.2">
      <c r="A110" s="59" t="s">
        <v>170</v>
      </c>
      <c r="B110" s="53" t="s">
        <v>106</v>
      </c>
      <c r="C110" s="85">
        <f>[7]С4.3!E18</f>
        <v>0</v>
      </c>
    </row>
    <row r="111" spans="1:3" x14ac:dyDescent="0.2">
      <c r="A111" s="59" t="s">
        <v>171</v>
      </c>
      <c r="B111" s="53" t="s">
        <v>172</v>
      </c>
      <c r="C111" s="34">
        <f>[7]С4.3!E19</f>
        <v>71.67</v>
      </c>
    </row>
    <row r="112" spans="1:3" x14ac:dyDescent="0.2">
      <c r="A112" s="59" t="s">
        <v>173</v>
      </c>
      <c r="B112" s="58" t="s">
        <v>174</v>
      </c>
      <c r="C112" s="34">
        <f>[7]С4.3!E11</f>
        <v>1871</v>
      </c>
    </row>
    <row r="113" spans="1:3" x14ac:dyDescent="0.2">
      <c r="A113" s="59" t="s">
        <v>175</v>
      </c>
      <c r="B113" s="58" t="s">
        <v>176</v>
      </c>
      <c r="C113" s="52">
        <f>[7]С4.3!E12</f>
        <v>1636</v>
      </c>
    </row>
    <row r="114" spans="1:3" x14ac:dyDescent="0.2">
      <c r="A114" s="59" t="s">
        <v>177</v>
      </c>
      <c r="B114" s="58" t="s">
        <v>178</v>
      </c>
      <c r="C114" s="52">
        <f>[7]С4.3!E13</f>
        <v>204</v>
      </c>
    </row>
    <row r="115" spans="1:3" ht="30" x14ac:dyDescent="0.2">
      <c r="A115" s="59" t="s">
        <v>179</v>
      </c>
      <c r="B115" s="33" t="s">
        <v>180</v>
      </c>
      <c r="C115" s="34">
        <f>[7]С4!F27</f>
        <v>1291.2863994686898</v>
      </c>
    </row>
    <row r="116" spans="1:3" ht="25.5" x14ac:dyDescent="0.2">
      <c r="A116" s="59" t="s">
        <v>181</v>
      </c>
      <c r="B116" s="53" t="s">
        <v>182</v>
      </c>
      <c r="C116" s="34">
        <f>[7]С4!F28</f>
        <v>991.77142816335618</v>
      </c>
    </row>
    <row r="117" spans="1:3" ht="42.75" x14ac:dyDescent="0.2">
      <c r="A117" s="59" t="s">
        <v>183</v>
      </c>
      <c r="B117" s="53" t="s">
        <v>184</v>
      </c>
      <c r="C117" s="34">
        <f>[7]С4!F29</f>
        <v>299.51497130533357</v>
      </c>
    </row>
    <row r="118" spans="1:3" ht="30" x14ac:dyDescent="0.2">
      <c r="A118" s="59" t="s">
        <v>185</v>
      </c>
      <c r="B118" s="39" t="s">
        <v>186</v>
      </c>
      <c r="C118" s="34">
        <f>[7]С4!F30</f>
        <v>1846.1709738656207</v>
      </c>
    </row>
    <row r="119" spans="1:3" ht="42.75" x14ac:dyDescent="0.2">
      <c r="A119" s="59" t="s">
        <v>187</v>
      </c>
      <c r="B119" s="86" t="s">
        <v>188</v>
      </c>
      <c r="C119" s="34">
        <f>[7]С4!F33</f>
        <v>1124.091225525967</v>
      </c>
    </row>
    <row r="120" spans="1:3" ht="30" x14ac:dyDescent="0.2">
      <c r="A120" s="59" t="s">
        <v>189</v>
      </c>
      <c r="B120" s="87" t="s">
        <v>190</v>
      </c>
      <c r="C120" s="34">
        <f>[7]С4!F35</f>
        <v>17.040680999999999</v>
      </c>
    </row>
    <row r="121" spans="1:3" ht="14.25" x14ac:dyDescent="0.2">
      <c r="A121" s="59" t="s">
        <v>191</v>
      </c>
      <c r="B121" s="56" t="s">
        <v>192</v>
      </c>
      <c r="C121" s="34">
        <f>[7]С4!F36</f>
        <v>14319.9</v>
      </c>
    </row>
    <row r="122" spans="1:3" ht="28.5" thickBot="1" x14ac:dyDescent="0.25">
      <c r="A122" s="72" t="s">
        <v>193</v>
      </c>
      <c r="B122" s="88" t="s">
        <v>194</v>
      </c>
      <c r="C122" s="83">
        <f>[7]С4!F37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[7]С5!F17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[7]С2!F37</f>
        <v>20.818139999999996</v>
      </c>
    </row>
    <row r="136" spans="1:4" ht="14.25" x14ac:dyDescent="0.2">
      <c r="A136" s="59" t="s">
        <v>216</v>
      </c>
      <c r="B136" s="101" t="s">
        <v>217</v>
      </c>
      <c r="C136" s="34">
        <f>[7]С2!F38</f>
        <v>7</v>
      </c>
    </row>
    <row r="137" spans="1:4" ht="17.25" x14ac:dyDescent="0.2">
      <c r="A137" s="59" t="s">
        <v>218</v>
      </c>
      <c r="B137" s="101" t="s">
        <v>219</v>
      </c>
      <c r="C137" s="34">
        <f>[7]С2!F40</f>
        <v>0.97</v>
      </c>
    </row>
    <row r="138" spans="1:4" ht="15" thickBot="1" x14ac:dyDescent="0.25">
      <c r="A138" s="72" t="s">
        <v>220</v>
      </c>
      <c r="B138" s="102" t="s">
        <v>221</v>
      </c>
      <c r="C138" s="46">
        <f>[7]С2!F42</f>
        <v>0.35</v>
      </c>
    </row>
    <row r="139" spans="1:4" s="89" customFormat="1" ht="13.5" thickBot="1" x14ac:dyDescent="0.25">
      <c r="A139" s="47"/>
      <c r="B139" s="75"/>
      <c r="C139" s="15"/>
    </row>
    <row r="140" spans="1:4" ht="30" x14ac:dyDescent="0.2">
      <c r="A140" s="84" t="s">
        <v>222</v>
      </c>
      <c r="B140" s="103" t="s">
        <v>223</v>
      </c>
      <c r="C140" s="104">
        <f>[7]С2!F35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[7]С2.5!$E$11</f>
        <v>-2.9000000000000026E-2</v>
      </c>
      <c r="D143" s="89"/>
    </row>
    <row r="144" spans="1:4" x14ac:dyDescent="0.2">
      <c r="A144" s="105"/>
      <c r="B144" s="110">
        <f>B143+1</f>
        <v>2021</v>
      </c>
      <c r="C144" s="111">
        <f>[7]С2.5!$F$11</f>
        <v>0.245</v>
      </c>
      <c r="D144" s="89"/>
    </row>
    <row r="145" spans="1:4" x14ac:dyDescent="0.2">
      <c r="A145" s="105"/>
      <c r="B145" s="110">
        <f t="shared" ref="B145:B208" si="0">B144+1</f>
        <v>2022</v>
      </c>
      <c r="C145" s="111">
        <f>[7]С2.5!$G$11</f>
        <v>0.114</v>
      </c>
      <c r="D145" s="89"/>
    </row>
    <row r="146" spans="1:4" ht="13.5" thickBot="1" x14ac:dyDescent="0.25">
      <c r="A146" s="105"/>
      <c r="B146" s="112">
        <f t="shared" si="0"/>
        <v>2023</v>
      </c>
      <c r="C146" s="113">
        <f>[7]С2.5!$H$11</f>
        <v>2.4E-2</v>
      </c>
      <c r="D146" s="89"/>
    </row>
    <row r="147" spans="1:4" x14ac:dyDescent="0.2">
      <c r="A147" s="105"/>
      <c r="B147" s="114">
        <f t="shared" si="0"/>
        <v>2024</v>
      </c>
      <c r="C147" s="115">
        <f>[7]С2.5!$I$11</f>
        <v>8.5999999999999993E-2</v>
      </c>
      <c r="D147" s="89"/>
    </row>
    <row r="148" spans="1:4" hidden="1" x14ac:dyDescent="0.2">
      <c r="A148" s="105"/>
      <c r="B148" s="110">
        <f t="shared" si="0"/>
        <v>2025</v>
      </c>
      <c r="C148" s="111">
        <f>[7]С2.5!$J$11</f>
        <v>0.21215960863291</v>
      </c>
      <c r="D148" s="89"/>
    </row>
    <row r="149" spans="1:4" hidden="1" x14ac:dyDescent="0.2">
      <c r="A149" s="105"/>
      <c r="B149" s="110">
        <f t="shared" si="0"/>
        <v>2026</v>
      </c>
      <c r="C149" s="111">
        <f>[7]С2.5!$K$11</f>
        <v>3.5813361771260002E-2</v>
      </c>
      <c r="D149" s="89"/>
    </row>
    <row r="150" spans="1:4" hidden="1" x14ac:dyDescent="0.2">
      <c r="A150" s="105"/>
      <c r="B150" s="110">
        <f t="shared" si="0"/>
        <v>2027</v>
      </c>
      <c r="C150" s="111">
        <f>[7]С2.5!$L$11</f>
        <v>3.2682303599220003E-2</v>
      </c>
      <c r="D150" s="89"/>
    </row>
    <row r="151" spans="1:4" hidden="1" x14ac:dyDescent="0.2">
      <c r="A151" s="105"/>
      <c r="B151" s="110">
        <f t="shared" si="0"/>
        <v>2028</v>
      </c>
      <c r="C151" s="111">
        <f>[7]С2.5!$M$11</f>
        <v>0</v>
      </c>
      <c r="D151" s="89"/>
    </row>
    <row r="152" spans="1:4" hidden="1" x14ac:dyDescent="0.2">
      <c r="A152" s="105"/>
      <c r="B152" s="110">
        <f t="shared" si="0"/>
        <v>2029</v>
      </c>
      <c r="C152" s="111">
        <f>[7]С2.5!$N$11</f>
        <v>0</v>
      </c>
      <c r="D152" s="89"/>
    </row>
    <row r="153" spans="1:4" hidden="1" x14ac:dyDescent="0.2">
      <c r="A153" s="105"/>
      <c r="B153" s="110">
        <f t="shared" si="0"/>
        <v>2030</v>
      </c>
      <c r="C153" s="111">
        <f>[7]С2.5!$O$11</f>
        <v>0</v>
      </c>
      <c r="D153" s="89"/>
    </row>
    <row r="154" spans="1:4" hidden="1" x14ac:dyDescent="0.2">
      <c r="A154" s="105"/>
      <c r="B154" s="110">
        <f t="shared" si="0"/>
        <v>2031</v>
      </c>
      <c r="C154" s="111">
        <f>[7]С2.5!$P$11</f>
        <v>0</v>
      </c>
      <c r="D154" s="89"/>
    </row>
    <row r="155" spans="1:4" hidden="1" x14ac:dyDescent="0.2">
      <c r="A155" s="89"/>
      <c r="B155" s="110">
        <f t="shared" si="0"/>
        <v>2032</v>
      </c>
      <c r="C155" s="111">
        <f>[7]С2.5!$Q$11</f>
        <v>0</v>
      </c>
      <c r="D155" s="89"/>
    </row>
    <row r="156" spans="1:4" hidden="1" x14ac:dyDescent="0.2">
      <c r="A156" s="89"/>
      <c r="B156" s="110">
        <f t="shared" si="0"/>
        <v>2033</v>
      </c>
      <c r="C156" s="111">
        <f>[7]С2.5!$R$11</f>
        <v>0</v>
      </c>
      <c r="D156" s="89"/>
    </row>
    <row r="157" spans="1:4" hidden="1" x14ac:dyDescent="0.2">
      <c r="B157" s="110">
        <f t="shared" si="0"/>
        <v>2034</v>
      </c>
      <c r="C157" s="111">
        <f>[7]С2.5!$S$11</f>
        <v>0</v>
      </c>
    </row>
    <row r="158" spans="1:4" hidden="1" x14ac:dyDescent="0.2">
      <c r="B158" s="110">
        <f t="shared" si="0"/>
        <v>2035</v>
      </c>
      <c r="C158" s="111">
        <f>[7]С2.5!$T$11</f>
        <v>0</v>
      </c>
    </row>
    <row r="159" spans="1:4" hidden="1" x14ac:dyDescent="0.2">
      <c r="B159" s="110">
        <f t="shared" si="0"/>
        <v>2036</v>
      </c>
      <c r="C159" s="111">
        <f>[7]С2.5!$U$11</f>
        <v>0</v>
      </c>
    </row>
    <row r="160" spans="1:4" hidden="1" x14ac:dyDescent="0.2">
      <c r="B160" s="110">
        <f t="shared" si="0"/>
        <v>2037</v>
      </c>
      <c r="C160" s="111">
        <f>[7]С2.5!$V$11</f>
        <v>0</v>
      </c>
    </row>
    <row r="161" spans="2:3" hidden="1" x14ac:dyDescent="0.2">
      <c r="B161" s="110">
        <f t="shared" si="0"/>
        <v>2038</v>
      </c>
      <c r="C161" s="111">
        <f>[7]С2.5!$W$11</f>
        <v>0</v>
      </c>
    </row>
    <row r="162" spans="2:3" hidden="1" x14ac:dyDescent="0.2">
      <c r="B162" s="110">
        <f t="shared" si="0"/>
        <v>2039</v>
      </c>
      <c r="C162" s="111">
        <f>[7]С2.5!$X$11</f>
        <v>0</v>
      </c>
    </row>
    <row r="163" spans="2:3" hidden="1" x14ac:dyDescent="0.2">
      <c r="B163" s="110">
        <f t="shared" si="0"/>
        <v>2040</v>
      </c>
      <c r="C163" s="111">
        <f>[7]С2.5!$Y$11</f>
        <v>0</v>
      </c>
    </row>
    <row r="164" spans="2:3" hidden="1" x14ac:dyDescent="0.2">
      <c r="B164" s="110">
        <f t="shared" si="0"/>
        <v>2041</v>
      </c>
      <c r="C164" s="111">
        <f>[7]С2.5!$Z$11</f>
        <v>0</v>
      </c>
    </row>
    <row r="165" spans="2:3" hidden="1" x14ac:dyDescent="0.2">
      <c r="B165" s="110">
        <f t="shared" si="0"/>
        <v>2042</v>
      </c>
      <c r="C165" s="111">
        <f>[7]С2.5!$AA$11</f>
        <v>0</v>
      </c>
    </row>
    <row r="166" spans="2:3" hidden="1" x14ac:dyDescent="0.2">
      <c r="B166" s="110">
        <f t="shared" si="0"/>
        <v>2043</v>
      </c>
      <c r="C166" s="111">
        <f>[7]С2.5!$AB$11</f>
        <v>0</v>
      </c>
    </row>
    <row r="167" spans="2:3" hidden="1" x14ac:dyDescent="0.2">
      <c r="B167" s="110">
        <f t="shared" si="0"/>
        <v>2044</v>
      </c>
      <c r="C167" s="111">
        <f>[7]С2.5!$AC$11</f>
        <v>0</v>
      </c>
    </row>
    <row r="168" spans="2:3" hidden="1" x14ac:dyDescent="0.2">
      <c r="B168" s="110">
        <f t="shared" si="0"/>
        <v>2045</v>
      </c>
      <c r="C168" s="111">
        <f>[7]С2.5!$AD$11</f>
        <v>0</v>
      </c>
    </row>
    <row r="169" spans="2:3" hidden="1" x14ac:dyDescent="0.2">
      <c r="B169" s="110">
        <f t="shared" si="0"/>
        <v>2046</v>
      </c>
      <c r="C169" s="111">
        <f>[7]С2.5!$AE$11</f>
        <v>0</v>
      </c>
    </row>
    <row r="170" spans="2:3" hidden="1" x14ac:dyDescent="0.2">
      <c r="B170" s="110">
        <f t="shared" si="0"/>
        <v>2047</v>
      </c>
      <c r="C170" s="111">
        <f>[7]С2.5!$AF$11</f>
        <v>0</v>
      </c>
    </row>
    <row r="171" spans="2:3" hidden="1" x14ac:dyDescent="0.2">
      <c r="B171" s="110">
        <f t="shared" si="0"/>
        <v>2048</v>
      </c>
      <c r="C171" s="111">
        <f>[7]С2.5!$AG$11</f>
        <v>0</v>
      </c>
    </row>
    <row r="172" spans="2:3" hidden="1" x14ac:dyDescent="0.2">
      <c r="B172" s="110">
        <f t="shared" si="0"/>
        <v>2049</v>
      </c>
      <c r="C172" s="111">
        <f>[7]С2.5!$AH$11</f>
        <v>0</v>
      </c>
    </row>
    <row r="173" spans="2:3" hidden="1" x14ac:dyDescent="0.2">
      <c r="B173" s="110">
        <f t="shared" si="0"/>
        <v>2050</v>
      </c>
      <c r="C173" s="111">
        <f>[7]С2.5!$AI$11</f>
        <v>0</v>
      </c>
    </row>
    <row r="174" spans="2:3" hidden="1" x14ac:dyDescent="0.2">
      <c r="B174" s="110">
        <f t="shared" si="0"/>
        <v>2051</v>
      </c>
      <c r="C174" s="111">
        <f>[7]С2.5!$AJ$11</f>
        <v>0</v>
      </c>
    </row>
    <row r="175" spans="2:3" hidden="1" x14ac:dyDescent="0.2">
      <c r="B175" s="110">
        <f t="shared" si="0"/>
        <v>2052</v>
      </c>
      <c r="C175" s="111">
        <f>[7]С2.5!$AK$11</f>
        <v>0</v>
      </c>
    </row>
    <row r="176" spans="2:3" hidden="1" x14ac:dyDescent="0.2">
      <c r="B176" s="110">
        <f t="shared" si="0"/>
        <v>2053</v>
      </c>
      <c r="C176" s="111">
        <f>[7]С2.5!$AL$11</f>
        <v>0</v>
      </c>
    </row>
    <row r="177" spans="2:3" hidden="1" x14ac:dyDescent="0.2">
      <c r="B177" s="110">
        <f t="shared" si="0"/>
        <v>2054</v>
      </c>
      <c r="C177" s="111">
        <f>[7]С2.5!$AM$11</f>
        <v>0</v>
      </c>
    </row>
    <row r="178" spans="2:3" hidden="1" x14ac:dyDescent="0.2">
      <c r="B178" s="110">
        <f t="shared" si="0"/>
        <v>2055</v>
      </c>
      <c r="C178" s="111">
        <f>[7]С2.5!$AN$11</f>
        <v>0</v>
      </c>
    </row>
    <row r="179" spans="2:3" hidden="1" x14ac:dyDescent="0.2">
      <c r="B179" s="110">
        <f t="shared" si="0"/>
        <v>2056</v>
      </c>
      <c r="C179" s="111">
        <f>[7]С2.5!$AO$11</f>
        <v>0</v>
      </c>
    </row>
    <row r="180" spans="2:3" hidden="1" x14ac:dyDescent="0.2">
      <c r="B180" s="110">
        <f t="shared" si="0"/>
        <v>2057</v>
      </c>
      <c r="C180" s="111">
        <f>[7]С2.5!$AP$11</f>
        <v>0</v>
      </c>
    </row>
    <row r="181" spans="2:3" hidden="1" x14ac:dyDescent="0.2">
      <c r="B181" s="110">
        <f t="shared" si="0"/>
        <v>2058</v>
      </c>
      <c r="C181" s="111">
        <f>[7]С2.5!$AQ$11</f>
        <v>0</v>
      </c>
    </row>
    <row r="182" spans="2:3" hidden="1" x14ac:dyDescent="0.2">
      <c r="B182" s="110">
        <f t="shared" si="0"/>
        <v>2059</v>
      </c>
      <c r="C182" s="111">
        <f>[7]С2.5!$AR$11</f>
        <v>0</v>
      </c>
    </row>
    <row r="183" spans="2:3" hidden="1" x14ac:dyDescent="0.2">
      <c r="B183" s="110">
        <f t="shared" si="0"/>
        <v>2060</v>
      </c>
      <c r="C183" s="111">
        <f>[7]С2.5!$AS$11</f>
        <v>0</v>
      </c>
    </row>
    <row r="184" spans="2:3" hidden="1" x14ac:dyDescent="0.2">
      <c r="B184" s="110">
        <f t="shared" si="0"/>
        <v>2061</v>
      </c>
      <c r="C184" s="111">
        <f>[7]С2.5!$AT$11</f>
        <v>0</v>
      </c>
    </row>
    <row r="185" spans="2:3" hidden="1" x14ac:dyDescent="0.2">
      <c r="B185" s="110">
        <f t="shared" si="0"/>
        <v>2062</v>
      </c>
      <c r="C185" s="111">
        <f>[7]С2.5!$AU$11</f>
        <v>0</v>
      </c>
    </row>
    <row r="186" spans="2:3" hidden="1" x14ac:dyDescent="0.2">
      <c r="B186" s="110">
        <f t="shared" si="0"/>
        <v>2063</v>
      </c>
      <c r="C186" s="111">
        <f>[7]С2.5!$AV$11</f>
        <v>0</v>
      </c>
    </row>
    <row r="187" spans="2:3" hidden="1" x14ac:dyDescent="0.2">
      <c r="B187" s="110">
        <f t="shared" si="0"/>
        <v>2064</v>
      </c>
      <c r="C187" s="111">
        <f>[7]С2.5!$AW$11</f>
        <v>0</v>
      </c>
    </row>
    <row r="188" spans="2:3" hidden="1" x14ac:dyDescent="0.2">
      <c r="B188" s="110">
        <f t="shared" si="0"/>
        <v>2065</v>
      </c>
      <c r="C188" s="111">
        <f>[7]С2.5!$AX$11</f>
        <v>0</v>
      </c>
    </row>
    <row r="189" spans="2:3" hidden="1" x14ac:dyDescent="0.2">
      <c r="B189" s="110">
        <f t="shared" si="0"/>
        <v>2066</v>
      </c>
      <c r="C189" s="111">
        <f>[7]С2.5!$AY$11</f>
        <v>0</v>
      </c>
    </row>
    <row r="190" spans="2:3" hidden="1" x14ac:dyDescent="0.2">
      <c r="B190" s="110">
        <f t="shared" si="0"/>
        <v>2067</v>
      </c>
      <c r="C190" s="111">
        <f>[7]С2.5!$AZ$11</f>
        <v>0</v>
      </c>
    </row>
    <row r="191" spans="2:3" hidden="1" x14ac:dyDescent="0.2">
      <c r="B191" s="110">
        <f t="shared" si="0"/>
        <v>2068</v>
      </c>
      <c r="C191" s="111">
        <f>[7]С2.5!$BA$11</f>
        <v>0</v>
      </c>
    </row>
    <row r="192" spans="2:3" hidden="1" x14ac:dyDescent="0.2">
      <c r="B192" s="110">
        <f t="shared" si="0"/>
        <v>2069</v>
      </c>
      <c r="C192" s="111">
        <f>[7]С2.5!$BB$11</f>
        <v>0</v>
      </c>
    </row>
    <row r="193" spans="2:3" hidden="1" x14ac:dyDescent="0.2">
      <c r="B193" s="110">
        <f t="shared" si="0"/>
        <v>2070</v>
      </c>
      <c r="C193" s="111">
        <f>[7]С2.5!$BC$11</f>
        <v>0</v>
      </c>
    </row>
    <row r="194" spans="2:3" hidden="1" x14ac:dyDescent="0.2">
      <c r="B194" s="110">
        <f t="shared" si="0"/>
        <v>2071</v>
      </c>
      <c r="C194" s="111">
        <f>[7]С2.5!$BD$11</f>
        <v>0</v>
      </c>
    </row>
    <row r="195" spans="2:3" hidden="1" x14ac:dyDescent="0.2">
      <c r="B195" s="110">
        <f t="shared" si="0"/>
        <v>2072</v>
      </c>
      <c r="C195" s="111">
        <f>[7]С2.5!$BE$11</f>
        <v>0</v>
      </c>
    </row>
    <row r="196" spans="2:3" hidden="1" x14ac:dyDescent="0.2">
      <c r="B196" s="110">
        <f t="shared" si="0"/>
        <v>2073</v>
      </c>
      <c r="C196" s="111">
        <f>[7]С2.5!$BF$11</f>
        <v>0</v>
      </c>
    </row>
    <row r="197" spans="2:3" hidden="1" x14ac:dyDescent="0.2">
      <c r="B197" s="110">
        <f t="shared" si="0"/>
        <v>2074</v>
      </c>
      <c r="C197" s="111">
        <f>[7]С2.5!$BG$11</f>
        <v>0</v>
      </c>
    </row>
    <row r="198" spans="2:3" hidden="1" x14ac:dyDescent="0.2">
      <c r="B198" s="110">
        <f t="shared" si="0"/>
        <v>2075</v>
      </c>
      <c r="C198" s="111">
        <f>[7]С2.5!$BH$11</f>
        <v>0</v>
      </c>
    </row>
    <row r="199" spans="2:3" hidden="1" x14ac:dyDescent="0.2">
      <c r="B199" s="110">
        <f t="shared" si="0"/>
        <v>2076</v>
      </c>
      <c r="C199" s="111">
        <f>[7]С2.5!$BI$11</f>
        <v>0</v>
      </c>
    </row>
    <row r="200" spans="2:3" hidden="1" x14ac:dyDescent="0.2">
      <c r="B200" s="110">
        <f t="shared" si="0"/>
        <v>2077</v>
      </c>
      <c r="C200" s="111">
        <f>[7]С2.5!$BJ$11</f>
        <v>0</v>
      </c>
    </row>
    <row r="201" spans="2:3" hidden="1" x14ac:dyDescent="0.2">
      <c r="B201" s="110">
        <f t="shared" si="0"/>
        <v>2078</v>
      </c>
      <c r="C201" s="111">
        <f>[7]С2.5!$BK$11</f>
        <v>0</v>
      </c>
    </row>
    <row r="202" spans="2:3" hidden="1" x14ac:dyDescent="0.2">
      <c r="B202" s="110">
        <f t="shared" si="0"/>
        <v>2079</v>
      </c>
      <c r="C202" s="111">
        <f>[7]С2.5!$BL$11</f>
        <v>0</v>
      </c>
    </row>
    <row r="203" spans="2:3" hidden="1" x14ac:dyDescent="0.2">
      <c r="B203" s="110">
        <f t="shared" si="0"/>
        <v>2080</v>
      </c>
      <c r="C203" s="111">
        <f>[7]С2.5!$BM$11</f>
        <v>0</v>
      </c>
    </row>
    <row r="204" spans="2:3" hidden="1" x14ac:dyDescent="0.2">
      <c r="B204" s="110">
        <f t="shared" si="0"/>
        <v>2081</v>
      </c>
      <c r="C204" s="111">
        <f>[7]С2.5!$BN$11</f>
        <v>0</v>
      </c>
    </row>
    <row r="205" spans="2:3" hidden="1" x14ac:dyDescent="0.2">
      <c r="B205" s="110">
        <f t="shared" si="0"/>
        <v>2082</v>
      </c>
      <c r="C205" s="111">
        <f>[7]С2.5!$BO$11</f>
        <v>0</v>
      </c>
    </row>
    <row r="206" spans="2:3" hidden="1" x14ac:dyDescent="0.2">
      <c r="B206" s="110">
        <f t="shared" si="0"/>
        <v>2083</v>
      </c>
      <c r="C206" s="111">
        <f>[7]С2.5!$BP$11</f>
        <v>0</v>
      </c>
    </row>
    <row r="207" spans="2:3" hidden="1" x14ac:dyDescent="0.2">
      <c r="B207" s="110">
        <f t="shared" si="0"/>
        <v>2084</v>
      </c>
      <c r="C207" s="111">
        <f>[7]С2.5!$BQ$11</f>
        <v>0</v>
      </c>
    </row>
    <row r="208" spans="2:3" hidden="1" x14ac:dyDescent="0.2">
      <c r="B208" s="110">
        <f t="shared" si="0"/>
        <v>2085</v>
      </c>
      <c r="C208" s="111">
        <f>[7]С2.5!$BR$11</f>
        <v>0</v>
      </c>
    </row>
    <row r="209" spans="2:3" hidden="1" x14ac:dyDescent="0.2">
      <c r="B209" s="110">
        <f t="shared" ref="B209:B223" si="1">B208+1</f>
        <v>2086</v>
      </c>
      <c r="C209" s="111">
        <f>[7]С2.5!$BS$11</f>
        <v>0</v>
      </c>
    </row>
    <row r="210" spans="2:3" hidden="1" x14ac:dyDescent="0.2">
      <c r="B210" s="110">
        <f t="shared" si="1"/>
        <v>2087</v>
      </c>
      <c r="C210" s="111">
        <f>[7]С2.5!$BT$11</f>
        <v>0</v>
      </c>
    </row>
    <row r="211" spans="2:3" hidden="1" x14ac:dyDescent="0.2">
      <c r="B211" s="110">
        <f t="shared" si="1"/>
        <v>2088</v>
      </c>
      <c r="C211" s="111">
        <f>[7]С2.5!$BU$11</f>
        <v>0</v>
      </c>
    </row>
    <row r="212" spans="2:3" hidden="1" x14ac:dyDescent="0.2">
      <c r="B212" s="110">
        <f t="shared" si="1"/>
        <v>2089</v>
      </c>
      <c r="C212" s="111">
        <f>[7]С2.5!$BV$11</f>
        <v>0</v>
      </c>
    </row>
    <row r="213" spans="2:3" hidden="1" x14ac:dyDescent="0.2">
      <c r="B213" s="110">
        <f t="shared" si="1"/>
        <v>2090</v>
      </c>
      <c r="C213" s="111">
        <f>[7]С2.5!$BW$11</f>
        <v>0</v>
      </c>
    </row>
    <row r="214" spans="2:3" hidden="1" x14ac:dyDescent="0.2">
      <c r="B214" s="110">
        <f t="shared" si="1"/>
        <v>2091</v>
      </c>
      <c r="C214" s="111">
        <f>[7]С2.5!$BX$11</f>
        <v>0</v>
      </c>
    </row>
    <row r="215" spans="2:3" hidden="1" x14ac:dyDescent="0.2">
      <c r="B215" s="110">
        <f t="shared" si="1"/>
        <v>2092</v>
      </c>
      <c r="C215" s="111">
        <f>[7]С2.5!$BY$11</f>
        <v>0</v>
      </c>
    </row>
    <row r="216" spans="2:3" hidden="1" x14ac:dyDescent="0.2">
      <c r="B216" s="110">
        <f t="shared" si="1"/>
        <v>2093</v>
      </c>
      <c r="C216" s="111">
        <f>[7]С2.5!$BZ$11</f>
        <v>0</v>
      </c>
    </row>
    <row r="217" spans="2:3" hidden="1" x14ac:dyDescent="0.2">
      <c r="B217" s="110">
        <f t="shared" si="1"/>
        <v>2094</v>
      </c>
      <c r="C217" s="111">
        <f>[7]С2.5!$CA$11</f>
        <v>0</v>
      </c>
    </row>
    <row r="218" spans="2:3" hidden="1" x14ac:dyDescent="0.2">
      <c r="B218" s="110">
        <f t="shared" si="1"/>
        <v>2095</v>
      </c>
      <c r="C218" s="111">
        <f>[7]С2.5!$CB$11</f>
        <v>0</v>
      </c>
    </row>
    <row r="219" spans="2:3" hidden="1" x14ac:dyDescent="0.2">
      <c r="B219" s="110">
        <f t="shared" si="1"/>
        <v>2096</v>
      </c>
      <c r="C219" s="111">
        <f>[7]С2.5!$CC$11</f>
        <v>0</v>
      </c>
    </row>
    <row r="220" spans="2:3" hidden="1" x14ac:dyDescent="0.2">
      <c r="B220" s="110">
        <f t="shared" si="1"/>
        <v>2097</v>
      </c>
      <c r="C220" s="111">
        <f>[7]С2.5!$CD$11</f>
        <v>0</v>
      </c>
    </row>
    <row r="221" spans="2:3" hidden="1" x14ac:dyDescent="0.2">
      <c r="B221" s="110">
        <f t="shared" si="1"/>
        <v>2098</v>
      </c>
      <c r="C221" s="111">
        <f>[7]С2.5!$CE$11</f>
        <v>0</v>
      </c>
    </row>
    <row r="222" spans="2:3" hidden="1" x14ac:dyDescent="0.2">
      <c r="B222" s="110">
        <f t="shared" si="1"/>
        <v>2099</v>
      </c>
      <c r="C222" s="111">
        <f>[7]С2.5!$CF$11</f>
        <v>0</v>
      </c>
    </row>
    <row r="223" spans="2:3" ht="13.5" hidden="1" thickBot="1" x14ac:dyDescent="0.25">
      <c r="B223" s="112">
        <f t="shared" si="1"/>
        <v>2100</v>
      </c>
      <c r="C223" s="113">
        <f>[7]С2.5!$CG$11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4098" r:id="rId4" name="Button 2">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28.5703125" style="141" hidden="1" customWidth="1"/>
    <col min="5" max="5" width="5.140625" style="2" customWidth="1"/>
    <col min="6" max="6" width="17.5703125" style="2" customWidth="1"/>
    <col min="7" max="250" width="9.140625" style="2"/>
    <col min="251" max="251" width="3.570312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570312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570312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570312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570312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570312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570312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570312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570312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570312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570312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570312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570312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570312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570312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570312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570312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570312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570312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570312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570312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570312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570312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570312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570312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570312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570312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570312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570312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570312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570312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570312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570312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570312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570312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570312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570312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570312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570312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570312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570312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570312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570312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570312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570312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570312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570312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570312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570312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570312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570312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570312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570312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570312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570312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570312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570312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570312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570312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570312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570312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570312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570312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1"/>
      <c r="B1" s="163" t="s">
        <v>0</v>
      </c>
      <c r="C1" s="163"/>
      <c r="D1" s="163"/>
    </row>
    <row r="2" spans="1:4" x14ac:dyDescent="0.2">
      <c r="A2" s="3"/>
      <c r="B2" s="4" t="s">
        <v>1</v>
      </c>
      <c r="C2" s="5">
        <v>45317</v>
      </c>
    </row>
    <row r="3" spans="1:4" x14ac:dyDescent="0.2">
      <c r="A3" s="3"/>
      <c r="B3" s="6" t="s">
        <v>2</v>
      </c>
    </row>
    <row r="4" spans="1:4" ht="25.5" x14ac:dyDescent="0.2">
      <c r="A4" s="8"/>
      <c r="B4" s="9" t="str">
        <f>[9]И1!D13</f>
        <v>Субъект Российской Федерации</v>
      </c>
      <c r="C4" s="10" t="str">
        <f>[9]И1!E13</f>
        <v>Новосибирская область</v>
      </c>
      <c r="D4" s="142"/>
    </row>
    <row r="5" spans="1:4" ht="46.9" customHeight="1" x14ac:dyDescent="0.2">
      <c r="A5" s="8"/>
      <c r="B5" s="9" t="str">
        <f>[9]И1!D14</f>
        <v>Тип муниципального образования (выберите из списка)</v>
      </c>
      <c r="C5" s="10" t="str">
        <f>[9]И1!E14</f>
        <v xml:space="preserve">село Гусельниково, Искитимский муниципальный район </v>
      </c>
      <c r="D5" s="142"/>
    </row>
    <row r="6" spans="1:4" ht="38.25" x14ac:dyDescent="0.2">
      <c r="A6" s="8"/>
      <c r="B6" s="9" t="str">
        <f>IF([9]И1!E15="","",[9]И1!D15)</f>
        <v/>
      </c>
      <c r="C6" s="10" t="str">
        <f>IF([9]И1!E15="","",[9]И1!E15)</f>
        <v>деревня Гилево, Искитимский муниципальный район</v>
      </c>
      <c r="D6" s="142"/>
    </row>
    <row r="7" spans="1:4" x14ac:dyDescent="0.2">
      <c r="A7" s="8"/>
      <c r="B7" s="9" t="str">
        <f>[9]И1!D16</f>
        <v>Код ОКТМО</v>
      </c>
      <c r="C7" s="11" t="str">
        <f>[9]И1!E16</f>
        <v>(50615410101)</v>
      </c>
      <c r="D7" s="142"/>
    </row>
    <row r="8" spans="1:4" x14ac:dyDescent="0.2">
      <c r="A8" s="8"/>
      <c r="B8" s="12" t="str">
        <f>[9]И1!D17</f>
        <v>Система теплоснабжения</v>
      </c>
      <c r="C8" s="13">
        <f>[9]И1!E17</f>
        <v>0</v>
      </c>
      <c r="D8" s="142"/>
    </row>
    <row r="9" spans="1:4" x14ac:dyDescent="0.2">
      <c r="A9" s="8"/>
      <c r="B9" s="9" t="str">
        <f>[9]И1!D8</f>
        <v>Период регулирования (i)-й</v>
      </c>
      <c r="C9" s="14">
        <f>[9]И1!E8</f>
        <v>2024</v>
      </c>
      <c r="D9" s="142"/>
    </row>
    <row r="10" spans="1:4" x14ac:dyDescent="0.2">
      <c r="A10" s="8"/>
      <c r="B10" s="9" t="str">
        <f>[9]И1!D9</f>
        <v>Период регулирования (i-1)-й</v>
      </c>
      <c r="C10" s="14">
        <f>[9]И1!E9</f>
        <v>2023</v>
      </c>
      <c r="D10" s="142"/>
    </row>
    <row r="11" spans="1:4" x14ac:dyDescent="0.2">
      <c r="A11" s="8"/>
      <c r="B11" s="9" t="str">
        <f>[9]И1!D10</f>
        <v>Период регулирования (i-2)-й</v>
      </c>
      <c r="C11" s="14">
        <f>[9]И1!E10</f>
        <v>2022</v>
      </c>
      <c r="D11" s="142"/>
    </row>
    <row r="12" spans="1:4" x14ac:dyDescent="0.2">
      <c r="A12" s="8"/>
      <c r="B12" s="9" t="str">
        <f>[9]И1!D11</f>
        <v>Базовый год (б)</v>
      </c>
      <c r="C12" s="14">
        <f>[9]И1!E11</f>
        <v>2019</v>
      </c>
      <c r="D12" s="142"/>
    </row>
    <row r="13" spans="1:4"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c r="D13" s="142"/>
    </row>
    <row r="14" spans="1:4" ht="31.7" customHeight="1" thickBot="1" x14ac:dyDescent="0.25">
      <c r="A14" s="162" t="s">
        <v>3</v>
      </c>
      <c r="B14" s="162"/>
      <c r="C14" s="162"/>
    </row>
    <row r="15" spans="1:4" x14ac:dyDescent="0.2">
      <c r="A15" s="16" t="s">
        <v>4</v>
      </c>
      <c r="B15" s="17" t="s">
        <v>5</v>
      </c>
      <c r="C15" s="18" t="s">
        <v>6</v>
      </c>
    </row>
    <row r="16" spans="1:4" x14ac:dyDescent="0.2">
      <c r="A16" s="19">
        <v>1</v>
      </c>
      <c r="B16" s="20">
        <v>2</v>
      </c>
      <c r="C16" s="21">
        <v>3</v>
      </c>
    </row>
    <row r="17" spans="1:4" x14ac:dyDescent="0.2">
      <c r="A17" s="22">
        <v>1</v>
      </c>
      <c r="B17" s="23" t="s">
        <v>7</v>
      </c>
      <c r="C17" s="24">
        <f>SUM(C18:C22)</f>
        <v>3755.1269222377105</v>
      </c>
    </row>
    <row r="18" spans="1:4" ht="42.75" x14ac:dyDescent="0.2">
      <c r="A18" s="22" t="s">
        <v>8</v>
      </c>
      <c r="B18" s="25" t="s">
        <v>9</v>
      </c>
      <c r="C18" s="26">
        <f>[9]С1!F12</f>
        <v>759.67438872744583</v>
      </c>
    </row>
    <row r="19" spans="1:4" ht="42.75" x14ac:dyDescent="0.2">
      <c r="A19" s="22" t="s">
        <v>10</v>
      </c>
      <c r="B19" s="25" t="s">
        <v>11</v>
      </c>
      <c r="C19" s="26">
        <f>[9]С2!F12</f>
        <v>2000.3680279558928</v>
      </c>
    </row>
    <row r="20" spans="1:4" ht="30" x14ac:dyDescent="0.2">
      <c r="A20" s="22" t="s">
        <v>12</v>
      </c>
      <c r="B20" s="25" t="s">
        <v>13</v>
      </c>
      <c r="C20" s="26">
        <f>[9]С3!F12</f>
        <v>475.74490066496389</v>
      </c>
    </row>
    <row r="21" spans="1:4" ht="42.75" x14ac:dyDescent="0.2">
      <c r="A21" s="22" t="s">
        <v>14</v>
      </c>
      <c r="B21" s="25" t="s">
        <v>15</v>
      </c>
      <c r="C21" s="26">
        <f>[9]С4!F12</f>
        <v>445.70966523768817</v>
      </c>
    </row>
    <row r="22" spans="1:4" ht="30" x14ac:dyDescent="0.2">
      <c r="A22" s="22" t="s">
        <v>16</v>
      </c>
      <c r="B22" s="25" t="s">
        <v>17</v>
      </c>
      <c r="C22" s="26">
        <f>[9]С5!F12</f>
        <v>73.629939651719823</v>
      </c>
    </row>
    <row r="23" spans="1:4" ht="43.5" thickBot="1" x14ac:dyDescent="0.25">
      <c r="A23" s="27" t="s">
        <v>18</v>
      </c>
      <c r="B23" s="140" t="s">
        <v>19</v>
      </c>
      <c r="C23" s="28" t="str">
        <f>[9]С6!F12</f>
        <v>-</v>
      </c>
    </row>
    <row r="24" spans="1:4" ht="13.5" thickBot="1" x14ac:dyDescent="0.25">
      <c r="A24" s="3"/>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x14ac:dyDescent="0.2">
      <c r="A28" s="22" t="s">
        <v>8</v>
      </c>
      <c r="B28" s="33" t="s">
        <v>21</v>
      </c>
      <c r="C28" s="34">
        <f>[9]С1.1!E16</f>
        <v>5100</v>
      </c>
      <c r="D28" s="145">
        <f>[9]С1.1!F16</f>
        <v>0</v>
      </c>
    </row>
    <row r="29" spans="1:4" ht="42.75" x14ac:dyDescent="0.2">
      <c r="A29" s="22" t="s">
        <v>10</v>
      </c>
      <c r="B29" s="33" t="s">
        <v>22</v>
      </c>
      <c r="C29" s="34">
        <f>[9]С1.1!E27</f>
        <v>3413.25</v>
      </c>
      <c r="D29" s="145">
        <f>IF([9]С1.1!E23=[9]С1.1!I9,[9]С1.1!F24,IF([9]С1.1!E23=[9]С1.1!I10,[9]С1.1!I10,IF([9]С1.1!E23=[9]С1.1!I11,[9]С1.3!G9,IF([9]С1.1!E23=[9]С1.1!I12,[9]С1.1!F25,IF([9]С1.1!E23=[9]С1.1!I13,[9]С1.1!F26,"")))))</f>
        <v>0</v>
      </c>
    </row>
    <row r="30" spans="1:4" ht="267.75" x14ac:dyDescent="0.2">
      <c r="A30" s="22" t="s">
        <v>12</v>
      </c>
      <c r="B30" s="33" t="s">
        <v>23</v>
      </c>
      <c r="C30" s="35">
        <f>[9]С1.1!E19</f>
        <v>-0.19900000000000001</v>
      </c>
      <c r="D30" s="145" t="str">
        <f>[9]С1.1!F19</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1" spans="1:4" ht="229.5" x14ac:dyDescent="0.2">
      <c r="A31" s="22" t="s">
        <v>14</v>
      </c>
      <c r="B31" s="33" t="s">
        <v>24</v>
      </c>
      <c r="C31" s="35">
        <f>[9]С1.1!E20</f>
        <v>5.7000000000000002E-2</v>
      </c>
      <c r="D31" s="145" t="str">
        <f>[9]С1.1!F20</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2" spans="1:4" ht="30" x14ac:dyDescent="0.2">
      <c r="A32" s="22" t="s">
        <v>16</v>
      </c>
      <c r="B32" s="36" t="s">
        <v>25</v>
      </c>
      <c r="C32" s="37">
        <f>[9]С1!F13</f>
        <v>176.4</v>
      </c>
      <c r="D32" s="146" t="s">
        <v>260</v>
      </c>
    </row>
    <row r="33" spans="1:4" x14ac:dyDescent="0.2">
      <c r="A33" s="22" t="s">
        <v>18</v>
      </c>
      <c r="B33" s="36" t="s">
        <v>26</v>
      </c>
      <c r="C33" s="38">
        <f>[9]С1!F16</f>
        <v>7000</v>
      </c>
      <c r="D33" s="147" t="s">
        <v>261</v>
      </c>
    </row>
    <row r="34" spans="1:4" ht="14.25" x14ac:dyDescent="0.2">
      <c r="A34" s="22" t="s">
        <v>27</v>
      </c>
      <c r="B34" s="39" t="s">
        <v>28</v>
      </c>
      <c r="C34" s="40">
        <f>[9]С1!F17</f>
        <v>0.72857142857142854</v>
      </c>
      <c r="D34" s="145"/>
    </row>
    <row r="35" spans="1:4" ht="15.75" x14ac:dyDescent="0.2">
      <c r="A35" s="41" t="s">
        <v>29</v>
      </c>
      <c r="B35" s="42" t="s">
        <v>30</v>
      </c>
      <c r="C35" s="40">
        <f>[9]С1!F20</f>
        <v>21.588411179999994</v>
      </c>
      <c r="D35" s="145"/>
    </row>
    <row r="36" spans="1:4" ht="15.75" x14ac:dyDescent="0.2">
      <c r="A36" s="41" t="s">
        <v>31</v>
      </c>
      <c r="B36" s="43" t="s">
        <v>32</v>
      </c>
      <c r="C36" s="40">
        <f>[9]С1!F21</f>
        <v>20.818139999999996</v>
      </c>
      <c r="D36" s="145"/>
    </row>
    <row r="37" spans="1:4" ht="14.25" x14ac:dyDescent="0.2">
      <c r="A37" s="41" t="s">
        <v>33</v>
      </c>
      <c r="B37" s="44" t="s">
        <v>34</v>
      </c>
      <c r="C37" s="40">
        <f>[9]С1!F22</f>
        <v>1.0369999999999999</v>
      </c>
      <c r="D37" s="145" t="s">
        <v>262</v>
      </c>
    </row>
    <row r="38" spans="1:4" ht="53.25" thickBot="1" x14ac:dyDescent="0.25">
      <c r="A38" s="27" t="s">
        <v>35</v>
      </c>
      <c r="B38" s="45" t="s">
        <v>36</v>
      </c>
      <c r="C38" s="46">
        <f>[9]С1!F23</f>
        <v>1.0469999999999999</v>
      </c>
      <c r="D38" s="148" t="s">
        <v>263</v>
      </c>
    </row>
    <row r="39" spans="1:4" ht="13.5" thickBot="1" x14ac:dyDescent="0.25">
      <c r="A39" s="47"/>
      <c r="B39" s="48"/>
      <c r="C39" s="49"/>
      <c r="D39" s="149"/>
    </row>
    <row r="40" spans="1:4" ht="30" customHeight="1" x14ac:dyDescent="0.2">
      <c r="A40" s="50" t="s">
        <v>37</v>
      </c>
      <c r="B40" s="165" t="s">
        <v>38</v>
      </c>
      <c r="C40" s="165"/>
      <c r="D40" s="170"/>
    </row>
    <row r="41" spans="1:4" ht="25.5" x14ac:dyDescent="0.2">
      <c r="A41" s="22" t="s">
        <v>39</v>
      </c>
      <c r="B41" s="36" t="s">
        <v>40</v>
      </c>
      <c r="C41" s="51" t="str">
        <f>[9]С2.1!E12</f>
        <v>V</v>
      </c>
      <c r="D41" s="145" t="s">
        <v>264</v>
      </c>
    </row>
    <row r="42" spans="1:4" ht="242.25" x14ac:dyDescent="0.2">
      <c r="A42" s="22" t="s">
        <v>41</v>
      </c>
      <c r="B42" s="33" t="s">
        <v>42</v>
      </c>
      <c r="C42" s="51" t="str">
        <f>[9]С2.1!E13</f>
        <v>6 и менее баллов</v>
      </c>
      <c r="D42" s="145" t="str">
        <f>[9]С2.1!F13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3" spans="1:4" ht="165.75" x14ac:dyDescent="0.2">
      <c r="A43" s="22" t="s">
        <v>43</v>
      </c>
      <c r="B43" s="33" t="s">
        <v>44</v>
      </c>
      <c r="C43" s="51" t="str">
        <f>[9]С2.1!E14</f>
        <v>от 200 до 500</v>
      </c>
      <c r="D43" s="145" t="str">
        <f>[9]С2.1!F14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4" spans="1:4" ht="25.5" x14ac:dyDescent="0.2">
      <c r="A44" s="22" t="s">
        <v>45</v>
      </c>
      <c r="B44" s="33" t="s">
        <v>46</v>
      </c>
      <c r="C44" s="52" t="str">
        <f>[9]С2.1!E15</f>
        <v>нет</v>
      </c>
      <c r="D44" s="145">
        <f>[9]С2.1!F15</f>
        <v>0</v>
      </c>
    </row>
    <row r="45" spans="1:4" ht="30" x14ac:dyDescent="0.2">
      <c r="A45" s="22" t="s">
        <v>47</v>
      </c>
      <c r="B45" s="33" t="s">
        <v>48</v>
      </c>
      <c r="C45" s="34">
        <f>[9]С2!F18</f>
        <v>35106.652004551666</v>
      </c>
      <c r="D45" s="146"/>
    </row>
    <row r="46" spans="1:4" ht="30" x14ac:dyDescent="0.2">
      <c r="A46" s="22" t="s">
        <v>49</v>
      </c>
      <c r="B46" s="53" t="s">
        <v>50</v>
      </c>
      <c r="C46" s="34">
        <f>IF([9]С2!F19&gt;0,[9]С2!F19,[9]С2!F20)</f>
        <v>23441.524932855718</v>
      </c>
      <c r="D46" s="145"/>
    </row>
    <row r="47" spans="1:4" ht="38.25" x14ac:dyDescent="0.2">
      <c r="A47" s="22" t="s">
        <v>51</v>
      </c>
      <c r="B47" s="54" t="s">
        <v>52</v>
      </c>
      <c r="C47" s="34">
        <f>[9]С2.1!E19</f>
        <v>-38</v>
      </c>
      <c r="D47" s="145" t="str">
        <f>CONCATENATE([9]С2.1!F19,"  ",[9]С2.1!F20)</f>
        <v xml:space="preserve">Схема теплоснабжения (расчетная температура наружного воздуха)  </v>
      </c>
    </row>
    <row r="48" spans="1:4" ht="25.5" x14ac:dyDescent="0.2">
      <c r="A48" s="22" t="s">
        <v>53</v>
      </c>
      <c r="B48" s="54" t="s">
        <v>54</v>
      </c>
      <c r="C48" s="34" t="str">
        <f>[9]С2.1!E22</f>
        <v>нет</v>
      </c>
      <c r="D48" s="150">
        <f>[9]С2.1!F22</f>
        <v>0</v>
      </c>
    </row>
    <row r="49" spans="1:4" ht="38.25" x14ac:dyDescent="0.2">
      <c r="A49" s="22" t="s">
        <v>55</v>
      </c>
      <c r="B49" s="55" t="s">
        <v>56</v>
      </c>
      <c r="C49" s="34">
        <f>[9]С2.2!E10</f>
        <v>1287</v>
      </c>
      <c r="D49" s="145" t="s">
        <v>265</v>
      </c>
    </row>
    <row r="50" spans="1:4" ht="25.5" x14ac:dyDescent="0.2">
      <c r="A50" s="22" t="s">
        <v>57</v>
      </c>
      <c r="B50" s="56" t="s">
        <v>58</v>
      </c>
      <c r="C50" s="34">
        <f>[9]С2.2!E12</f>
        <v>5.97</v>
      </c>
      <c r="D50" s="145" t="s">
        <v>266</v>
      </c>
    </row>
    <row r="51" spans="1:4" ht="52.5" x14ac:dyDescent="0.2">
      <c r="A51" s="22" t="s">
        <v>59</v>
      </c>
      <c r="B51" s="57" t="s">
        <v>60</v>
      </c>
      <c r="C51" s="34">
        <f>[9]С2.2!E13</f>
        <v>1</v>
      </c>
      <c r="D51" s="147" t="s">
        <v>261</v>
      </c>
    </row>
    <row r="52" spans="1:4" ht="27.75" x14ac:dyDescent="0.2">
      <c r="A52" s="22" t="s">
        <v>61</v>
      </c>
      <c r="B52" s="56" t="s">
        <v>62</v>
      </c>
      <c r="C52" s="34">
        <f>[9]С2.2!E14</f>
        <v>12104</v>
      </c>
      <c r="D52" s="145" t="s">
        <v>265</v>
      </c>
    </row>
    <row r="53" spans="1:4" ht="63.75" x14ac:dyDescent="0.2">
      <c r="A53" s="22" t="s">
        <v>63</v>
      </c>
      <c r="B53" s="57" t="s">
        <v>64</v>
      </c>
      <c r="C53" s="35">
        <f>[9]С2.2!E15</f>
        <v>4.8000000000000001E-2</v>
      </c>
      <c r="D53" s="145" t="s">
        <v>267</v>
      </c>
    </row>
    <row r="54" spans="1:4" ht="76.5" x14ac:dyDescent="0.2">
      <c r="A54" s="22" t="s">
        <v>65</v>
      </c>
      <c r="B54" s="57" t="s">
        <v>66</v>
      </c>
      <c r="C54" s="34">
        <f>[9]С2.2!E16</f>
        <v>1</v>
      </c>
      <c r="D54" s="145" t="s">
        <v>268</v>
      </c>
    </row>
    <row r="55" spans="1:4" ht="15.75" x14ac:dyDescent="0.2">
      <c r="A55" s="22" t="s">
        <v>67</v>
      </c>
      <c r="B55" s="58" t="s">
        <v>68</v>
      </c>
      <c r="C55" s="34">
        <f>[9]С2!F21</f>
        <v>1</v>
      </c>
      <c r="D55" s="146" t="s">
        <v>269</v>
      </c>
    </row>
    <row r="56" spans="1:4" ht="30" x14ac:dyDescent="0.2">
      <c r="A56" s="59" t="s">
        <v>69</v>
      </c>
      <c r="B56" s="33" t="s">
        <v>70</v>
      </c>
      <c r="C56" s="34">
        <f>[9]С2!F13</f>
        <v>183796.83936385796</v>
      </c>
      <c r="D56" s="146"/>
    </row>
    <row r="57" spans="1:4" ht="30" x14ac:dyDescent="0.2">
      <c r="A57" s="59" t="s">
        <v>71</v>
      </c>
      <c r="B57" s="58" t="s">
        <v>72</v>
      </c>
      <c r="C57" s="34">
        <f>[9]С2!F14</f>
        <v>113455</v>
      </c>
      <c r="D57" s="146" t="s">
        <v>260</v>
      </c>
    </row>
    <row r="58" spans="1:4" ht="15.75" x14ac:dyDescent="0.2">
      <c r="A58" s="59" t="s">
        <v>73</v>
      </c>
      <c r="B58" s="60" t="s">
        <v>74</v>
      </c>
      <c r="C58" s="40">
        <f>[9]С2!F15</f>
        <v>1.071</v>
      </c>
      <c r="D58" s="146" t="s">
        <v>270</v>
      </c>
    </row>
    <row r="59" spans="1:4" ht="15.75" x14ac:dyDescent="0.2">
      <c r="A59" s="59" t="s">
        <v>75</v>
      </c>
      <c r="B59" s="60" t="s">
        <v>76</v>
      </c>
      <c r="C59" s="40">
        <f>[9]С2!F16</f>
        <v>1</v>
      </c>
      <c r="D59" s="146" t="s">
        <v>269</v>
      </c>
    </row>
    <row r="60" spans="1:4" ht="17.25" x14ac:dyDescent="0.2">
      <c r="A60" s="59" t="s">
        <v>77</v>
      </c>
      <c r="B60" s="58" t="s">
        <v>78</v>
      </c>
      <c r="C60" s="34">
        <f>[9]С2!F17</f>
        <v>1.01</v>
      </c>
      <c r="D60" s="146" t="s">
        <v>271</v>
      </c>
    </row>
    <row r="61" spans="1:4" s="63" customFormat="1" ht="14.25" x14ac:dyDescent="0.2">
      <c r="A61" s="59" t="s">
        <v>79</v>
      </c>
      <c r="B61" s="61" t="s">
        <v>80</v>
      </c>
      <c r="C61" s="62">
        <f>[9]С2!F33</f>
        <v>10</v>
      </c>
      <c r="D61" s="146" t="s">
        <v>272</v>
      </c>
    </row>
    <row r="62" spans="1:4" ht="30" x14ac:dyDescent="0.2">
      <c r="A62" s="59" t="s">
        <v>81</v>
      </c>
      <c r="B62" s="64" t="s">
        <v>82</v>
      </c>
      <c r="C62" s="34">
        <f>[9]С2!F26</f>
        <v>2780.7867618428891</v>
      </c>
      <c r="D62" s="146"/>
    </row>
    <row r="63" spans="1:4" ht="165.75" x14ac:dyDescent="0.2">
      <c r="A63" s="59" t="s">
        <v>83</v>
      </c>
      <c r="B63" s="53" t="s">
        <v>84</v>
      </c>
      <c r="C63" s="34">
        <f>[9]С2!F27</f>
        <v>0.44209422600000003</v>
      </c>
      <c r="D63" s="145" t="str">
        <f>[9]С2.4!F12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4" spans="1:4" ht="17.25" x14ac:dyDescent="0.2">
      <c r="A64" s="59" t="s">
        <v>85</v>
      </c>
      <c r="B64" s="58" t="s">
        <v>86</v>
      </c>
      <c r="C64" s="62">
        <f>[9]С2!F28</f>
        <v>4200</v>
      </c>
      <c r="D64" s="146" t="s">
        <v>260</v>
      </c>
    </row>
    <row r="65" spans="1:4" ht="42.75" x14ac:dyDescent="0.2">
      <c r="A65" s="59" t="s">
        <v>87</v>
      </c>
      <c r="B65" s="33" t="s">
        <v>88</v>
      </c>
      <c r="C65" s="34">
        <f>[9]С2!F22</f>
        <v>38698.422798410109</v>
      </c>
      <c r="D65" s="146"/>
    </row>
    <row r="66" spans="1:4" ht="30" x14ac:dyDescent="0.2">
      <c r="A66" s="59" t="s">
        <v>89</v>
      </c>
      <c r="B66" s="60" t="s">
        <v>90</v>
      </c>
      <c r="C66" s="34">
        <f>[9]С2!F23</f>
        <v>1990</v>
      </c>
      <c r="D66" s="145" t="s">
        <v>273</v>
      </c>
    </row>
    <row r="67" spans="1:4" ht="30" x14ac:dyDescent="0.2">
      <c r="A67" s="59" t="s">
        <v>91</v>
      </c>
      <c r="B67" s="53" t="s">
        <v>92</v>
      </c>
      <c r="C67" s="34">
        <f>[9]С2.1!E27</f>
        <v>14307.876789999998</v>
      </c>
      <c r="D67" s="146"/>
    </row>
    <row r="68" spans="1:4" ht="38.25" x14ac:dyDescent="0.2">
      <c r="A68" s="59" t="s">
        <v>93</v>
      </c>
      <c r="B68" s="65" t="s">
        <v>94</v>
      </c>
      <c r="C68" s="52">
        <f>[9]С2.3!E21</f>
        <v>0</v>
      </c>
      <c r="D68" s="145">
        <f>[9]С2.3!F21</f>
        <v>0</v>
      </c>
    </row>
    <row r="69" spans="1:4" ht="25.5" x14ac:dyDescent="0.2">
      <c r="A69" s="59" t="s">
        <v>95</v>
      </c>
      <c r="B69" s="66" t="s">
        <v>96</v>
      </c>
      <c r="C69" s="67">
        <f>[9]С2.3!E11</f>
        <v>9.89</v>
      </c>
      <c r="D69" s="146" t="s">
        <v>274</v>
      </c>
    </row>
    <row r="70" spans="1:4" ht="25.5" x14ac:dyDescent="0.2">
      <c r="A70" s="59" t="s">
        <v>97</v>
      </c>
      <c r="B70" s="66" t="s">
        <v>98</v>
      </c>
      <c r="C70" s="62">
        <f>[9]С2.3!E13</f>
        <v>300</v>
      </c>
      <c r="D70" s="146" t="s">
        <v>274</v>
      </c>
    </row>
    <row r="71" spans="1:4" ht="25.5" x14ac:dyDescent="0.2">
      <c r="A71" s="59" t="s">
        <v>99</v>
      </c>
      <c r="B71" s="65" t="s">
        <v>100</v>
      </c>
      <c r="C71" s="68">
        <f>IF([9]С2.3!E22&gt;0,[9]С2.3!E22,[9]С2.3!E14)</f>
        <v>61211</v>
      </c>
      <c r="D71" s="145" t="str">
        <f>IF(C71=[9]С2.3!E14,"Таблица ТЭП (IV)",[9]С2.3!F22)</f>
        <v>Таблица ТЭП (IV)</v>
      </c>
    </row>
    <row r="72" spans="1:4" ht="38.25" x14ac:dyDescent="0.2">
      <c r="A72" s="59" t="s">
        <v>101</v>
      </c>
      <c r="B72" s="65" t="s">
        <v>102</v>
      </c>
      <c r="C72" s="68">
        <f>IF([9]С2.3!E23&gt;0,[9]С2.3!E23,[9]С2.3!E15)</f>
        <v>45675</v>
      </c>
      <c r="D72" s="145" t="str">
        <f>IF(C72=[9]С2.3!E15,"Таблица ТЭП (IV)",[9]С2.3!F23)</f>
        <v>Таблица ТЭП (IV)</v>
      </c>
    </row>
    <row r="73" spans="1:4" ht="30" x14ac:dyDescent="0.2">
      <c r="A73" s="59" t="s">
        <v>103</v>
      </c>
      <c r="B73" s="53" t="s">
        <v>104</v>
      </c>
      <c r="C73" s="34">
        <f>[9]С2.1!E28</f>
        <v>9541.9567200000001</v>
      </c>
      <c r="D73" s="146"/>
    </row>
    <row r="74" spans="1:4" ht="38.25" x14ac:dyDescent="0.2">
      <c r="A74" s="59" t="s">
        <v>105</v>
      </c>
      <c r="B74" s="65" t="s">
        <v>106</v>
      </c>
      <c r="C74" s="52">
        <f>[9]С2.3!E25</f>
        <v>0</v>
      </c>
      <c r="D74" s="145">
        <f>[9]С2.3!F25</f>
        <v>0</v>
      </c>
    </row>
    <row r="75" spans="1:4" ht="25.5" x14ac:dyDescent="0.2">
      <c r="A75" s="59" t="s">
        <v>107</v>
      </c>
      <c r="B75" s="66" t="s">
        <v>108</v>
      </c>
      <c r="C75" s="67">
        <f>[9]С2.3!E12</f>
        <v>0.56000000000000005</v>
      </c>
      <c r="D75" s="146" t="s">
        <v>274</v>
      </c>
    </row>
    <row r="76" spans="1:4" ht="25.5" x14ac:dyDescent="0.2">
      <c r="A76" s="59" t="s">
        <v>109</v>
      </c>
      <c r="B76" s="66" t="s">
        <v>98</v>
      </c>
      <c r="C76" s="62">
        <f>[9]С2.3!E13</f>
        <v>300</v>
      </c>
      <c r="D76" s="146" t="s">
        <v>274</v>
      </c>
    </row>
    <row r="77" spans="1:4" ht="25.5" x14ac:dyDescent="0.2">
      <c r="A77" s="59" t="s">
        <v>110</v>
      </c>
      <c r="B77" s="69" t="s">
        <v>111</v>
      </c>
      <c r="C77" s="68">
        <f>IF([9]С2.3!E26&gt;0,[9]С2.3!E26,[9]С2.3!E16)</f>
        <v>65637</v>
      </c>
      <c r="D77" s="145" t="str">
        <f>IF(C77=[9]С2.3!E16,"Таблица ТЭП (IV)",[9]С2.3!F26)</f>
        <v>Таблица ТЭП (IV)</v>
      </c>
    </row>
    <row r="78" spans="1:4" ht="38.25" x14ac:dyDescent="0.2">
      <c r="A78" s="59" t="s">
        <v>112</v>
      </c>
      <c r="B78" s="69" t="s">
        <v>113</v>
      </c>
      <c r="C78" s="68">
        <f>IF([9]С2.3!E27&gt;0,[9]С2.3!E27,[9]С2.3!E17)</f>
        <v>31684</v>
      </c>
      <c r="D78" s="145" t="str">
        <f>IF(C78=[9]С2.3!E17,"Таблица ТЭП (IV)",[9]С2.3!F27)</f>
        <v>Таблица ТЭП (IV)</v>
      </c>
    </row>
    <row r="79" spans="1:4" ht="17.25" x14ac:dyDescent="0.2">
      <c r="A79" s="59" t="s">
        <v>114</v>
      </c>
      <c r="B79" s="33" t="s">
        <v>115</v>
      </c>
      <c r="C79" s="35">
        <f>[9]С2!F29</f>
        <v>9.5962865259740182E-2</v>
      </c>
      <c r="D79" s="151"/>
    </row>
    <row r="80" spans="1:4" ht="30" x14ac:dyDescent="0.2">
      <c r="A80" s="59" t="s">
        <v>116</v>
      </c>
      <c r="B80" s="53" t="s">
        <v>117</v>
      </c>
      <c r="C80" s="70">
        <f>[9]С2!F30</f>
        <v>8.4029304029304031E-2</v>
      </c>
      <c r="D80" s="152" t="str">
        <f>[9]С2.6!G11</f>
        <v>Информация с официального сайта Банка России</v>
      </c>
    </row>
    <row r="81" spans="1:4" ht="17.25" x14ac:dyDescent="0.2">
      <c r="A81" s="59" t="s">
        <v>118</v>
      </c>
      <c r="B81" s="71" t="s">
        <v>119</v>
      </c>
      <c r="C81" s="35">
        <f>[9]С2!F31</f>
        <v>0.13880000000000001</v>
      </c>
      <c r="D81" s="146" t="s">
        <v>272</v>
      </c>
    </row>
    <row r="82" spans="1:4" s="63" customFormat="1" ht="18" thickBot="1" x14ac:dyDescent="0.25">
      <c r="A82" s="72" t="s">
        <v>120</v>
      </c>
      <c r="B82" s="73" t="s">
        <v>121</v>
      </c>
      <c r="C82" s="74">
        <f>[9]С2!F32</f>
        <v>0.12640000000000001</v>
      </c>
      <c r="D82" s="153" t="s">
        <v>272</v>
      </c>
    </row>
    <row r="83" spans="1:4" ht="13.5" thickBot="1" x14ac:dyDescent="0.25">
      <c r="A83" s="47"/>
      <c r="B83" s="75"/>
      <c r="C83" s="15"/>
      <c r="D83" s="154"/>
    </row>
    <row r="84" spans="1:4" s="63" customFormat="1" ht="30" customHeight="1" x14ac:dyDescent="0.2">
      <c r="A84" s="76" t="s">
        <v>122</v>
      </c>
      <c r="B84" s="165" t="s">
        <v>123</v>
      </c>
      <c r="C84" s="165"/>
      <c r="D84" s="170"/>
    </row>
    <row r="85" spans="1:4" s="63" customFormat="1" ht="30" x14ac:dyDescent="0.2">
      <c r="A85" s="77" t="s">
        <v>124</v>
      </c>
      <c r="B85" s="33" t="s">
        <v>125</v>
      </c>
      <c r="C85" s="34">
        <f>[9]С3!F14</f>
        <v>6117.6201782637581</v>
      </c>
      <c r="D85" s="145"/>
    </row>
    <row r="86" spans="1:4" s="63" customFormat="1" ht="42.75" x14ac:dyDescent="0.2">
      <c r="A86" s="77" t="s">
        <v>126</v>
      </c>
      <c r="B86" s="53" t="s">
        <v>127</v>
      </c>
      <c r="C86" s="78">
        <f>[9]С3!F15</f>
        <v>0.2</v>
      </c>
      <c r="D86" s="145">
        <f>[9]С3.1!F12</f>
        <v>0</v>
      </c>
    </row>
    <row r="87" spans="1:4" s="63" customFormat="1" ht="14.25" x14ac:dyDescent="0.2">
      <c r="A87" s="77" t="s">
        <v>128</v>
      </c>
      <c r="B87" s="79" t="s">
        <v>129</v>
      </c>
      <c r="C87" s="62">
        <f>[9]С3!F18</f>
        <v>15</v>
      </c>
      <c r="D87" s="145" t="s">
        <v>272</v>
      </c>
    </row>
    <row r="88" spans="1:4" s="63" customFormat="1" ht="17.25" x14ac:dyDescent="0.2">
      <c r="A88" s="77" t="s">
        <v>130</v>
      </c>
      <c r="B88" s="33" t="s">
        <v>131</v>
      </c>
      <c r="C88" s="34">
        <f>[9]С3!F19</f>
        <v>3778.1614077800232</v>
      </c>
      <c r="D88" s="145"/>
    </row>
    <row r="89" spans="1:4" s="63" customFormat="1" ht="55.5" x14ac:dyDescent="0.2">
      <c r="A89" s="77" t="s">
        <v>132</v>
      </c>
      <c r="B89" s="53" t="s">
        <v>133</v>
      </c>
      <c r="C89" s="80">
        <f>[9]С3!F20</f>
        <v>2.1999999999999999E-2</v>
      </c>
      <c r="D89" s="145">
        <f>[9]С3.1!F13</f>
        <v>0</v>
      </c>
    </row>
    <row r="90" spans="1:4" s="63" customFormat="1" ht="14.25" x14ac:dyDescent="0.2">
      <c r="A90" s="77" t="s">
        <v>134</v>
      </c>
      <c r="B90" s="58" t="s">
        <v>80</v>
      </c>
      <c r="C90" s="62">
        <f>[9]С3!F21</f>
        <v>10</v>
      </c>
      <c r="D90" s="145" t="s">
        <v>272</v>
      </c>
    </row>
    <row r="91" spans="1:4" s="63" customFormat="1" ht="17.25" x14ac:dyDescent="0.2">
      <c r="A91" s="77" t="s">
        <v>135</v>
      </c>
      <c r="B91" s="33" t="s">
        <v>136</v>
      </c>
      <c r="C91" s="34">
        <f>[9]С3!F22</f>
        <v>8.3423602855286667</v>
      </c>
      <c r="D91" s="145"/>
    </row>
    <row r="92" spans="1:4" s="63" customFormat="1" ht="55.5" x14ac:dyDescent="0.2">
      <c r="A92" s="77" t="s">
        <v>137</v>
      </c>
      <c r="B92" s="53" t="s">
        <v>138</v>
      </c>
      <c r="C92" s="80">
        <f>[9]С3!F23</f>
        <v>3.0000000000000001E-3</v>
      </c>
      <c r="D92" s="145">
        <f>[9]С3.1!F14</f>
        <v>0</v>
      </c>
    </row>
    <row r="93" spans="1:4" s="63" customFormat="1" ht="27.75" thickBot="1" x14ac:dyDescent="0.25">
      <c r="A93" s="81" t="s">
        <v>139</v>
      </c>
      <c r="B93" s="82" t="s">
        <v>140</v>
      </c>
      <c r="C93" s="83">
        <f>[9]С3!F24</f>
        <v>2780.7867618428891</v>
      </c>
      <c r="D93" s="148"/>
    </row>
    <row r="94" spans="1:4" ht="13.5" thickBot="1" x14ac:dyDescent="0.25">
      <c r="A94" s="47"/>
      <c r="B94" s="75"/>
      <c r="C94" s="15"/>
      <c r="D94" s="154"/>
    </row>
    <row r="95" spans="1:4" ht="30" customHeight="1" x14ac:dyDescent="0.2">
      <c r="A95" s="84" t="s">
        <v>141</v>
      </c>
      <c r="B95" s="165" t="s">
        <v>142</v>
      </c>
      <c r="C95" s="165"/>
      <c r="D95" s="170"/>
    </row>
    <row r="96" spans="1:4" ht="30" x14ac:dyDescent="0.2">
      <c r="A96" s="59" t="s">
        <v>143</v>
      </c>
      <c r="B96" s="33" t="s">
        <v>144</v>
      </c>
      <c r="C96" s="34">
        <f>[9]С4!F16</f>
        <v>1652.5</v>
      </c>
      <c r="D96" s="145"/>
    </row>
    <row r="97" spans="1:4" ht="30" x14ac:dyDescent="0.2">
      <c r="A97" s="59" t="s">
        <v>145</v>
      </c>
      <c r="B97" s="58" t="s">
        <v>146</v>
      </c>
      <c r="C97" s="34">
        <f>[9]С4!F17</f>
        <v>73547</v>
      </c>
      <c r="D97" s="145" t="s">
        <v>260</v>
      </c>
    </row>
    <row r="98" spans="1:4" ht="17.25" x14ac:dyDescent="0.2">
      <c r="A98" s="59" t="s">
        <v>147</v>
      </c>
      <c r="B98" s="58" t="s">
        <v>148</v>
      </c>
      <c r="C98" s="40">
        <f>[9]С4!F18</f>
        <v>0.02</v>
      </c>
      <c r="D98" s="145" t="s">
        <v>260</v>
      </c>
    </row>
    <row r="99" spans="1:4" ht="30" x14ac:dyDescent="0.2">
      <c r="A99" s="59" t="s">
        <v>149</v>
      </c>
      <c r="B99" s="58" t="s">
        <v>150</v>
      </c>
      <c r="C99" s="34">
        <f>[9]С4!F19</f>
        <v>12104</v>
      </c>
      <c r="D99" s="145" t="s">
        <v>275</v>
      </c>
    </row>
    <row r="100" spans="1:4" ht="31.5" x14ac:dyDescent="0.2">
      <c r="A100" s="59" t="s">
        <v>151</v>
      </c>
      <c r="B100" s="58" t="s">
        <v>152</v>
      </c>
      <c r="C100" s="40">
        <f>[9]С4!F20</f>
        <v>1.4999999999999999E-2</v>
      </c>
      <c r="D100" s="145" t="s">
        <v>275</v>
      </c>
    </row>
    <row r="101" spans="1:4" ht="30" x14ac:dyDescent="0.2">
      <c r="A101" s="59" t="s">
        <v>153</v>
      </c>
      <c r="B101" s="33" t="s">
        <v>154</v>
      </c>
      <c r="C101" s="34">
        <f>[9]С4!F21</f>
        <v>1933.1949342509995</v>
      </c>
      <c r="D101" s="145"/>
    </row>
    <row r="102" spans="1:4" ht="24" customHeight="1" x14ac:dyDescent="0.2">
      <c r="A102" s="59" t="s">
        <v>155</v>
      </c>
      <c r="B102" s="53" t="s">
        <v>156</v>
      </c>
      <c r="C102" s="85">
        <f>IF([9]С4.2!F8="да",[9]С4.2!D21,[9]С4.2!D15)</f>
        <v>0</v>
      </c>
      <c r="D102" s="145"/>
    </row>
    <row r="103" spans="1:4" ht="68.25" x14ac:dyDescent="0.2">
      <c r="A103" s="59" t="s">
        <v>157</v>
      </c>
      <c r="B103" s="53" t="s">
        <v>158</v>
      </c>
      <c r="C103" s="34">
        <f>[9]С4!F22</f>
        <v>3.6112641666666665</v>
      </c>
      <c r="D103" s="145">
        <f>IF([9]С4.2!F8="да",[9]С4.2!E21,[9]С4.2!E15)</f>
        <v>0</v>
      </c>
    </row>
    <row r="104" spans="1:4" ht="30" x14ac:dyDescent="0.2">
      <c r="A104" s="59" t="s">
        <v>159</v>
      </c>
      <c r="B104" s="58" t="s">
        <v>160</v>
      </c>
      <c r="C104" s="34">
        <f>[9]С4!F23</f>
        <v>180</v>
      </c>
      <c r="D104" s="145" t="s">
        <v>273</v>
      </c>
    </row>
    <row r="105" spans="1:4" ht="14.25" x14ac:dyDescent="0.2">
      <c r="A105" s="59" t="s">
        <v>161</v>
      </c>
      <c r="B105" s="53" t="s">
        <v>162</v>
      </c>
      <c r="C105" s="34">
        <f>[9]С4!F24</f>
        <v>8497.1999999999989</v>
      </c>
      <c r="D105" s="145" t="s">
        <v>260</v>
      </c>
    </row>
    <row r="106" spans="1:4" ht="14.25" x14ac:dyDescent="0.2">
      <c r="A106" s="59" t="s">
        <v>163</v>
      </c>
      <c r="B106" s="58" t="s">
        <v>164</v>
      </c>
      <c r="C106" s="40">
        <f>[9]С4!F25</f>
        <v>0.35</v>
      </c>
      <c r="D106" s="145" t="s">
        <v>276</v>
      </c>
    </row>
    <row r="107" spans="1:4" ht="17.25" x14ac:dyDescent="0.2">
      <c r="A107" s="59" t="s">
        <v>165</v>
      </c>
      <c r="B107" s="33" t="s">
        <v>166</v>
      </c>
      <c r="C107" s="34">
        <f>[9]С4!F26</f>
        <v>85.988129999999998</v>
      </c>
      <c r="D107" s="145"/>
    </row>
    <row r="108" spans="1:4" ht="25.5" x14ac:dyDescent="0.2">
      <c r="A108" s="59" t="s">
        <v>167</v>
      </c>
      <c r="B108" s="53" t="s">
        <v>94</v>
      </c>
      <c r="C108" s="85">
        <f>[9]С4.3!E16</f>
        <v>0</v>
      </c>
      <c r="D108" s="145">
        <f>[9]С4.3!F16</f>
        <v>0</v>
      </c>
    </row>
    <row r="109" spans="1:4" ht="25.5" x14ac:dyDescent="0.2">
      <c r="A109" s="59" t="s">
        <v>168</v>
      </c>
      <c r="B109" s="53" t="s">
        <v>169</v>
      </c>
      <c r="C109" s="34">
        <f>[9]С4.3!E17</f>
        <v>20.350000000000001</v>
      </c>
      <c r="D109" s="150">
        <f>[9]С4.3!F17</f>
        <v>0</v>
      </c>
    </row>
    <row r="110" spans="1:4" ht="38.25" x14ac:dyDescent="0.2">
      <c r="A110" s="59" t="s">
        <v>170</v>
      </c>
      <c r="B110" s="53" t="s">
        <v>106</v>
      </c>
      <c r="C110" s="85">
        <f>[9]С4.3!E18</f>
        <v>0</v>
      </c>
      <c r="D110" s="145">
        <f>[9]С4.3!F18</f>
        <v>0</v>
      </c>
    </row>
    <row r="111" spans="1:4" x14ac:dyDescent="0.2">
      <c r="A111" s="59" t="s">
        <v>171</v>
      </c>
      <c r="B111" s="53" t="s">
        <v>172</v>
      </c>
      <c r="C111" s="34">
        <f>[9]С4.3!E19</f>
        <v>71.67</v>
      </c>
      <c r="D111" s="150">
        <f>[9]С4.3!F19</f>
        <v>0</v>
      </c>
    </row>
    <row r="112" spans="1:4" x14ac:dyDescent="0.2">
      <c r="A112" s="59" t="s">
        <v>173</v>
      </c>
      <c r="B112" s="58" t="s">
        <v>174</v>
      </c>
      <c r="C112" s="34">
        <f>[9]С4.3!E11</f>
        <v>1871</v>
      </c>
      <c r="D112" s="145" t="s">
        <v>260</v>
      </c>
    </row>
    <row r="113" spans="1:4" x14ac:dyDescent="0.2">
      <c r="A113" s="59" t="s">
        <v>175</v>
      </c>
      <c r="B113" s="58" t="s">
        <v>176</v>
      </c>
      <c r="C113" s="52">
        <f>[9]С4.3!E12</f>
        <v>1636</v>
      </c>
      <c r="D113" s="145" t="s">
        <v>260</v>
      </c>
    </row>
    <row r="114" spans="1:4" x14ac:dyDescent="0.2">
      <c r="A114" s="59" t="s">
        <v>177</v>
      </c>
      <c r="B114" s="58" t="s">
        <v>178</v>
      </c>
      <c r="C114" s="52">
        <f>[9]С4.3!E13</f>
        <v>204</v>
      </c>
      <c r="D114" s="145" t="s">
        <v>260</v>
      </c>
    </row>
    <row r="115" spans="1:4" ht="30" x14ac:dyDescent="0.2">
      <c r="A115" s="59" t="s">
        <v>179</v>
      </c>
      <c r="B115" s="33" t="s">
        <v>180</v>
      </c>
      <c r="C115" s="34">
        <f>[9]С4!F27</f>
        <v>1291.2863994686898</v>
      </c>
      <c r="D115" s="145"/>
    </row>
    <row r="116" spans="1:4" ht="25.5" x14ac:dyDescent="0.2">
      <c r="A116" s="59" t="s">
        <v>181</v>
      </c>
      <c r="B116" s="53" t="s">
        <v>182</v>
      </c>
      <c r="C116" s="34">
        <f>[9]С4!F28</f>
        <v>991.77142816335618</v>
      </c>
      <c r="D116" s="150"/>
    </row>
    <row r="117" spans="1:4" ht="42.75" x14ac:dyDescent="0.2">
      <c r="A117" s="59" t="s">
        <v>183</v>
      </c>
      <c r="B117" s="53" t="s">
        <v>184</v>
      </c>
      <c r="C117" s="34">
        <f>[9]С4!F29</f>
        <v>299.51497130533357</v>
      </c>
      <c r="D117" s="145"/>
    </row>
    <row r="118" spans="1:4" ht="30" x14ac:dyDescent="0.2">
      <c r="A118" s="59" t="s">
        <v>185</v>
      </c>
      <c r="B118" s="39" t="s">
        <v>186</v>
      </c>
      <c r="C118" s="34">
        <f>[9]С4!F30</f>
        <v>1846.1709738656207</v>
      </c>
      <c r="D118" s="145"/>
    </row>
    <row r="119" spans="1:4" ht="42.75" x14ac:dyDescent="0.2">
      <c r="A119" s="59" t="s">
        <v>187</v>
      </c>
      <c r="B119" s="86" t="s">
        <v>188</v>
      </c>
      <c r="C119" s="34">
        <f>[9]С4!F33</f>
        <v>1124.091225525967</v>
      </c>
      <c r="D119" s="145"/>
    </row>
    <row r="120" spans="1:4" ht="30" x14ac:dyDescent="0.2">
      <c r="A120" s="59" t="s">
        <v>189</v>
      </c>
      <c r="B120" s="87" t="s">
        <v>190</v>
      </c>
      <c r="C120" s="34">
        <f>[9]С4!F35</f>
        <v>17.040680999999999</v>
      </c>
      <c r="D120" s="150"/>
    </row>
    <row r="121" spans="1:4" ht="14.25" x14ac:dyDescent="0.2">
      <c r="A121" s="59" t="s">
        <v>191</v>
      </c>
      <c r="B121" s="56" t="s">
        <v>192</v>
      </c>
      <c r="C121" s="34">
        <f>[9]С4!F36</f>
        <v>14319.9</v>
      </c>
      <c r="D121" s="145" t="s">
        <v>277</v>
      </c>
    </row>
    <row r="122" spans="1:4" ht="28.5" thickBot="1" x14ac:dyDescent="0.25">
      <c r="A122" s="72" t="s">
        <v>193</v>
      </c>
      <c r="B122" s="88" t="s">
        <v>194</v>
      </c>
      <c r="C122" s="83">
        <f>[9]С4!F37</f>
        <v>1.19</v>
      </c>
      <c r="D122" s="148" t="str">
        <f>[9]С4.1!F12</f>
        <v>пп № 274 от 01.03.2022</v>
      </c>
    </row>
    <row r="123" spans="1:4" s="89" customFormat="1" ht="13.5" thickBot="1" x14ac:dyDescent="0.25">
      <c r="A123" s="47"/>
      <c r="B123" s="75"/>
      <c r="C123" s="15"/>
      <c r="D123" s="154"/>
    </row>
    <row r="124" spans="1:4" s="63" customFormat="1" ht="30" customHeight="1" x14ac:dyDescent="0.2">
      <c r="A124" s="76" t="s">
        <v>195</v>
      </c>
      <c r="B124" s="165" t="s">
        <v>196</v>
      </c>
      <c r="C124" s="165"/>
      <c r="D124" s="170"/>
    </row>
    <row r="125" spans="1:4" ht="16.5" thickBot="1" x14ac:dyDescent="0.25">
      <c r="A125" s="27" t="s">
        <v>197</v>
      </c>
      <c r="B125" s="90" t="s">
        <v>198</v>
      </c>
      <c r="C125" s="83">
        <f>[9]С5!F17</f>
        <v>0.02</v>
      </c>
      <c r="D125" s="155" t="s">
        <v>261</v>
      </c>
    </row>
    <row r="126" spans="1:4" s="89" customFormat="1" ht="13.5" thickBot="1" x14ac:dyDescent="0.25">
      <c r="A126" s="47"/>
      <c r="B126" s="75"/>
      <c r="C126" s="15"/>
      <c r="D126" s="154"/>
    </row>
    <row r="127" spans="1:4" ht="42.75" customHeight="1" x14ac:dyDescent="0.2">
      <c r="A127" s="84" t="s">
        <v>199</v>
      </c>
      <c r="B127" s="166" t="s">
        <v>200</v>
      </c>
      <c r="C127" s="166"/>
      <c r="D127" s="171"/>
    </row>
    <row r="128" spans="1:4" ht="68.25" x14ac:dyDescent="0.2">
      <c r="A128" s="59" t="s">
        <v>201</v>
      </c>
      <c r="B128" s="91" t="s">
        <v>202</v>
      </c>
      <c r="C128" s="34" t="s">
        <v>203</v>
      </c>
      <c r="D128" s="146" t="s">
        <v>261</v>
      </c>
    </row>
    <row r="129" spans="1:5" ht="42.75" hidden="1" x14ac:dyDescent="0.2">
      <c r="A129" s="59" t="s">
        <v>204</v>
      </c>
      <c r="B129" s="86" t="s">
        <v>205</v>
      </c>
      <c r="C129" s="92"/>
      <c r="D129" s="145"/>
    </row>
    <row r="130" spans="1:5" ht="69" thickBot="1" x14ac:dyDescent="0.25">
      <c r="A130" s="72" t="s">
        <v>206</v>
      </c>
      <c r="B130" s="93" t="s">
        <v>207</v>
      </c>
      <c r="C130" s="94" t="s">
        <v>203</v>
      </c>
      <c r="D130" s="153" t="s">
        <v>261</v>
      </c>
    </row>
    <row r="131" spans="1:5" ht="62.25" hidden="1" customHeight="1" x14ac:dyDescent="0.2">
      <c r="A131" s="95" t="s">
        <v>208</v>
      </c>
      <c r="B131" s="96" t="s">
        <v>209</v>
      </c>
      <c r="C131" s="97"/>
      <c r="D131" s="156"/>
    </row>
    <row r="132" spans="1:5" ht="68.25" hidden="1" x14ac:dyDescent="0.2">
      <c r="A132" s="59" t="s">
        <v>210</v>
      </c>
      <c r="B132" s="86" t="s">
        <v>211</v>
      </c>
      <c r="C132" s="35"/>
      <c r="D132" s="145"/>
    </row>
    <row r="133" spans="1:5" ht="69" hidden="1" thickBot="1" x14ac:dyDescent="0.25">
      <c r="A133" s="72" t="s">
        <v>212</v>
      </c>
      <c r="B133" s="98" t="s">
        <v>213</v>
      </c>
      <c r="C133" s="74"/>
      <c r="D133" s="148"/>
    </row>
    <row r="134" spans="1:5" s="89" customFormat="1" ht="13.5" thickBot="1" x14ac:dyDescent="0.25">
      <c r="A134" s="47"/>
      <c r="B134" s="75"/>
      <c r="C134" s="15"/>
      <c r="D134" s="154"/>
    </row>
    <row r="135" spans="1:5" ht="26.25" customHeight="1" x14ac:dyDescent="0.2">
      <c r="A135" s="84" t="s">
        <v>214</v>
      </c>
      <c r="B135" s="99" t="s">
        <v>215</v>
      </c>
      <c r="C135" s="100">
        <f>[9]С2!F37</f>
        <v>20.818139999999996</v>
      </c>
      <c r="D135" s="157"/>
    </row>
    <row r="136" spans="1:5" ht="14.25" x14ac:dyDescent="0.2">
      <c r="A136" s="59" t="s">
        <v>216</v>
      </c>
      <c r="B136" s="101" t="s">
        <v>217</v>
      </c>
      <c r="C136" s="34">
        <f>[9]С2!F38</f>
        <v>7</v>
      </c>
      <c r="D136" s="145" t="s">
        <v>260</v>
      </c>
    </row>
    <row r="137" spans="1:5" ht="17.25" x14ac:dyDescent="0.2">
      <c r="A137" s="59" t="s">
        <v>218</v>
      </c>
      <c r="B137" s="101" t="s">
        <v>219</v>
      </c>
      <c r="C137" s="34">
        <f>[9]С2!F40</f>
        <v>0.97</v>
      </c>
      <c r="D137" s="145" t="s">
        <v>260</v>
      </c>
    </row>
    <row r="138" spans="1:5" ht="15" thickBot="1" x14ac:dyDescent="0.25">
      <c r="A138" s="72" t="s">
        <v>220</v>
      </c>
      <c r="B138" s="102" t="s">
        <v>221</v>
      </c>
      <c r="C138" s="46">
        <f>[9]С2!F42</f>
        <v>0.35</v>
      </c>
      <c r="D138" s="148" t="s">
        <v>276</v>
      </c>
    </row>
    <row r="139" spans="1:5" s="89" customFormat="1" ht="13.5" thickBot="1" x14ac:dyDescent="0.25">
      <c r="A139" s="47"/>
      <c r="B139" s="75"/>
      <c r="C139" s="15"/>
      <c r="D139" s="154"/>
    </row>
    <row r="140" spans="1:5" ht="409.5" x14ac:dyDescent="0.2">
      <c r="A140" s="84" t="s">
        <v>222</v>
      </c>
      <c r="B140" s="103" t="s">
        <v>223</v>
      </c>
      <c r="C140" s="104">
        <f>[9]С2!F35</f>
        <v>1.4976266307379205</v>
      </c>
      <c r="D140" s="158" t="str">
        <f>[9]С2.5!D15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0" s="89"/>
    </row>
    <row r="141" spans="1:5" ht="22.7" customHeight="1" thickBot="1" x14ac:dyDescent="0.25">
      <c r="A141" s="72" t="s">
        <v>224</v>
      </c>
      <c r="B141" s="161" t="s">
        <v>225</v>
      </c>
      <c r="C141" s="161"/>
      <c r="D141" s="168"/>
      <c r="E141" s="89"/>
    </row>
    <row r="142" spans="1:5" ht="13.5" thickBot="1" x14ac:dyDescent="0.25">
      <c r="A142" s="105"/>
      <c r="B142" s="106" t="s">
        <v>226</v>
      </c>
      <c r="C142" s="107"/>
      <c r="D142" s="142"/>
      <c r="E142" s="89"/>
    </row>
    <row r="143" spans="1:5" x14ac:dyDescent="0.2">
      <c r="A143" s="105"/>
      <c r="B143" s="108">
        <v>2020</v>
      </c>
      <c r="C143" s="109">
        <f>[9]С2.5!$E$11</f>
        <v>-2.9000000000000026E-2</v>
      </c>
      <c r="D143" s="142"/>
      <c r="E143" s="89"/>
    </row>
    <row r="144" spans="1:5" x14ac:dyDescent="0.2">
      <c r="A144" s="105"/>
      <c r="B144" s="110">
        <f>B143+1</f>
        <v>2021</v>
      </c>
      <c r="C144" s="111">
        <f>[9]С2.5!$F$11</f>
        <v>0.245</v>
      </c>
      <c r="D144" s="142"/>
      <c r="E144" s="89"/>
    </row>
    <row r="145" spans="1:5" x14ac:dyDescent="0.2">
      <c r="A145" s="105"/>
      <c r="B145" s="110">
        <f t="shared" ref="B145:B208" si="0">B144+1</f>
        <v>2022</v>
      </c>
      <c r="C145" s="111">
        <f>[9]С2.5!$G$11</f>
        <v>0.114</v>
      </c>
      <c r="D145" s="142"/>
      <c r="E145" s="89"/>
    </row>
    <row r="146" spans="1:5" ht="13.5" thickBot="1" x14ac:dyDescent="0.25">
      <c r="A146" s="105"/>
      <c r="B146" s="112">
        <f t="shared" si="0"/>
        <v>2023</v>
      </c>
      <c r="C146" s="113">
        <f>[9]С2.5!$H$11</f>
        <v>2.4E-2</v>
      </c>
      <c r="D146" s="142"/>
      <c r="E146" s="89"/>
    </row>
    <row r="147" spans="1:5" x14ac:dyDescent="0.2">
      <c r="A147" s="105"/>
      <c r="B147" s="114">
        <f t="shared" si="0"/>
        <v>2024</v>
      </c>
      <c r="C147" s="115">
        <f>[9]С2.5!$I$11</f>
        <v>8.5999999999999993E-2</v>
      </c>
      <c r="D147" s="142"/>
      <c r="E147" s="89"/>
    </row>
    <row r="148" spans="1:5" hidden="1" x14ac:dyDescent="0.2">
      <c r="A148" s="105"/>
      <c r="B148" s="110">
        <f t="shared" si="0"/>
        <v>2025</v>
      </c>
      <c r="C148" s="111">
        <f>[9]С2.5!$J$11</f>
        <v>0.21215960863291</v>
      </c>
      <c r="D148" s="142"/>
      <c r="E148" s="89"/>
    </row>
    <row r="149" spans="1:5" hidden="1" x14ac:dyDescent="0.2">
      <c r="A149" s="105"/>
      <c r="B149" s="110">
        <f t="shared" si="0"/>
        <v>2026</v>
      </c>
      <c r="C149" s="111">
        <f>[9]С2.5!$K$11</f>
        <v>3.5813361771260002E-2</v>
      </c>
      <c r="D149" s="142"/>
      <c r="E149" s="89"/>
    </row>
    <row r="150" spans="1:5" hidden="1" x14ac:dyDescent="0.2">
      <c r="A150" s="105"/>
      <c r="B150" s="110">
        <f t="shared" si="0"/>
        <v>2027</v>
      </c>
      <c r="C150" s="111">
        <f>[9]С2.5!$L$11</f>
        <v>3.2682303599220003E-2</v>
      </c>
      <c r="D150" s="142"/>
      <c r="E150" s="89"/>
    </row>
    <row r="151" spans="1:5" hidden="1" x14ac:dyDescent="0.2">
      <c r="A151" s="105"/>
      <c r="B151" s="110">
        <f t="shared" si="0"/>
        <v>2028</v>
      </c>
      <c r="C151" s="111">
        <f>[9]С2.5!$M$11</f>
        <v>0</v>
      </c>
      <c r="D151" s="142"/>
      <c r="E151" s="89"/>
    </row>
    <row r="152" spans="1:5" hidden="1" x14ac:dyDescent="0.2">
      <c r="A152" s="105"/>
      <c r="B152" s="110">
        <f t="shared" si="0"/>
        <v>2029</v>
      </c>
      <c r="C152" s="111">
        <f>[9]С2.5!$N$11</f>
        <v>0</v>
      </c>
      <c r="D152" s="142"/>
      <c r="E152" s="89"/>
    </row>
    <row r="153" spans="1:5" hidden="1" x14ac:dyDescent="0.2">
      <c r="A153" s="105"/>
      <c r="B153" s="110">
        <f t="shared" si="0"/>
        <v>2030</v>
      </c>
      <c r="C153" s="111">
        <f>[9]С2.5!$O$11</f>
        <v>0</v>
      </c>
      <c r="D153" s="142"/>
      <c r="E153" s="89"/>
    </row>
    <row r="154" spans="1:5" hidden="1" x14ac:dyDescent="0.2">
      <c r="A154" s="105"/>
      <c r="B154" s="110">
        <f t="shared" si="0"/>
        <v>2031</v>
      </c>
      <c r="C154" s="111">
        <f>[9]С2.5!$P$11</f>
        <v>0</v>
      </c>
      <c r="D154" s="142"/>
      <c r="E154" s="89"/>
    </row>
    <row r="155" spans="1:5" hidden="1" x14ac:dyDescent="0.2">
      <c r="A155" s="89"/>
      <c r="B155" s="110">
        <f t="shared" si="0"/>
        <v>2032</v>
      </c>
      <c r="C155" s="111">
        <f>[9]С2.5!$Q$11</f>
        <v>0</v>
      </c>
      <c r="D155" s="142"/>
      <c r="E155" s="89"/>
    </row>
    <row r="156" spans="1:5" hidden="1" x14ac:dyDescent="0.2">
      <c r="A156" s="89"/>
      <c r="B156" s="110">
        <f t="shared" si="0"/>
        <v>2033</v>
      </c>
      <c r="C156" s="111">
        <f>[9]С2.5!$R$11</f>
        <v>0</v>
      </c>
      <c r="D156" s="142"/>
      <c r="E156" s="89"/>
    </row>
    <row r="157" spans="1:5" hidden="1" x14ac:dyDescent="0.2">
      <c r="B157" s="110">
        <f t="shared" si="0"/>
        <v>2034</v>
      </c>
      <c r="C157" s="111">
        <f>[9]С2.5!$S$11</f>
        <v>0</v>
      </c>
    </row>
    <row r="158" spans="1:5" hidden="1" x14ac:dyDescent="0.2">
      <c r="B158" s="110">
        <f t="shared" si="0"/>
        <v>2035</v>
      </c>
      <c r="C158" s="111">
        <f>[9]С2.5!$T$11</f>
        <v>0</v>
      </c>
    </row>
    <row r="159" spans="1:5" hidden="1" x14ac:dyDescent="0.2">
      <c r="B159" s="110">
        <f t="shared" si="0"/>
        <v>2036</v>
      </c>
      <c r="C159" s="111">
        <f>[9]С2.5!$U$11</f>
        <v>0</v>
      </c>
    </row>
    <row r="160" spans="1:5" hidden="1" x14ac:dyDescent="0.2">
      <c r="B160" s="110">
        <f t="shared" si="0"/>
        <v>2037</v>
      </c>
      <c r="C160" s="111">
        <f>[9]С2.5!$V$11</f>
        <v>0</v>
      </c>
    </row>
    <row r="161" spans="2:3" s="2" customFormat="1" hidden="1" x14ac:dyDescent="0.2">
      <c r="B161" s="110">
        <f t="shared" si="0"/>
        <v>2038</v>
      </c>
      <c r="C161" s="111">
        <f>[9]С2.5!$W$11</f>
        <v>0</v>
      </c>
    </row>
    <row r="162" spans="2:3" s="2" customFormat="1" hidden="1" x14ac:dyDescent="0.2">
      <c r="B162" s="110">
        <f t="shared" si="0"/>
        <v>2039</v>
      </c>
      <c r="C162" s="111">
        <f>[9]С2.5!$X$11</f>
        <v>0</v>
      </c>
    </row>
    <row r="163" spans="2:3" s="2" customFormat="1" hidden="1" x14ac:dyDescent="0.2">
      <c r="B163" s="110">
        <f t="shared" si="0"/>
        <v>2040</v>
      </c>
      <c r="C163" s="111">
        <f>[9]С2.5!$Y$11</f>
        <v>0</v>
      </c>
    </row>
    <row r="164" spans="2:3" s="2" customFormat="1" hidden="1" x14ac:dyDescent="0.2">
      <c r="B164" s="110">
        <f t="shared" si="0"/>
        <v>2041</v>
      </c>
      <c r="C164" s="111">
        <f>[9]С2.5!$Z$11</f>
        <v>0</v>
      </c>
    </row>
    <row r="165" spans="2:3" s="2" customFormat="1" hidden="1" x14ac:dyDescent="0.2">
      <c r="B165" s="110">
        <f t="shared" si="0"/>
        <v>2042</v>
      </c>
      <c r="C165" s="111">
        <f>[9]С2.5!$AA$11</f>
        <v>0</v>
      </c>
    </row>
    <row r="166" spans="2:3" s="2" customFormat="1" hidden="1" x14ac:dyDescent="0.2">
      <c r="B166" s="110">
        <f t="shared" si="0"/>
        <v>2043</v>
      </c>
      <c r="C166" s="111">
        <f>[9]С2.5!$AB$11</f>
        <v>0</v>
      </c>
    </row>
    <row r="167" spans="2:3" s="2" customFormat="1" hidden="1" x14ac:dyDescent="0.2">
      <c r="B167" s="110">
        <f t="shared" si="0"/>
        <v>2044</v>
      </c>
      <c r="C167" s="111">
        <f>[9]С2.5!$AC$11</f>
        <v>0</v>
      </c>
    </row>
    <row r="168" spans="2:3" s="2" customFormat="1" hidden="1" x14ac:dyDescent="0.2">
      <c r="B168" s="110">
        <f t="shared" si="0"/>
        <v>2045</v>
      </c>
      <c r="C168" s="111">
        <f>[9]С2.5!$AD$11</f>
        <v>0</v>
      </c>
    </row>
    <row r="169" spans="2:3" s="2" customFormat="1" hidden="1" x14ac:dyDescent="0.2">
      <c r="B169" s="110">
        <f t="shared" si="0"/>
        <v>2046</v>
      </c>
      <c r="C169" s="111">
        <f>[9]С2.5!$AE$11</f>
        <v>0</v>
      </c>
    </row>
    <row r="170" spans="2:3" s="2" customFormat="1" hidden="1" x14ac:dyDescent="0.2">
      <c r="B170" s="110">
        <f t="shared" si="0"/>
        <v>2047</v>
      </c>
      <c r="C170" s="111">
        <f>[9]С2.5!$AF$11</f>
        <v>0</v>
      </c>
    </row>
    <row r="171" spans="2:3" s="2" customFormat="1" hidden="1" x14ac:dyDescent="0.2">
      <c r="B171" s="110">
        <f t="shared" si="0"/>
        <v>2048</v>
      </c>
      <c r="C171" s="111">
        <f>[9]С2.5!$AG$11</f>
        <v>0</v>
      </c>
    </row>
    <row r="172" spans="2:3" s="2" customFormat="1" hidden="1" x14ac:dyDescent="0.2">
      <c r="B172" s="110">
        <f t="shared" si="0"/>
        <v>2049</v>
      </c>
      <c r="C172" s="111">
        <f>[9]С2.5!$AH$11</f>
        <v>0</v>
      </c>
    </row>
    <row r="173" spans="2:3" s="2" customFormat="1" hidden="1" x14ac:dyDescent="0.2">
      <c r="B173" s="110">
        <f t="shared" si="0"/>
        <v>2050</v>
      </c>
      <c r="C173" s="111">
        <f>[9]С2.5!$AI$11</f>
        <v>0</v>
      </c>
    </row>
    <row r="174" spans="2:3" s="2" customFormat="1" hidden="1" x14ac:dyDescent="0.2">
      <c r="B174" s="110">
        <f t="shared" si="0"/>
        <v>2051</v>
      </c>
      <c r="C174" s="111">
        <f>[9]С2.5!$AJ$11</f>
        <v>0</v>
      </c>
    </row>
    <row r="175" spans="2:3" s="2" customFormat="1" hidden="1" x14ac:dyDescent="0.2">
      <c r="B175" s="110">
        <f t="shared" si="0"/>
        <v>2052</v>
      </c>
      <c r="C175" s="111">
        <f>[9]С2.5!$AK$11</f>
        <v>0</v>
      </c>
    </row>
    <row r="176" spans="2:3" s="2" customFormat="1" hidden="1" x14ac:dyDescent="0.2">
      <c r="B176" s="110">
        <f t="shared" si="0"/>
        <v>2053</v>
      </c>
      <c r="C176" s="111">
        <f>[9]С2.5!$AL$11</f>
        <v>0</v>
      </c>
    </row>
    <row r="177" spans="2:3" s="2" customFormat="1" hidden="1" x14ac:dyDescent="0.2">
      <c r="B177" s="110">
        <f t="shared" si="0"/>
        <v>2054</v>
      </c>
      <c r="C177" s="111">
        <f>[9]С2.5!$AM$11</f>
        <v>0</v>
      </c>
    </row>
    <row r="178" spans="2:3" s="2" customFormat="1" hidden="1" x14ac:dyDescent="0.2">
      <c r="B178" s="110">
        <f t="shared" si="0"/>
        <v>2055</v>
      </c>
      <c r="C178" s="111">
        <f>[9]С2.5!$AN$11</f>
        <v>0</v>
      </c>
    </row>
    <row r="179" spans="2:3" s="2" customFormat="1" hidden="1" x14ac:dyDescent="0.2">
      <c r="B179" s="110">
        <f t="shared" si="0"/>
        <v>2056</v>
      </c>
      <c r="C179" s="111">
        <f>[9]С2.5!$AO$11</f>
        <v>0</v>
      </c>
    </row>
    <row r="180" spans="2:3" s="2" customFormat="1" hidden="1" x14ac:dyDescent="0.2">
      <c r="B180" s="110">
        <f t="shared" si="0"/>
        <v>2057</v>
      </c>
      <c r="C180" s="111">
        <f>[9]С2.5!$AP$11</f>
        <v>0</v>
      </c>
    </row>
    <row r="181" spans="2:3" s="2" customFormat="1" hidden="1" x14ac:dyDescent="0.2">
      <c r="B181" s="110">
        <f t="shared" si="0"/>
        <v>2058</v>
      </c>
      <c r="C181" s="111">
        <f>[9]С2.5!$AQ$11</f>
        <v>0</v>
      </c>
    </row>
    <row r="182" spans="2:3" s="2" customFormat="1" hidden="1" x14ac:dyDescent="0.2">
      <c r="B182" s="110">
        <f t="shared" si="0"/>
        <v>2059</v>
      </c>
      <c r="C182" s="111">
        <f>[9]С2.5!$AR$11</f>
        <v>0</v>
      </c>
    </row>
    <row r="183" spans="2:3" s="2" customFormat="1" hidden="1" x14ac:dyDescent="0.2">
      <c r="B183" s="110">
        <f t="shared" si="0"/>
        <v>2060</v>
      </c>
      <c r="C183" s="111">
        <f>[9]С2.5!$AS$11</f>
        <v>0</v>
      </c>
    </row>
    <row r="184" spans="2:3" s="2" customFormat="1" hidden="1" x14ac:dyDescent="0.2">
      <c r="B184" s="110">
        <f t="shared" si="0"/>
        <v>2061</v>
      </c>
      <c r="C184" s="111">
        <f>[9]С2.5!$AT$11</f>
        <v>0</v>
      </c>
    </row>
    <row r="185" spans="2:3" s="2" customFormat="1" hidden="1" x14ac:dyDescent="0.2">
      <c r="B185" s="110">
        <f t="shared" si="0"/>
        <v>2062</v>
      </c>
      <c r="C185" s="111">
        <f>[9]С2.5!$AU$11</f>
        <v>0</v>
      </c>
    </row>
    <row r="186" spans="2:3" s="2" customFormat="1" hidden="1" x14ac:dyDescent="0.2">
      <c r="B186" s="110">
        <f t="shared" si="0"/>
        <v>2063</v>
      </c>
      <c r="C186" s="111">
        <f>[9]С2.5!$AV$11</f>
        <v>0</v>
      </c>
    </row>
    <row r="187" spans="2:3" s="2" customFormat="1" hidden="1" x14ac:dyDescent="0.2">
      <c r="B187" s="110">
        <f t="shared" si="0"/>
        <v>2064</v>
      </c>
      <c r="C187" s="111">
        <f>[9]С2.5!$AW$11</f>
        <v>0</v>
      </c>
    </row>
    <row r="188" spans="2:3" s="2" customFormat="1" hidden="1" x14ac:dyDescent="0.2">
      <c r="B188" s="110">
        <f t="shared" si="0"/>
        <v>2065</v>
      </c>
      <c r="C188" s="111">
        <f>[9]С2.5!$AX$11</f>
        <v>0</v>
      </c>
    </row>
    <row r="189" spans="2:3" s="2" customFormat="1" hidden="1" x14ac:dyDescent="0.2">
      <c r="B189" s="110">
        <f t="shared" si="0"/>
        <v>2066</v>
      </c>
      <c r="C189" s="111">
        <f>[9]С2.5!$AY$11</f>
        <v>0</v>
      </c>
    </row>
    <row r="190" spans="2:3" s="2" customFormat="1" hidden="1" x14ac:dyDescent="0.2">
      <c r="B190" s="110">
        <f t="shared" si="0"/>
        <v>2067</v>
      </c>
      <c r="C190" s="111">
        <f>[9]С2.5!$AZ$11</f>
        <v>0</v>
      </c>
    </row>
    <row r="191" spans="2:3" s="2" customFormat="1" hidden="1" x14ac:dyDescent="0.2">
      <c r="B191" s="110">
        <f t="shared" si="0"/>
        <v>2068</v>
      </c>
      <c r="C191" s="111">
        <f>[9]С2.5!$BA$11</f>
        <v>0</v>
      </c>
    </row>
    <row r="192" spans="2:3" s="2" customFormat="1" hidden="1" x14ac:dyDescent="0.2">
      <c r="B192" s="110">
        <f t="shared" si="0"/>
        <v>2069</v>
      </c>
      <c r="C192" s="111">
        <f>[9]С2.5!$BB$11</f>
        <v>0</v>
      </c>
    </row>
    <row r="193" spans="2:3" s="2" customFormat="1" hidden="1" x14ac:dyDescent="0.2">
      <c r="B193" s="110">
        <f t="shared" si="0"/>
        <v>2070</v>
      </c>
      <c r="C193" s="111">
        <f>[9]С2.5!$BC$11</f>
        <v>0</v>
      </c>
    </row>
    <row r="194" spans="2:3" s="2" customFormat="1" hidden="1" x14ac:dyDescent="0.2">
      <c r="B194" s="110">
        <f t="shared" si="0"/>
        <v>2071</v>
      </c>
      <c r="C194" s="111">
        <f>[9]С2.5!$BD$11</f>
        <v>0</v>
      </c>
    </row>
    <row r="195" spans="2:3" s="2" customFormat="1" hidden="1" x14ac:dyDescent="0.2">
      <c r="B195" s="110">
        <f t="shared" si="0"/>
        <v>2072</v>
      </c>
      <c r="C195" s="111">
        <f>[9]С2.5!$BE$11</f>
        <v>0</v>
      </c>
    </row>
    <row r="196" spans="2:3" s="2" customFormat="1" hidden="1" x14ac:dyDescent="0.2">
      <c r="B196" s="110">
        <f t="shared" si="0"/>
        <v>2073</v>
      </c>
      <c r="C196" s="111">
        <f>[9]С2.5!$BF$11</f>
        <v>0</v>
      </c>
    </row>
    <row r="197" spans="2:3" s="2" customFormat="1" hidden="1" x14ac:dyDescent="0.2">
      <c r="B197" s="110">
        <f t="shared" si="0"/>
        <v>2074</v>
      </c>
      <c r="C197" s="111">
        <f>[9]С2.5!$BG$11</f>
        <v>0</v>
      </c>
    </row>
    <row r="198" spans="2:3" s="2" customFormat="1" hidden="1" x14ac:dyDescent="0.2">
      <c r="B198" s="110">
        <f t="shared" si="0"/>
        <v>2075</v>
      </c>
      <c r="C198" s="111">
        <f>[9]С2.5!$BH$11</f>
        <v>0</v>
      </c>
    </row>
    <row r="199" spans="2:3" s="2" customFormat="1" hidden="1" x14ac:dyDescent="0.2">
      <c r="B199" s="110">
        <f t="shared" si="0"/>
        <v>2076</v>
      </c>
      <c r="C199" s="111">
        <f>[9]С2.5!$BI$11</f>
        <v>0</v>
      </c>
    </row>
    <row r="200" spans="2:3" s="2" customFormat="1" hidden="1" x14ac:dyDescent="0.2">
      <c r="B200" s="110">
        <f t="shared" si="0"/>
        <v>2077</v>
      </c>
      <c r="C200" s="111">
        <f>[9]С2.5!$BJ$11</f>
        <v>0</v>
      </c>
    </row>
    <row r="201" spans="2:3" s="2" customFormat="1" hidden="1" x14ac:dyDescent="0.2">
      <c r="B201" s="110">
        <f t="shared" si="0"/>
        <v>2078</v>
      </c>
      <c r="C201" s="111">
        <f>[9]С2.5!$BK$11</f>
        <v>0</v>
      </c>
    </row>
    <row r="202" spans="2:3" s="2" customFormat="1" hidden="1" x14ac:dyDescent="0.2">
      <c r="B202" s="110">
        <f t="shared" si="0"/>
        <v>2079</v>
      </c>
      <c r="C202" s="111">
        <f>[9]С2.5!$BL$11</f>
        <v>0</v>
      </c>
    </row>
    <row r="203" spans="2:3" s="2" customFormat="1" hidden="1" x14ac:dyDescent="0.2">
      <c r="B203" s="110">
        <f t="shared" si="0"/>
        <v>2080</v>
      </c>
      <c r="C203" s="111">
        <f>[9]С2.5!$BM$11</f>
        <v>0</v>
      </c>
    </row>
    <row r="204" spans="2:3" s="2" customFormat="1" hidden="1" x14ac:dyDescent="0.2">
      <c r="B204" s="110">
        <f t="shared" si="0"/>
        <v>2081</v>
      </c>
      <c r="C204" s="111">
        <f>[9]С2.5!$BN$11</f>
        <v>0</v>
      </c>
    </row>
    <row r="205" spans="2:3" s="2" customFormat="1" hidden="1" x14ac:dyDescent="0.2">
      <c r="B205" s="110">
        <f t="shared" si="0"/>
        <v>2082</v>
      </c>
      <c r="C205" s="111">
        <f>[9]С2.5!$BO$11</f>
        <v>0</v>
      </c>
    </row>
    <row r="206" spans="2:3" s="2" customFormat="1" hidden="1" x14ac:dyDescent="0.2">
      <c r="B206" s="110">
        <f t="shared" si="0"/>
        <v>2083</v>
      </c>
      <c r="C206" s="111">
        <f>[9]С2.5!$BP$11</f>
        <v>0</v>
      </c>
    </row>
    <row r="207" spans="2:3" s="2" customFormat="1" hidden="1" x14ac:dyDescent="0.2">
      <c r="B207" s="110">
        <f t="shared" si="0"/>
        <v>2084</v>
      </c>
      <c r="C207" s="111">
        <f>[9]С2.5!$BQ$11</f>
        <v>0</v>
      </c>
    </row>
    <row r="208" spans="2:3" s="2" customFormat="1" hidden="1" x14ac:dyDescent="0.2">
      <c r="B208" s="110">
        <f t="shared" si="0"/>
        <v>2085</v>
      </c>
      <c r="C208" s="111">
        <f>[9]С2.5!$BR$11</f>
        <v>0</v>
      </c>
    </row>
    <row r="209" spans="2:3" s="2" customFormat="1" hidden="1" x14ac:dyDescent="0.2">
      <c r="B209" s="110">
        <f t="shared" ref="B209:B223" si="1">B208+1</f>
        <v>2086</v>
      </c>
      <c r="C209" s="111">
        <f>[9]С2.5!$BS$11</f>
        <v>0</v>
      </c>
    </row>
    <row r="210" spans="2:3" s="2" customFormat="1" hidden="1" x14ac:dyDescent="0.2">
      <c r="B210" s="110">
        <f t="shared" si="1"/>
        <v>2087</v>
      </c>
      <c r="C210" s="111">
        <f>[9]С2.5!$BT$11</f>
        <v>0</v>
      </c>
    </row>
    <row r="211" spans="2:3" s="2" customFormat="1" hidden="1" x14ac:dyDescent="0.2">
      <c r="B211" s="110">
        <f t="shared" si="1"/>
        <v>2088</v>
      </c>
      <c r="C211" s="111">
        <f>[9]С2.5!$BU$11</f>
        <v>0</v>
      </c>
    </row>
    <row r="212" spans="2:3" s="2" customFormat="1" hidden="1" x14ac:dyDescent="0.2">
      <c r="B212" s="110">
        <f t="shared" si="1"/>
        <v>2089</v>
      </c>
      <c r="C212" s="111">
        <f>[9]С2.5!$BV$11</f>
        <v>0</v>
      </c>
    </row>
    <row r="213" spans="2:3" s="2" customFormat="1" hidden="1" x14ac:dyDescent="0.2">
      <c r="B213" s="110">
        <f t="shared" si="1"/>
        <v>2090</v>
      </c>
      <c r="C213" s="111">
        <f>[9]С2.5!$BW$11</f>
        <v>0</v>
      </c>
    </row>
    <row r="214" spans="2:3" s="2" customFormat="1" hidden="1" x14ac:dyDescent="0.2">
      <c r="B214" s="110">
        <f t="shared" si="1"/>
        <v>2091</v>
      </c>
      <c r="C214" s="111">
        <f>[9]С2.5!$BX$11</f>
        <v>0</v>
      </c>
    </row>
    <row r="215" spans="2:3" s="2" customFormat="1" hidden="1" x14ac:dyDescent="0.2">
      <c r="B215" s="110">
        <f t="shared" si="1"/>
        <v>2092</v>
      </c>
      <c r="C215" s="111">
        <f>[9]С2.5!$BY$11</f>
        <v>0</v>
      </c>
    </row>
    <row r="216" spans="2:3" s="2" customFormat="1" hidden="1" x14ac:dyDescent="0.2">
      <c r="B216" s="110">
        <f t="shared" si="1"/>
        <v>2093</v>
      </c>
      <c r="C216" s="111">
        <f>[9]С2.5!$BZ$11</f>
        <v>0</v>
      </c>
    </row>
    <row r="217" spans="2:3" s="2" customFormat="1" hidden="1" x14ac:dyDescent="0.2">
      <c r="B217" s="110">
        <f t="shared" si="1"/>
        <v>2094</v>
      </c>
      <c r="C217" s="111">
        <f>[9]С2.5!$CA$11</f>
        <v>0</v>
      </c>
    </row>
    <row r="218" spans="2:3" s="2" customFormat="1" hidden="1" x14ac:dyDescent="0.2">
      <c r="B218" s="110">
        <f t="shared" si="1"/>
        <v>2095</v>
      </c>
      <c r="C218" s="111">
        <f>[9]С2.5!$CB$11</f>
        <v>0</v>
      </c>
    </row>
    <row r="219" spans="2:3" s="2" customFormat="1" hidden="1" x14ac:dyDescent="0.2">
      <c r="B219" s="110">
        <f t="shared" si="1"/>
        <v>2096</v>
      </c>
      <c r="C219" s="111">
        <f>[9]С2.5!$CC$11</f>
        <v>0</v>
      </c>
    </row>
    <row r="220" spans="2:3" s="2" customFormat="1" hidden="1" x14ac:dyDescent="0.2">
      <c r="B220" s="110">
        <f t="shared" si="1"/>
        <v>2097</v>
      </c>
      <c r="C220" s="111">
        <f>[9]С2.5!$CD$11</f>
        <v>0</v>
      </c>
    </row>
    <row r="221" spans="2:3" s="2" customFormat="1" hidden="1" x14ac:dyDescent="0.2">
      <c r="B221" s="110">
        <f t="shared" si="1"/>
        <v>2098</v>
      </c>
      <c r="C221" s="111">
        <f>[9]С2.5!$CE$11</f>
        <v>0</v>
      </c>
    </row>
    <row r="222" spans="2:3" s="2" customFormat="1" hidden="1" x14ac:dyDescent="0.2">
      <c r="B222" s="110">
        <f t="shared" si="1"/>
        <v>2099</v>
      </c>
      <c r="C222" s="111">
        <f>[9]С2.5!$CF$11</f>
        <v>0</v>
      </c>
    </row>
    <row r="223" spans="2:3" s="2" customFormat="1" ht="13.5" hidden="1" thickBot="1" x14ac:dyDescent="0.25">
      <c r="B223" s="112">
        <f t="shared" si="1"/>
        <v>2100</v>
      </c>
      <c r="C223" s="113">
        <f>[9]С2.5!$CG$11</f>
        <v>0</v>
      </c>
    </row>
    <row r="224" spans="2:3" s="2" customFormat="1" hidden="1" x14ac:dyDescent="0.2">
      <c r="C224" s="116"/>
    </row>
    <row r="225" spans="3:3" s="2" customFormat="1" hidden="1" x14ac:dyDescent="0.2">
      <c r="C225" s="116"/>
    </row>
    <row r="226" spans="3:3" s="2" customFormat="1" x14ac:dyDescent="0.2">
      <c r="C226" s="116"/>
    </row>
  </sheetData>
  <mergeCells count="9">
    <mergeCell ref="B141:D141"/>
    <mergeCell ref="A14:C14"/>
    <mergeCell ref="B1:D1"/>
    <mergeCell ref="B27:D27"/>
    <mergeCell ref="B40:D40"/>
    <mergeCell ref="B84:D84"/>
    <mergeCell ref="B95:D95"/>
    <mergeCell ref="B124:D124"/>
    <mergeCell ref="B127:D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8]!Лист29.PrintBlock">
                <anchor moveWithCells="1" sizeWithCells="1">
                  <from>
                    <xdr:col>3</xdr:col>
                    <xdr:colOff>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5122" r:id="rId4" name="Button 2">
              <controlPr defaultSize="0" print="0" autoFill="0" autoPict="0" macro="[9]!Лист29.PrintBlock">
                <anchor moveWithCells="1" sizeWithCells="1">
                  <from>
                    <xdr:col>4</xdr:col>
                    <xdr:colOff>38100</xdr:colOff>
                    <xdr:row>0</xdr:row>
                    <xdr:rowOff>85725</xdr:rowOff>
                  </from>
                  <to>
                    <xdr:col>5</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22.85546875" style="159" customWidth="1"/>
    <col min="5" max="5" width="5.140625" style="2" customWidth="1"/>
    <col min="6" max="6" width="17.5703125" style="2" customWidth="1"/>
    <col min="7" max="159" width="9.140625" style="2"/>
    <col min="160" max="241" width="0" style="2" hidden="1" customWidth="1"/>
    <col min="242" max="250" width="9.140625" style="2"/>
    <col min="251" max="251" width="3.710937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710937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710937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710937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710937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710937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710937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710937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710937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710937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710937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710937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710937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710937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710937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710937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710937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710937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710937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710937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710937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710937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710937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710937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710937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710937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710937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710937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710937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710937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710937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710937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710937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710937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710937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710937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710937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710937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710937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710937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710937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710937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710937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710937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710937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710937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710937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710937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710937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710937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710937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710937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710937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710937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710937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710937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710937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710937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710937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710937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710937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710937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710937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3"/>
      <c r="B1" s="163" t="s">
        <v>227</v>
      </c>
      <c r="C1" s="163"/>
      <c r="D1" s="163"/>
    </row>
    <row r="2" spans="1:4" x14ac:dyDescent="0.2">
      <c r="A2" s="3"/>
      <c r="B2" s="4" t="s">
        <v>1</v>
      </c>
      <c r="C2" s="5">
        <v>45317</v>
      </c>
    </row>
    <row r="3" spans="1:4" x14ac:dyDescent="0.2">
      <c r="A3" s="3"/>
      <c r="B3" s="117" t="s">
        <v>2</v>
      </c>
      <c r="C3" s="7"/>
    </row>
    <row r="4" spans="1:4" ht="25.5" x14ac:dyDescent="0.2">
      <c r="A4" s="8"/>
      <c r="B4" s="9" t="str">
        <f>[10]И1!D13</f>
        <v>Субъект Российской Федерации</v>
      </c>
      <c r="C4" s="10" t="str">
        <f>[10]И1!E13</f>
        <v>Новосибирская область</v>
      </c>
      <c r="D4" s="9"/>
    </row>
    <row r="5" spans="1:4" ht="48.6" customHeight="1" x14ac:dyDescent="0.2">
      <c r="A5" s="8"/>
      <c r="B5" s="9" t="str">
        <f>[10]И1!D14</f>
        <v>Тип муниципального образования (выберите из списка)</v>
      </c>
      <c r="C5" s="10" t="str">
        <f>[10]И1!E14</f>
        <v>станция Евсино, Искитимский муниципальный район</v>
      </c>
      <c r="D5" s="9"/>
    </row>
    <row r="6" spans="1:4" x14ac:dyDescent="0.2">
      <c r="A6" s="8"/>
      <c r="B6" s="9" t="str">
        <f>IF([10]И1!E15="","",[10]И1!D15)</f>
        <v/>
      </c>
      <c r="C6" s="7" t="str">
        <f>IF([10]И1!E15="","",[10]И1!E15)</f>
        <v/>
      </c>
      <c r="D6" s="9"/>
    </row>
    <row r="7" spans="1:4" x14ac:dyDescent="0.2">
      <c r="A7" s="8"/>
      <c r="B7" s="9" t="str">
        <f>[10]И1!D16</f>
        <v>Код ОКТМО</v>
      </c>
      <c r="C7" s="11" t="str">
        <f>[10]И1!E16</f>
        <v xml:space="preserve"> (50615413101)</v>
      </c>
      <c r="D7" s="9"/>
    </row>
    <row r="8" spans="1:4" x14ac:dyDescent="0.2">
      <c r="A8" s="8"/>
      <c r="B8" s="12" t="str">
        <f>[10]И1!D17</f>
        <v>Система теплоснабжения</v>
      </c>
      <c r="C8" s="13">
        <f>[10]И1!E17</f>
        <v>0</v>
      </c>
      <c r="D8" s="9"/>
    </row>
    <row r="9" spans="1:4" x14ac:dyDescent="0.2">
      <c r="A9" s="8"/>
      <c r="B9" s="9" t="str">
        <f>[10]И1!D8</f>
        <v>Период регулирования (i)-й</v>
      </c>
      <c r="C9" s="14">
        <f>[10]И1!E8</f>
        <v>2024</v>
      </c>
      <c r="D9" s="9"/>
    </row>
    <row r="10" spans="1:4" x14ac:dyDescent="0.2">
      <c r="A10" s="8"/>
      <c r="B10" s="9" t="str">
        <f>[10]И1!D9</f>
        <v>Период регулирования (i-1)-й</v>
      </c>
      <c r="C10" s="14">
        <f>[10]И1!E9</f>
        <v>2023</v>
      </c>
      <c r="D10" s="9"/>
    </row>
    <row r="11" spans="1:4" x14ac:dyDescent="0.2">
      <c r="A11" s="8"/>
      <c r="B11" s="9" t="str">
        <f>[10]И1!D10</f>
        <v>Период регулирования (i-2)-й</v>
      </c>
      <c r="C11" s="14">
        <f>[10]И1!E10</f>
        <v>2022</v>
      </c>
      <c r="D11" s="9"/>
    </row>
    <row r="12" spans="1:4" x14ac:dyDescent="0.2">
      <c r="A12" s="8"/>
      <c r="B12" s="9" t="str">
        <f>[10]И1!D11</f>
        <v>Базовый год (б)</v>
      </c>
      <c r="C12" s="14">
        <f>[10]И1!E11</f>
        <v>2019</v>
      </c>
      <c r="D12" s="9"/>
    </row>
    <row r="13" spans="1:4" x14ac:dyDescent="0.2">
      <c r="A13" s="8"/>
      <c r="B13" s="9" t="str">
        <f>[10]И1!D18</f>
        <v>Вид топлива, использование которого преобладает в системе теплоснабжения</v>
      </c>
      <c r="C13" s="15" t="str">
        <f>[10]И1!E18</f>
        <v>Газ</v>
      </c>
      <c r="D13" s="9"/>
    </row>
    <row r="14" spans="1:4" ht="26.25" customHeight="1" thickBot="1" x14ac:dyDescent="0.25">
      <c r="A14" s="167" t="s">
        <v>3</v>
      </c>
      <c r="B14" s="167"/>
      <c r="C14" s="167"/>
    </row>
    <row r="15" spans="1:4" x14ac:dyDescent="0.2">
      <c r="A15" s="16" t="s">
        <v>4</v>
      </c>
      <c r="B15" s="30" t="s">
        <v>5</v>
      </c>
      <c r="C15" s="118" t="s">
        <v>6</v>
      </c>
    </row>
    <row r="16" spans="1:4" x14ac:dyDescent="0.2">
      <c r="A16" s="19">
        <v>1</v>
      </c>
      <c r="B16" s="119">
        <v>2</v>
      </c>
      <c r="C16" s="120">
        <v>3</v>
      </c>
    </row>
    <row r="17" spans="1:4" x14ac:dyDescent="0.2">
      <c r="A17" s="22">
        <v>1</v>
      </c>
      <c r="B17" s="23" t="s">
        <v>7</v>
      </c>
      <c r="C17" s="24">
        <f>SUM(C18:C23)</f>
        <v>2939.204068798766</v>
      </c>
    </row>
    <row r="18" spans="1:4" ht="42.75" x14ac:dyDescent="0.2">
      <c r="A18" s="22" t="s">
        <v>8</v>
      </c>
      <c r="B18" s="25" t="s">
        <v>9</v>
      </c>
      <c r="C18" s="26">
        <f>[10]С1!F12</f>
        <v>994.35037159416254</v>
      </c>
    </row>
    <row r="19" spans="1:4" ht="42.75" x14ac:dyDescent="0.2">
      <c r="A19" s="22" t="s">
        <v>10</v>
      </c>
      <c r="B19" s="25" t="s">
        <v>11</v>
      </c>
      <c r="C19" s="26">
        <f>[10]С2!F12</f>
        <v>1338.5714783459885</v>
      </c>
    </row>
    <row r="20" spans="1:4" ht="30" x14ac:dyDescent="0.2">
      <c r="A20" s="22" t="s">
        <v>12</v>
      </c>
      <c r="B20" s="25" t="s">
        <v>13</v>
      </c>
      <c r="C20" s="26">
        <f>[10]С3!F12</f>
        <v>317.98065232680995</v>
      </c>
    </row>
    <row r="21" spans="1:4" ht="42.75" x14ac:dyDescent="0.2">
      <c r="A21" s="22" t="s">
        <v>14</v>
      </c>
      <c r="B21" s="25" t="s">
        <v>228</v>
      </c>
      <c r="C21" s="26">
        <f>[10]С4!F12</f>
        <v>230.67011420241766</v>
      </c>
    </row>
    <row r="22" spans="1:4" ht="33" customHeight="1" x14ac:dyDescent="0.2">
      <c r="A22" s="22" t="s">
        <v>16</v>
      </c>
      <c r="B22" s="25" t="s">
        <v>229</v>
      </c>
      <c r="C22" s="26">
        <f>[10]С5!F12</f>
        <v>57.631452329387571</v>
      </c>
    </row>
    <row r="23" spans="1:4" ht="45.75" customHeight="1" thickBot="1" x14ac:dyDescent="0.25">
      <c r="A23" s="27" t="s">
        <v>18</v>
      </c>
      <c r="B23" s="140" t="s">
        <v>230</v>
      </c>
      <c r="C23" s="28">
        <f>[10]С6!F12</f>
        <v>0</v>
      </c>
    </row>
    <row r="24" spans="1:4" ht="13.5" thickBot="1" x14ac:dyDescent="0.25">
      <c r="A24" s="3"/>
      <c r="C24" s="7"/>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ht="25.5" x14ac:dyDescent="0.2">
      <c r="A28" s="22" t="s">
        <v>8</v>
      </c>
      <c r="B28" s="33" t="s">
        <v>231</v>
      </c>
      <c r="C28" s="34">
        <f>[10]С1.1!E16</f>
        <v>7900</v>
      </c>
      <c r="D28" s="145" t="str">
        <f>[10]С1.1!F16</f>
        <v>Приказ ФАС России от 02.06.2021 №545/21</v>
      </c>
    </row>
    <row r="29" spans="1:4" ht="102" x14ac:dyDescent="0.2">
      <c r="A29" s="22" t="s">
        <v>10</v>
      </c>
      <c r="B29" s="33" t="s">
        <v>232</v>
      </c>
      <c r="C29" s="34">
        <f>[10]С1.1!E32</f>
        <v>5751.37</v>
      </c>
      <c r="D29" s="145" t="str">
        <f>IF([10]С1.1!E24=[10]С1.1!I9,[10]С1.1!I9,IF([10]С1.1!E24=[10]С1.1!I10,[10]С1.1!I10,IF([10]С1.1!E24=[10]С1.1!I11,[10]С1.3!G9,IF([10]С1.1!E24=[10]С1.1!I12,[10]С1.1!F30,IF([10]С1.1!E24=[10]С1.1!I13,[10]С1.1!F31,"")))))</f>
        <v>цены (тарифы), подлежащие государственному регулированию, действовавшие на день окончания (i-2)-го расчетного периода в системе теплоснабжения</v>
      </c>
    </row>
    <row r="30" spans="1:4" ht="38.25" x14ac:dyDescent="0.2">
      <c r="A30" s="22" t="s">
        <v>233</v>
      </c>
      <c r="B30" s="33" t="s">
        <v>234</v>
      </c>
      <c r="C30" s="85" t="str">
        <f>[10]С1.1!E25</f>
        <v>ООО "Газпром газораспределение Томск"</v>
      </c>
      <c r="D30" s="145">
        <f>[10]С1.1!F25</f>
        <v>0</v>
      </c>
    </row>
    <row r="31" spans="1:4" ht="38.25" x14ac:dyDescent="0.2">
      <c r="A31" s="22" t="s">
        <v>235</v>
      </c>
      <c r="B31" s="33" t="str">
        <f>[10]С1.1!D26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[10]С1.1!E26</f>
        <v>4699.5</v>
      </c>
      <c r="D31" s="145" t="str">
        <f>[10]С1.1!F26</f>
        <v>Приказ ФАС России от 02.06.2021 №545/21</v>
      </c>
    </row>
    <row r="32" spans="1:4" ht="25.5" x14ac:dyDescent="0.2">
      <c r="A32" s="22" t="s">
        <v>236</v>
      </c>
      <c r="B32" s="33" t="str">
        <f>[10]С1.1!D27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[10]С1.1!E27</f>
        <v>795.43</v>
      </c>
      <c r="D32" s="145" t="str">
        <f>[10]С1.1!F27</f>
        <v>Приказ ФАС России от 13.01.2020 №15/20</v>
      </c>
    </row>
    <row r="33" spans="1:4" ht="25.5" x14ac:dyDescent="0.2">
      <c r="A33" s="22" t="s">
        <v>237</v>
      </c>
      <c r="B33" s="33" t="str">
        <f>[10]С1.1!D28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[10]С1.1!E28</f>
        <v>136.54</v>
      </c>
      <c r="D33" s="145" t="str">
        <f>[10]С1.1!F28</f>
        <v>Приказ ФАС России от 27.05.2016 №682/16</v>
      </c>
    </row>
    <row r="34" spans="1:4" ht="51" x14ac:dyDescent="0.2">
      <c r="A34" s="22" t="s">
        <v>238</v>
      </c>
      <c r="B34" s="33" t="str">
        <f>[10]С1.1!D29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[10]С1.1!E29</f>
        <v>119.9</v>
      </c>
      <c r="D34" s="145" t="str">
        <f>[10]С1.1!F29</f>
        <v>Приказ департамента по тарифам Новосибирской области от 22.12.2020 №650-Г</v>
      </c>
    </row>
    <row r="35" spans="1:4" ht="369.75" x14ac:dyDescent="0.2">
      <c r="A35" s="22" t="s">
        <v>12</v>
      </c>
      <c r="B35" s="33" t="s">
        <v>23</v>
      </c>
      <c r="C35" s="35">
        <f>[10]С1.1!E20</f>
        <v>8.5000000000000006E-2</v>
      </c>
      <c r="D35" s="145" t="str">
        <f>[10]С1.1!F20</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
    </row>
    <row r="36" spans="1:4" ht="306" x14ac:dyDescent="0.2">
      <c r="A36" s="22" t="s">
        <v>14</v>
      </c>
      <c r="B36" s="33" t="s">
        <v>24</v>
      </c>
      <c r="C36" s="35">
        <f>[10]С1.1!E21</f>
        <v>0.112</v>
      </c>
      <c r="D36" s="145" t="str">
        <f>[10]С1.1!F21</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
    </row>
    <row r="37" spans="1:4" ht="30" x14ac:dyDescent="0.2">
      <c r="A37" s="22" t="s">
        <v>16</v>
      </c>
      <c r="B37" s="36" t="s">
        <v>239</v>
      </c>
      <c r="C37" s="121">
        <f>[10]С1!F13</f>
        <v>156.1</v>
      </c>
      <c r="D37" s="145" t="s">
        <v>260</v>
      </c>
    </row>
    <row r="38" spans="1:4" x14ac:dyDescent="0.2">
      <c r="A38" s="22" t="s">
        <v>18</v>
      </c>
      <c r="B38" s="36" t="s">
        <v>26</v>
      </c>
      <c r="C38" s="38">
        <f>[10]С1!F16</f>
        <v>7000</v>
      </c>
      <c r="D38" s="147" t="s">
        <v>261</v>
      </c>
    </row>
    <row r="39" spans="1:4" ht="14.25" x14ac:dyDescent="0.2">
      <c r="A39" s="122" t="s">
        <v>27</v>
      </c>
      <c r="B39" s="39" t="s">
        <v>240</v>
      </c>
      <c r="C39" s="40">
        <f>[10]С1!F17</f>
        <v>1.1285714285714286</v>
      </c>
      <c r="D39" s="145"/>
    </row>
    <row r="40" spans="1:4" ht="15.75" x14ac:dyDescent="0.2">
      <c r="A40" s="123" t="s">
        <v>29</v>
      </c>
      <c r="B40" s="42" t="s">
        <v>30</v>
      </c>
      <c r="C40" s="40">
        <f>[10]С1!F20</f>
        <v>22.307053372799995</v>
      </c>
      <c r="D40" s="145"/>
    </row>
    <row r="41" spans="1:4" ht="15.75" x14ac:dyDescent="0.2">
      <c r="A41" s="123" t="s">
        <v>31</v>
      </c>
      <c r="B41" s="43" t="s">
        <v>32</v>
      </c>
      <c r="C41" s="40">
        <f>[10]С1!F21</f>
        <v>21.531904799999996</v>
      </c>
      <c r="D41" s="145"/>
    </row>
    <row r="42" spans="1:4" ht="14.25" x14ac:dyDescent="0.2">
      <c r="A42" s="123" t="s">
        <v>33</v>
      </c>
      <c r="B42" s="44" t="s">
        <v>34</v>
      </c>
      <c r="C42" s="40">
        <f>[10]С1!F22</f>
        <v>1.036</v>
      </c>
      <c r="D42" s="145" t="s">
        <v>262</v>
      </c>
    </row>
    <row r="43" spans="1:4" ht="53.25" thickBot="1" x14ac:dyDescent="0.25">
      <c r="A43" s="27" t="s">
        <v>35</v>
      </c>
      <c r="B43" s="45" t="s">
        <v>36</v>
      </c>
      <c r="C43" s="46" t="str">
        <f>[10]С1!F23</f>
        <v>-</v>
      </c>
      <c r="D43" s="148" t="s">
        <v>263</v>
      </c>
    </row>
    <row r="44" spans="1:4" ht="13.5" thickBot="1" x14ac:dyDescent="0.25">
      <c r="A44" s="47"/>
      <c r="B44" s="75"/>
      <c r="C44" s="15"/>
      <c r="D44" s="160"/>
    </row>
    <row r="45" spans="1:4" ht="30" customHeight="1" x14ac:dyDescent="0.2">
      <c r="A45" s="50" t="s">
        <v>37</v>
      </c>
      <c r="B45" s="165" t="s">
        <v>38</v>
      </c>
      <c r="C45" s="165"/>
      <c r="D45" s="170"/>
    </row>
    <row r="46" spans="1:4" ht="25.5" x14ac:dyDescent="0.2">
      <c r="A46" s="22" t="s">
        <v>39</v>
      </c>
      <c r="B46" s="36" t="s">
        <v>40</v>
      </c>
      <c r="C46" s="51" t="str">
        <f>[10]С2.1!E12</f>
        <v>V</v>
      </c>
      <c r="D46" s="145" t="s">
        <v>264</v>
      </c>
    </row>
    <row r="47" spans="1:4" ht="331.5" x14ac:dyDescent="0.2">
      <c r="A47" s="22" t="s">
        <v>41</v>
      </c>
      <c r="B47" s="33" t="s">
        <v>42</v>
      </c>
      <c r="C47" s="51" t="str">
        <f>[10]С2.1!E13</f>
        <v>6 и менее баллов</v>
      </c>
      <c r="D47" s="145" t="str">
        <f>[10]С2.1!F13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04" x14ac:dyDescent="0.2">
      <c r="A48" s="22" t="s">
        <v>43</v>
      </c>
      <c r="B48" s="33" t="s">
        <v>241</v>
      </c>
      <c r="C48" s="51" t="str">
        <f>[10]С2.1!E14</f>
        <v>от 200 до 500</v>
      </c>
      <c r="D48" s="145" t="str">
        <f>[10]С2.1!F14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5.5" x14ac:dyDescent="0.2">
      <c r="A49" s="22" t="s">
        <v>45</v>
      </c>
      <c r="B49" s="33" t="s">
        <v>242</v>
      </c>
      <c r="C49" s="52" t="str">
        <f>[10]С2.1!E15</f>
        <v>нет</v>
      </c>
      <c r="D49" s="145">
        <f>[10]С2.1!F15</f>
        <v>0</v>
      </c>
    </row>
    <row r="50" spans="1:4" ht="30" x14ac:dyDescent="0.2">
      <c r="A50" s="22" t="s">
        <v>47</v>
      </c>
      <c r="B50" s="33" t="s">
        <v>48</v>
      </c>
      <c r="C50" s="34">
        <f>[10]С2!F18</f>
        <v>35106.652004551666</v>
      </c>
      <c r="D50" s="145"/>
    </row>
    <row r="51" spans="1:4" ht="30" x14ac:dyDescent="0.2">
      <c r="A51" s="22" t="s">
        <v>49</v>
      </c>
      <c r="B51" s="53" t="s">
        <v>50</v>
      </c>
      <c r="C51" s="34">
        <f>IF([10]С2!F19&gt;0,[10]С2!F19,[10]С2!F20)</f>
        <v>23441.524932855718</v>
      </c>
      <c r="D51" s="145"/>
    </row>
    <row r="52" spans="1:4" ht="140.25" x14ac:dyDescent="0.2">
      <c r="A52" s="22" t="s">
        <v>51</v>
      </c>
      <c r="B52" s="54" t="s">
        <v>52</v>
      </c>
      <c r="C52" s="34">
        <f>[10]С2.1!E20</f>
        <v>-38</v>
      </c>
      <c r="D52" s="145" t="str">
        <f>CONCATENATE([10]С2.1!F20,"  ",[10]С2.1!F21)</f>
        <v>Свод правил СП 131.13330.2020 "СНиП 23-01-99* Строительная климатология" "Температура воздуха наиболее холодной пятидневки с обеспеченностью 0,92"  Значение принято по ближайшему населенному пункту</v>
      </c>
    </row>
    <row r="53" spans="1:4" ht="25.5" x14ac:dyDescent="0.2">
      <c r="A53" s="22" t="s">
        <v>53</v>
      </c>
      <c r="B53" s="54" t="s">
        <v>54</v>
      </c>
      <c r="C53" s="34" t="str">
        <f>[10]С2.1!E23</f>
        <v>нет</v>
      </c>
      <c r="D53" s="150" t="str">
        <f>IF([10]С2.1!F23="","",[10]С2.1!F23)</f>
        <v/>
      </c>
    </row>
    <row r="54" spans="1:4" ht="38.25" x14ac:dyDescent="0.2">
      <c r="A54" s="22" t="s">
        <v>55</v>
      </c>
      <c r="B54" s="55" t="s">
        <v>56</v>
      </c>
      <c r="C54" s="34">
        <f>[10]С2.2!E10</f>
        <v>1287</v>
      </c>
      <c r="D54" s="145" t="s">
        <v>265</v>
      </c>
    </row>
    <row r="55" spans="1:4" ht="25.5" x14ac:dyDescent="0.2">
      <c r="A55" s="22" t="s">
        <v>57</v>
      </c>
      <c r="B55" s="56" t="s">
        <v>58</v>
      </c>
      <c r="C55" s="34">
        <f>[10]С2.2!E12</f>
        <v>5.97</v>
      </c>
      <c r="D55" s="145" t="s">
        <v>266</v>
      </c>
    </row>
    <row r="56" spans="1:4" ht="52.5" x14ac:dyDescent="0.2">
      <c r="A56" s="22" t="s">
        <v>59</v>
      </c>
      <c r="B56" s="57" t="s">
        <v>60</v>
      </c>
      <c r="C56" s="34">
        <f>[10]С2.2!E13</f>
        <v>1</v>
      </c>
      <c r="D56" s="147" t="s">
        <v>261</v>
      </c>
    </row>
    <row r="57" spans="1:4" ht="27.75" x14ac:dyDescent="0.2">
      <c r="A57" s="22" t="s">
        <v>61</v>
      </c>
      <c r="B57" s="56" t="s">
        <v>62</v>
      </c>
      <c r="C57" s="34">
        <f>[10]С2.2!E14</f>
        <v>12104</v>
      </c>
      <c r="D57" s="145" t="s">
        <v>265</v>
      </c>
    </row>
    <row r="58" spans="1:4" ht="89.25" x14ac:dyDescent="0.2">
      <c r="A58" s="22" t="s">
        <v>63</v>
      </c>
      <c r="B58" s="57" t="s">
        <v>64</v>
      </c>
      <c r="C58" s="35">
        <f>[10]С2.2!E15</f>
        <v>4.8000000000000001E-2</v>
      </c>
      <c r="D58" s="145" t="s">
        <v>267</v>
      </c>
    </row>
    <row r="59" spans="1:4" ht="89.25" x14ac:dyDescent="0.2">
      <c r="A59" s="22" t="s">
        <v>65</v>
      </c>
      <c r="B59" s="57" t="s">
        <v>66</v>
      </c>
      <c r="C59" s="124">
        <f>[10]С2.2!E16</f>
        <v>1</v>
      </c>
      <c r="D59" s="145" t="s">
        <v>268</v>
      </c>
    </row>
    <row r="60" spans="1:4" ht="15.75" x14ac:dyDescent="0.2">
      <c r="A60" s="22" t="s">
        <v>67</v>
      </c>
      <c r="B60" s="58" t="s">
        <v>68</v>
      </c>
      <c r="C60" s="34">
        <f>[10]С2!F21</f>
        <v>1</v>
      </c>
      <c r="D60" s="145" t="s">
        <v>269</v>
      </c>
    </row>
    <row r="61" spans="1:4" ht="30" x14ac:dyDescent="0.2">
      <c r="A61" s="59" t="s">
        <v>69</v>
      </c>
      <c r="B61" s="33" t="s">
        <v>243</v>
      </c>
      <c r="C61" s="34">
        <f>[10]С2!F13</f>
        <v>105136.23090983224</v>
      </c>
      <c r="D61" s="145"/>
    </row>
    <row r="62" spans="1:4" ht="30" x14ac:dyDescent="0.2">
      <c r="A62" s="59" t="s">
        <v>71</v>
      </c>
      <c r="B62" s="60" t="s">
        <v>244</v>
      </c>
      <c r="C62" s="34">
        <f>[10]С2!F14</f>
        <v>64899</v>
      </c>
      <c r="D62" s="145" t="s">
        <v>260</v>
      </c>
    </row>
    <row r="63" spans="1:4" ht="15.75" x14ac:dyDescent="0.2">
      <c r="A63" s="59" t="s">
        <v>73</v>
      </c>
      <c r="B63" s="60" t="s">
        <v>74</v>
      </c>
      <c r="C63" s="40">
        <f>[10]С2!F15</f>
        <v>1.071</v>
      </c>
      <c r="D63" s="145" t="s">
        <v>270</v>
      </c>
    </row>
    <row r="64" spans="1:4" ht="15.75" x14ac:dyDescent="0.2">
      <c r="A64" s="59" t="s">
        <v>75</v>
      </c>
      <c r="B64" s="60" t="s">
        <v>76</v>
      </c>
      <c r="C64" s="125">
        <f>[10]С2!F16</f>
        <v>1</v>
      </c>
      <c r="D64" s="145" t="s">
        <v>269</v>
      </c>
    </row>
    <row r="65" spans="1:4" ht="17.25" x14ac:dyDescent="0.2">
      <c r="A65" s="59" t="s">
        <v>77</v>
      </c>
      <c r="B65" s="60" t="s">
        <v>78</v>
      </c>
      <c r="C65" s="126">
        <f>[10]С2!F17</f>
        <v>1.01</v>
      </c>
      <c r="D65" s="145" t="s">
        <v>271</v>
      </c>
    </row>
    <row r="66" spans="1:4" s="63" customFormat="1" ht="14.25" x14ac:dyDescent="0.2">
      <c r="A66" s="59" t="s">
        <v>79</v>
      </c>
      <c r="B66" s="61" t="s">
        <v>80</v>
      </c>
      <c r="C66" s="62">
        <f>[10]С2!F35</f>
        <v>10</v>
      </c>
      <c r="D66" s="145" t="s">
        <v>272</v>
      </c>
    </row>
    <row r="67" spans="1:4" ht="30" x14ac:dyDescent="0.2">
      <c r="A67" s="59" t="s">
        <v>81</v>
      </c>
      <c r="B67" s="64" t="s">
        <v>82</v>
      </c>
      <c r="C67" s="34">
        <f>[10]С2!F28</f>
        <v>331.04604307653443</v>
      </c>
      <c r="D67" s="145"/>
    </row>
    <row r="68" spans="1:4" ht="242.25" x14ac:dyDescent="0.2">
      <c r="A68" s="59" t="s">
        <v>83</v>
      </c>
      <c r="B68" s="53" t="s">
        <v>245</v>
      </c>
      <c r="C68" s="40">
        <f>[10]С2!F29</f>
        <v>0.44209422600000003</v>
      </c>
      <c r="D68" s="145" t="str">
        <f>[10]С2.4!F12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9" spans="1:4" ht="17.25" x14ac:dyDescent="0.2">
      <c r="A69" s="59" t="s">
        <v>85</v>
      </c>
      <c r="B69" s="58" t="s">
        <v>246</v>
      </c>
      <c r="C69" s="62">
        <f>[10]С2!F30</f>
        <v>500</v>
      </c>
      <c r="D69" s="145" t="s">
        <v>260</v>
      </c>
    </row>
    <row r="70" spans="1:4" ht="42.75" x14ac:dyDescent="0.2">
      <c r="A70" s="59" t="s">
        <v>87</v>
      </c>
      <c r="B70" s="33" t="s">
        <v>247</v>
      </c>
      <c r="C70" s="34">
        <f>[10]С2!F22</f>
        <v>39638.324046481182</v>
      </c>
      <c r="D70" s="145"/>
    </row>
    <row r="71" spans="1:4" ht="30" x14ac:dyDescent="0.2">
      <c r="A71" s="59" t="s">
        <v>89</v>
      </c>
      <c r="B71" s="60" t="s">
        <v>248</v>
      </c>
      <c r="C71" s="34">
        <f>[10]С2!F23</f>
        <v>21</v>
      </c>
      <c r="D71" s="145" t="s">
        <v>273</v>
      </c>
    </row>
    <row r="72" spans="1:4" ht="30" x14ac:dyDescent="0.2">
      <c r="A72" s="59" t="s">
        <v>91</v>
      </c>
      <c r="B72" s="53" t="s">
        <v>92</v>
      </c>
      <c r="C72" s="34">
        <f>[10]С2.1!E28</f>
        <v>14036.09995</v>
      </c>
      <c r="D72" s="145"/>
    </row>
    <row r="73" spans="1:4" ht="38.25" x14ac:dyDescent="0.2">
      <c r="A73" s="59" t="s">
        <v>93</v>
      </c>
      <c r="B73" s="65" t="s">
        <v>94</v>
      </c>
      <c r="C73" s="52">
        <f>[10]С2.3!E21</f>
        <v>0</v>
      </c>
      <c r="D73" s="145">
        <f>[10]С2.3!F21</f>
        <v>0</v>
      </c>
    </row>
    <row r="74" spans="1:4" ht="25.5" x14ac:dyDescent="0.2">
      <c r="A74" s="59" t="s">
        <v>95</v>
      </c>
      <c r="B74" s="66" t="s">
        <v>96</v>
      </c>
      <c r="C74" s="67">
        <f>[10]С2.3!E11</f>
        <v>5.45</v>
      </c>
      <c r="D74" s="145" t="s">
        <v>274</v>
      </c>
    </row>
    <row r="75" spans="1:4" ht="25.5" x14ac:dyDescent="0.2">
      <c r="A75" s="59" t="s">
        <v>97</v>
      </c>
      <c r="B75" s="66" t="s">
        <v>98</v>
      </c>
      <c r="C75" s="62">
        <f>[10]С2.3!E13</f>
        <v>300</v>
      </c>
      <c r="D75" s="145" t="s">
        <v>274</v>
      </c>
    </row>
    <row r="76" spans="1:4" ht="25.5" x14ac:dyDescent="0.2">
      <c r="A76" s="59" t="s">
        <v>99</v>
      </c>
      <c r="B76" s="65" t="s">
        <v>100</v>
      </c>
      <c r="C76" s="68">
        <f>IF([10]С2.3!E22&gt;0,[10]С2.3!E22,[10]С2.3!E14)</f>
        <v>61211</v>
      </c>
      <c r="D76" s="145" t="str">
        <f>IF(C76=[10]С2.3!E14,"Таблица ТЭП (IV)",[10]С2.3!F22)</f>
        <v>Таблица ТЭП (IV)</v>
      </c>
    </row>
    <row r="77" spans="1:4" ht="38.25" x14ac:dyDescent="0.2">
      <c r="A77" s="59" t="s">
        <v>101</v>
      </c>
      <c r="B77" s="65" t="s">
        <v>102</v>
      </c>
      <c r="C77" s="68">
        <f>IF([10]С2.3!E23&gt;0,[10]С2.3!E23,[10]С2.3!E15)</f>
        <v>45675</v>
      </c>
      <c r="D77" s="145" t="str">
        <f>IF(C77=[10]С2.3!E15,"Таблица ТЭП (IV)",[10]С2.3!F23)</f>
        <v>Таблица ТЭП (IV)</v>
      </c>
    </row>
    <row r="78" spans="1:4" ht="30" x14ac:dyDescent="0.2">
      <c r="A78" s="59" t="s">
        <v>103</v>
      </c>
      <c r="B78" s="53" t="s">
        <v>104</v>
      </c>
      <c r="C78" s="34">
        <f>[10]С2.1!E29</f>
        <v>9518.3274000000001</v>
      </c>
      <c r="D78" s="145"/>
    </row>
    <row r="79" spans="1:4" ht="38.25" x14ac:dyDescent="0.2">
      <c r="A79" s="59" t="s">
        <v>105</v>
      </c>
      <c r="B79" s="65" t="s">
        <v>106</v>
      </c>
      <c r="C79" s="52">
        <f>[10]С2.3!E25</f>
        <v>0</v>
      </c>
      <c r="D79" s="145">
        <f>[10]С2.3!F25</f>
        <v>0</v>
      </c>
    </row>
    <row r="80" spans="1:4" ht="25.5" x14ac:dyDescent="0.2">
      <c r="A80" s="59" t="s">
        <v>107</v>
      </c>
      <c r="B80" s="66" t="s">
        <v>108</v>
      </c>
      <c r="C80" s="67">
        <f>[10]С2.3!E12</f>
        <v>0.2</v>
      </c>
      <c r="D80" s="145" t="s">
        <v>274</v>
      </c>
    </row>
    <row r="81" spans="1:4" ht="25.5" x14ac:dyDescent="0.2">
      <c r="A81" s="59" t="s">
        <v>109</v>
      </c>
      <c r="B81" s="66" t="s">
        <v>98</v>
      </c>
      <c r="C81" s="62">
        <f>[10]С2.3!E13</f>
        <v>300</v>
      </c>
      <c r="D81" s="145" t="s">
        <v>274</v>
      </c>
    </row>
    <row r="82" spans="1:4" ht="25.5" x14ac:dyDescent="0.2">
      <c r="A82" s="59" t="s">
        <v>110</v>
      </c>
      <c r="B82" s="69" t="s">
        <v>111</v>
      </c>
      <c r="C82" s="68">
        <f>IF([10]С2.3!E26&gt;0,[10]С2.3!E26,[10]С2.3!E16)</f>
        <v>65637</v>
      </c>
      <c r="D82" s="145" t="str">
        <f>IF(C82=[10]С2.3!E16,"Таблица ТЭП (IV)",[10]С2.3!F26)</f>
        <v>Таблица ТЭП (IV)</v>
      </c>
    </row>
    <row r="83" spans="1:4" ht="38.25" x14ac:dyDescent="0.2">
      <c r="A83" s="59" t="s">
        <v>112</v>
      </c>
      <c r="B83" s="69" t="s">
        <v>113</v>
      </c>
      <c r="C83" s="68">
        <f>IF([10]С2.3!E27&gt;0,[10]С2.3!E27,[10]С2.3!E17)</f>
        <v>31684</v>
      </c>
      <c r="D83" s="145" t="str">
        <f>IF(C83=[10]С2.3!E17,"Таблица ТЭП (IV)",[10]С2.3!F27)</f>
        <v>Таблица ТЭП (IV)</v>
      </c>
    </row>
    <row r="84" spans="1:4" ht="30" x14ac:dyDescent="0.2">
      <c r="A84" s="59" t="s">
        <v>249</v>
      </c>
      <c r="B84" s="60" t="s">
        <v>250</v>
      </c>
      <c r="C84" s="68">
        <f>IF([10]С2.1!E19&gt;0,[10]С2.1!E19,[10]С2!F26)</f>
        <v>2892</v>
      </c>
      <c r="D84" s="145" t="str">
        <f>IF([10]С2.1!E19&gt;0,[10]С2.1!F19,"Таблица ТЭП (V)")</f>
        <v>Таблица ТЭП (V)</v>
      </c>
    </row>
    <row r="85" spans="1:4" ht="17.25" x14ac:dyDescent="0.2">
      <c r="A85" s="59" t="s">
        <v>114</v>
      </c>
      <c r="B85" s="33" t="s">
        <v>115</v>
      </c>
      <c r="C85" s="35">
        <f>[10]С2!F31</f>
        <v>9.5962865259740182E-2</v>
      </c>
      <c r="D85" s="151"/>
    </row>
    <row r="86" spans="1:4" ht="38.25" x14ac:dyDescent="0.2">
      <c r="A86" s="59" t="s">
        <v>116</v>
      </c>
      <c r="B86" s="53" t="s">
        <v>117</v>
      </c>
      <c r="C86" s="70">
        <f>[10]С2!F32</f>
        <v>8.4029304029304031E-2</v>
      </c>
      <c r="D86" s="145" t="str">
        <f>[10]С2.6!G11</f>
        <v>Информация с официального сайта Банка России</v>
      </c>
    </row>
    <row r="87" spans="1:4" ht="17.25" x14ac:dyDescent="0.2">
      <c r="A87" s="59" t="s">
        <v>118</v>
      </c>
      <c r="B87" s="71" t="s">
        <v>119</v>
      </c>
      <c r="C87" s="35">
        <f>[10]С2!F33</f>
        <v>0.13880000000000001</v>
      </c>
      <c r="D87" s="145" t="s">
        <v>272</v>
      </c>
    </row>
    <row r="88" spans="1:4" s="63" customFormat="1" ht="18" thickBot="1" x14ac:dyDescent="0.25">
      <c r="A88" s="72" t="s">
        <v>120</v>
      </c>
      <c r="B88" s="73" t="s">
        <v>121</v>
      </c>
      <c r="C88" s="74">
        <f>[10]С2!F34</f>
        <v>0.12640000000000001</v>
      </c>
      <c r="D88" s="148" t="s">
        <v>272</v>
      </c>
    </row>
    <row r="89" spans="1:4" ht="13.5" thickBot="1" x14ac:dyDescent="0.25">
      <c r="A89" s="47"/>
      <c r="B89" s="75"/>
      <c r="C89" s="15"/>
      <c r="D89" s="160"/>
    </row>
    <row r="90" spans="1:4" s="63" customFormat="1" ht="30" customHeight="1" x14ac:dyDescent="0.2">
      <c r="A90" s="76" t="s">
        <v>122</v>
      </c>
      <c r="B90" s="165" t="s">
        <v>123</v>
      </c>
      <c r="C90" s="165"/>
      <c r="D90" s="170"/>
    </row>
    <row r="91" spans="1:4" s="63" customFormat="1" ht="30" x14ac:dyDescent="0.2">
      <c r="A91" s="77" t="s">
        <v>124</v>
      </c>
      <c r="B91" s="33" t="s">
        <v>125</v>
      </c>
      <c r="C91" s="34">
        <f>[10]С3!F14</f>
        <v>4207.4782939208517</v>
      </c>
      <c r="D91" s="145"/>
    </row>
    <row r="92" spans="1:4" s="63" customFormat="1" ht="42.75" x14ac:dyDescent="0.2">
      <c r="A92" s="77" t="s">
        <v>126</v>
      </c>
      <c r="B92" s="53" t="s">
        <v>127</v>
      </c>
      <c r="C92" s="78">
        <f>[10]С3!F15</f>
        <v>0.2</v>
      </c>
      <c r="D92" s="145" t="str">
        <f>[10]С3.1!F12</f>
        <v xml:space="preserve">Налоговый кодекс Российской Федерации </v>
      </c>
    </row>
    <row r="93" spans="1:4" s="63" customFormat="1" ht="14.25" x14ac:dyDescent="0.2">
      <c r="A93" s="77" t="s">
        <v>128</v>
      </c>
      <c r="B93" s="79" t="s">
        <v>129</v>
      </c>
      <c r="C93" s="62">
        <f>[10]С3!F18</f>
        <v>15</v>
      </c>
      <c r="D93" s="145" t="s">
        <v>272</v>
      </c>
    </row>
    <row r="94" spans="1:4" s="63" customFormat="1" ht="17.25" x14ac:dyDescent="0.2">
      <c r="A94" s="77" t="s">
        <v>130</v>
      </c>
      <c r="B94" s="33" t="s">
        <v>131</v>
      </c>
      <c r="C94" s="34">
        <f>[10]С3!F19</f>
        <v>2638.2577020926874</v>
      </c>
      <c r="D94" s="145"/>
    </row>
    <row r="95" spans="1:4" s="63" customFormat="1" ht="55.5" x14ac:dyDescent="0.2">
      <c r="A95" s="77" t="s">
        <v>132</v>
      </c>
      <c r="B95" s="53" t="s">
        <v>133</v>
      </c>
      <c r="C95" s="80">
        <f>[10]С3!F20</f>
        <v>2.1999999999999999E-2</v>
      </c>
      <c r="D95" s="145" t="str">
        <f>[10]С3.1!F13</f>
        <v xml:space="preserve">Налоговый кодекс Российской Федерации </v>
      </c>
    </row>
    <row r="96" spans="1:4" s="63" customFormat="1" ht="14.25" x14ac:dyDescent="0.2">
      <c r="A96" s="77" t="s">
        <v>134</v>
      </c>
      <c r="B96" s="58" t="s">
        <v>80</v>
      </c>
      <c r="C96" s="62">
        <f>[10]С3!F21</f>
        <v>10</v>
      </c>
      <c r="D96" s="145" t="s">
        <v>272</v>
      </c>
    </row>
    <row r="97" spans="1:4" s="63" customFormat="1" ht="17.25" x14ac:dyDescent="0.2">
      <c r="A97" s="77" t="s">
        <v>135</v>
      </c>
      <c r="B97" s="33" t="s">
        <v>136</v>
      </c>
      <c r="C97" s="34">
        <f>[10]С3!F22</f>
        <v>0.99313812922960332</v>
      </c>
      <c r="D97" s="145"/>
    </row>
    <row r="98" spans="1:4" s="63" customFormat="1" ht="55.5" x14ac:dyDescent="0.2">
      <c r="A98" s="77" t="s">
        <v>137</v>
      </c>
      <c r="B98" s="53" t="s">
        <v>138</v>
      </c>
      <c r="C98" s="80">
        <f>[10]С3!F23</f>
        <v>3.0000000000000001E-3</v>
      </c>
      <c r="D98" s="145">
        <f>[10]С3.1!F14</f>
        <v>0</v>
      </c>
    </row>
    <row r="99" spans="1:4" s="63" customFormat="1" ht="30.75" thickBot="1" x14ac:dyDescent="0.25">
      <c r="A99" s="81" t="s">
        <v>139</v>
      </c>
      <c r="B99" s="82" t="s">
        <v>82</v>
      </c>
      <c r="C99" s="83">
        <f>[10]С3!F24</f>
        <v>331.04604307653443</v>
      </c>
      <c r="D99" s="148"/>
    </row>
    <row r="100" spans="1:4" ht="13.5" thickBot="1" x14ac:dyDescent="0.25">
      <c r="A100" s="47"/>
      <c r="B100" s="75"/>
      <c r="C100" s="15"/>
      <c r="D100" s="160"/>
    </row>
    <row r="101" spans="1:4" ht="30" customHeight="1" x14ac:dyDescent="0.2">
      <c r="A101" s="84" t="s">
        <v>141</v>
      </c>
      <c r="B101" s="165" t="s">
        <v>142</v>
      </c>
      <c r="C101" s="165"/>
      <c r="D101" s="170"/>
    </row>
    <row r="102" spans="1:4" ht="30" x14ac:dyDescent="0.2">
      <c r="A102" s="59" t="s">
        <v>143</v>
      </c>
      <c r="B102" s="33" t="s">
        <v>251</v>
      </c>
      <c r="C102" s="34">
        <f>[10]С4!F16</f>
        <v>832.33500000000004</v>
      </c>
      <c r="D102" s="145"/>
    </row>
    <row r="103" spans="1:4" ht="30" x14ac:dyDescent="0.2">
      <c r="A103" s="59" t="s">
        <v>145</v>
      </c>
      <c r="B103" s="58" t="s">
        <v>252</v>
      </c>
      <c r="C103" s="34">
        <f>[10]С4!F17</f>
        <v>43385</v>
      </c>
      <c r="D103" s="145" t="s">
        <v>260</v>
      </c>
    </row>
    <row r="104" spans="1:4" ht="17.25" x14ac:dyDescent="0.2">
      <c r="A104" s="59" t="s">
        <v>147</v>
      </c>
      <c r="B104" s="58" t="s">
        <v>148</v>
      </c>
      <c r="C104" s="40">
        <f>[10]С4!F18</f>
        <v>1.4999999999999999E-2</v>
      </c>
      <c r="D104" s="145" t="s">
        <v>260</v>
      </c>
    </row>
    <row r="105" spans="1:4" ht="30" x14ac:dyDescent="0.2">
      <c r="A105" s="59" t="s">
        <v>149</v>
      </c>
      <c r="B105" s="58" t="s">
        <v>150</v>
      </c>
      <c r="C105" s="34">
        <f>[10]С4!F19</f>
        <v>12104</v>
      </c>
      <c r="D105" s="145" t="s">
        <v>275</v>
      </c>
    </row>
    <row r="106" spans="1:4" ht="31.5" x14ac:dyDescent="0.2">
      <c r="A106" s="59" t="s">
        <v>151</v>
      </c>
      <c r="B106" s="58" t="s">
        <v>152</v>
      </c>
      <c r="C106" s="40">
        <f>[10]С4!F20</f>
        <v>1.4999999999999999E-2</v>
      </c>
      <c r="D106" s="145" t="s">
        <v>275</v>
      </c>
    </row>
    <row r="107" spans="1:4" ht="30" x14ac:dyDescent="0.2">
      <c r="A107" s="59" t="s">
        <v>153</v>
      </c>
      <c r="B107" s="33" t="s">
        <v>253</v>
      </c>
      <c r="C107" s="34">
        <f>[10]С4!F21</f>
        <v>1221.9019409821399</v>
      </c>
      <c r="D107" s="145"/>
    </row>
    <row r="108" spans="1:4" ht="45.6" customHeight="1" x14ac:dyDescent="0.2">
      <c r="A108" s="59" t="s">
        <v>155</v>
      </c>
      <c r="B108" s="53" t="s">
        <v>156</v>
      </c>
      <c r="C108" s="85" t="str">
        <f>IF([10]С4.2!F8="да",[10]С4.2!D21,[10]С4.2!D15)</f>
        <v>АО "Новосибирскэнергосбыт"</v>
      </c>
      <c r="D108" s="145"/>
    </row>
    <row r="109" spans="1:4" ht="68.25" customHeight="1" x14ac:dyDescent="0.2">
      <c r="A109" s="59" t="s">
        <v>157</v>
      </c>
      <c r="B109" s="53" t="s">
        <v>158</v>
      </c>
      <c r="C109" s="34">
        <f>[10]С4!F22</f>
        <v>3.6112641666666665</v>
      </c>
      <c r="D109" s="145" t="str">
        <f>IF([10]С4.2!F8="да",[10]С4.2!E21,[10]С4.2!E15)</f>
        <v>https://www.nskes.ru/dlya-biznesa/tarify-i-oplata/nereguliruemye-tseny/</v>
      </c>
    </row>
    <row r="110" spans="1:4" ht="30" x14ac:dyDescent="0.2">
      <c r="A110" s="59" t="s">
        <v>159</v>
      </c>
      <c r="B110" s="58" t="s">
        <v>254</v>
      </c>
      <c r="C110" s="62">
        <f>[10]С4!F23</f>
        <v>110</v>
      </c>
      <c r="D110" s="145" t="s">
        <v>273</v>
      </c>
    </row>
    <row r="111" spans="1:4" ht="14.25" x14ac:dyDescent="0.2">
      <c r="A111" s="59" t="s">
        <v>161</v>
      </c>
      <c r="B111" s="53" t="s">
        <v>162</v>
      </c>
      <c r="C111" s="34">
        <f>[10]С4!F24</f>
        <v>8497.1999999999989</v>
      </c>
      <c r="D111" s="145" t="s">
        <v>260</v>
      </c>
    </row>
    <row r="112" spans="1:4" ht="14.25" x14ac:dyDescent="0.2">
      <c r="A112" s="59" t="s">
        <v>163</v>
      </c>
      <c r="B112" s="58" t="s">
        <v>164</v>
      </c>
      <c r="C112" s="40">
        <f>[10]С4!F25</f>
        <v>0.36199999999999999</v>
      </c>
      <c r="D112" s="145" t="s">
        <v>276</v>
      </c>
    </row>
    <row r="113" spans="1:4" ht="17.25" x14ac:dyDescent="0.2">
      <c r="A113" s="59" t="s">
        <v>165</v>
      </c>
      <c r="B113" s="33" t="s">
        <v>166</v>
      </c>
      <c r="C113" s="34">
        <f>[10]С4!F26</f>
        <v>40.123830000000005</v>
      </c>
      <c r="D113" s="145"/>
    </row>
    <row r="114" spans="1:4" ht="25.5" x14ac:dyDescent="0.2">
      <c r="A114" s="59" t="s">
        <v>167</v>
      </c>
      <c r="B114" s="53" t="s">
        <v>94</v>
      </c>
      <c r="C114" s="85">
        <f>[10]С4.3!E16</f>
        <v>0</v>
      </c>
      <c r="D114" s="145">
        <f>[10]С4.3!F16</f>
        <v>0</v>
      </c>
    </row>
    <row r="115" spans="1:4" ht="25.5" x14ac:dyDescent="0.2">
      <c r="A115" s="59" t="s">
        <v>168</v>
      </c>
      <c r="B115" s="53" t="s">
        <v>169</v>
      </c>
      <c r="C115" s="34">
        <f>[10]С4.3!E17</f>
        <v>18.059999999999999</v>
      </c>
      <c r="D115" s="150">
        <f>[10]С4.3!F17</f>
        <v>0</v>
      </c>
    </row>
    <row r="116" spans="1:4" ht="38.25" x14ac:dyDescent="0.2">
      <c r="A116" s="59" t="s">
        <v>170</v>
      </c>
      <c r="B116" s="53" t="s">
        <v>106</v>
      </c>
      <c r="C116" s="85">
        <f>[10]С4.3!E18</f>
        <v>0</v>
      </c>
      <c r="D116" s="145">
        <f>[10]С4.3!F18</f>
        <v>0</v>
      </c>
    </row>
    <row r="117" spans="1:4" x14ac:dyDescent="0.2">
      <c r="A117" s="59" t="s">
        <v>171</v>
      </c>
      <c r="B117" s="53" t="s">
        <v>172</v>
      </c>
      <c r="C117" s="34">
        <f>[10]С4.3!E19</f>
        <v>71.67</v>
      </c>
      <c r="D117" s="150">
        <f>[10]С4.3!F19</f>
        <v>0</v>
      </c>
    </row>
    <row r="118" spans="1:4" x14ac:dyDescent="0.2">
      <c r="A118" s="59" t="s">
        <v>173</v>
      </c>
      <c r="B118" s="58" t="s">
        <v>174</v>
      </c>
      <c r="C118" s="62">
        <f>[10]С4.3!E11</f>
        <v>1871</v>
      </c>
      <c r="D118" s="145" t="s">
        <v>260</v>
      </c>
    </row>
    <row r="119" spans="1:4" x14ac:dyDescent="0.2">
      <c r="A119" s="59" t="s">
        <v>175</v>
      </c>
      <c r="B119" s="58" t="s">
        <v>176</v>
      </c>
      <c r="C119" s="52">
        <f>[10]С4.3!E12</f>
        <v>61</v>
      </c>
      <c r="D119" s="145" t="s">
        <v>260</v>
      </c>
    </row>
    <row r="120" spans="1:4" x14ac:dyDescent="0.2">
      <c r="A120" s="59" t="s">
        <v>177</v>
      </c>
      <c r="B120" s="58" t="s">
        <v>178</v>
      </c>
      <c r="C120" s="52">
        <f>[10]С4.3!E13</f>
        <v>73</v>
      </c>
      <c r="D120" s="145" t="s">
        <v>260</v>
      </c>
    </row>
    <row r="121" spans="1:4" ht="30" x14ac:dyDescent="0.2">
      <c r="A121" s="59" t="s">
        <v>179</v>
      </c>
      <c r="B121" s="33" t="s">
        <v>255</v>
      </c>
      <c r="C121" s="34">
        <f>[10]С4!F27</f>
        <v>904.62444244124072</v>
      </c>
      <c r="D121" s="145"/>
    </row>
    <row r="122" spans="1:4" ht="25.5" x14ac:dyDescent="0.2">
      <c r="A122" s="59" t="s">
        <v>181</v>
      </c>
      <c r="B122" s="53" t="s">
        <v>256</v>
      </c>
      <c r="C122" s="34">
        <f>[10]С4!F28</f>
        <v>694.79603874135228</v>
      </c>
      <c r="D122" s="150"/>
    </row>
    <row r="123" spans="1:4" ht="42.75" x14ac:dyDescent="0.2">
      <c r="A123" s="59" t="s">
        <v>183</v>
      </c>
      <c r="B123" s="53" t="s">
        <v>184</v>
      </c>
      <c r="C123" s="34">
        <f>[10]С4!F29</f>
        <v>209.82840369988838</v>
      </c>
      <c r="D123" s="145"/>
    </row>
    <row r="124" spans="1:4" ht="30.75" thickBot="1" x14ac:dyDescent="0.25">
      <c r="A124" s="72" t="s">
        <v>185</v>
      </c>
      <c r="B124" s="90" t="s">
        <v>186</v>
      </c>
      <c r="C124" s="83">
        <f>[10]С4!F30</f>
        <v>475.40681839948314</v>
      </c>
      <c r="D124" s="148"/>
    </row>
    <row r="125" spans="1:4" s="89" customFormat="1" ht="13.5" thickBot="1" x14ac:dyDescent="0.25">
      <c r="A125" s="47"/>
      <c r="B125" s="75"/>
      <c r="C125" s="15"/>
      <c r="D125" s="160"/>
    </row>
    <row r="126" spans="1:4" s="63" customFormat="1" ht="30" customHeight="1" x14ac:dyDescent="0.2">
      <c r="A126" s="76" t="s">
        <v>195</v>
      </c>
      <c r="B126" s="165" t="s">
        <v>196</v>
      </c>
      <c r="C126" s="165"/>
      <c r="D126" s="170"/>
    </row>
    <row r="127" spans="1:4" ht="30.6" customHeight="1" thickBot="1" x14ac:dyDescent="0.25">
      <c r="A127" s="27" t="s">
        <v>197</v>
      </c>
      <c r="B127" s="90" t="s">
        <v>198</v>
      </c>
      <c r="C127" s="83">
        <f>[10]С5!F17</f>
        <v>0.02</v>
      </c>
      <c r="D127" s="155" t="s">
        <v>261</v>
      </c>
    </row>
    <row r="128" spans="1:4" s="89" customFormat="1" ht="13.5" thickBot="1" x14ac:dyDescent="0.25">
      <c r="A128" s="47"/>
      <c r="B128" s="75"/>
      <c r="C128" s="15"/>
      <c r="D128" s="160"/>
    </row>
    <row r="129" spans="1:5" ht="42.75" customHeight="1" x14ac:dyDescent="0.2">
      <c r="A129" s="84" t="s">
        <v>199</v>
      </c>
      <c r="B129" s="165" t="s">
        <v>200</v>
      </c>
      <c r="C129" s="165"/>
      <c r="D129" s="170"/>
    </row>
    <row r="130" spans="1:5" ht="68.25" x14ac:dyDescent="0.2">
      <c r="A130" s="59" t="s">
        <v>201</v>
      </c>
      <c r="B130" s="91" t="s">
        <v>202</v>
      </c>
      <c r="C130" s="34" t="str">
        <f>IF([10]С6.1!E11="нет",[10]С6!F13,"")</f>
        <v/>
      </c>
      <c r="D130" s="145"/>
    </row>
    <row r="131" spans="1:5" ht="42.75" x14ac:dyDescent="0.2">
      <c r="A131" s="59" t="s">
        <v>204</v>
      </c>
      <c r="B131" s="86" t="s">
        <v>205</v>
      </c>
      <c r="C131" s="92" t="str">
        <f>IF([10]С6.1!E12="нет",[10]С6.1!E17,"")</f>
        <v/>
      </c>
      <c r="D131" s="145" t="str">
        <f>IF([10]С6.1!E12="нет",[10]С6.1!F17,"")</f>
        <v/>
      </c>
    </row>
    <row r="132" spans="1:5" ht="68.25" x14ac:dyDescent="0.2">
      <c r="A132" s="59" t="s">
        <v>206</v>
      </c>
      <c r="B132" s="91" t="s">
        <v>207</v>
      </c>
      <c r="C132" s="127" t="str">
        <f>IF([10]С6.1!E18="нет",[10]С6!F19,"")</f>
        <v/>
      </c>
      <c r="D132" s="147"/>
    </row>
    <row r="133" spans="1:5" ht="55.5" x14ac:dyDescent="0.2">
      <c r="A133" s="59" t="s">
        <v>208</v>
      </c>
      <c r="B133" s="86" t="s">
        <v>209</v>
      </c>
      <c r="C133" s="35" t="str">
        <f>IF([10]С6.1!E18="нет",[10]С6.1!E19,"")</f>
        <v/>
      </c>
      <c r="D133" s="145" t="str">
        <f>IF([10]С6.1!E18="нет",[10]С6.1!F19,"")</f>
        <v/>
      </c>
    </row>
    <row r="134" spans="1:5" ht="61.5" customHeight="1" x14ac:dyDescent="0.2">
      <c r="A134" s="59" t="s">
        <v>210</v>
      </c>
      <c r="B134" s="86" t="s">
        <v>257</v>
      </c>
      <c r="C134" s="35" t="str">
        <f>IF([10]С6.1!E18="нет",[10]С6.1!E22,"")</f>
        <v/>
      </c>
      <c r="D134" s="145" t="str">
        <f>IF([10]С6.1!E18="нет",[10]С6.1!F22,"")</f>
        <v/>
      </c>
    </row>
    <row r="135" spans="1:5" ht="69" thickBot="1" x14ac:dyDescent="0.25">
      <c r="A135" s="72" t="s">
        <v>212</v>
      </c>
      <c r="B135" s="98" t="s">
        <v>213</v>
      </c>
      <c r="C135" s="74" t="str">
        <f>IF([10]С6.1!E18="нет",[10]С6.1!E23,"")</f>
        <v/>
      </c>
      <c r="D135" s="148" t="str">
        <f>IF([10]С6.1!E18="нет",[10]С6.1!F23,"")</f>
        <v/>
      </c>
    </row>
    <row r="136" spans="1:5" s="89" customFormat="1" ht="13.5" thickBot="1" x14ac:dyDescent="0.25">
      <c r="A136" s="47"/>
      <c r="B136" s="75"/>
      <c r="C136" s="15"/>
      <c r="D136" s="160"/>
    </row>
    <row r="137" spans="1:5" ht="15.75" x14ac:dyDescent="0.2">
      <c r="A137" s="84" t="s">
        <v>214</v>
      </c>
      <c r="B137" s="99" t="s">
        <v>215</v>
      </c>
      <c r="C137" s="100">
        <f>[10]С2!F39</f>
        <v>21.531904799999996</v>
      </c>
      <c r="D137" s="157"/>
    </row>
    <row r="138" spans="1:5" ht="14.25" x14ac:dyDescent="0.2">
      <c r="A138" s="59" t="s">
        <v>216</v>
      </c>
      <c r="B138" s="58" t="s">
        <v>217</v>
      </c>
      <c r="C138" s="34">
        <f>[10]С2!F40</f>
        <v>7</v>
      </c>
      <c r="D138" s="145" t="s">
        <v>260</v>
      </c>
    </row>
    <row r="139" spans="1:5" ht="17.25" x14ac:dyDescent="0.2">
      <c r="A139" s="59" t="s">
        <v>218</v>
      </c>
      <c r="B139" s="58" t="s">
        <v>219</v>
      </c>
      <c r="C139" s="34">
        <f>[10]С2!F42</f>
        <v>0.97</v>
      </c>
      <c r="D139" s="145" t="s">
        <v>260</v>
      </c>
    </row>
    <row r="140" spans="1:5" ht="15" thickBot="1" x14ac:dyDescent="0.25">
      <c r="A140" s="72" t="s">
        <v>220</v>
      </c>
      <c r="B140" s="73" t="s">
        <v>221</v>
      </c>
      <c r="C140" s="46">
        <f>[10]С2!F44</f>
        <v>0.36199999999999999</v>
      </c>
      <c r="D140" s="148" t="s">
        <v>276</v>
      </c>
    </row>
    <row r="141" spans="1:5" s="89" customFormat="1" ht="13.5" thickBot="1" x14ac:dyDescent="0.25">
      <c r="A141" s="47"/>
      <c r="B141" s="75"/>
      <c r="C141" s="15"/>
      <c r="D141" s="160"/>
    </row>
    <row r="142" spans="1:5" ht="409.5" x14ac:dyDescent="0.2">
      <c r="A142" s="84" t="s">
        <v>222</v>
      </c>
      <c r="B142" s="103" t="s">
        <v>258</v>
      </c>
      <c r="C142" s="128">
        <f>[10]С2!F37</f>
        <v>1.4976266307379205</v>
      </c>
      <c r="D142" s="157" t="str">
        <f>[10]С2.5!D15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2" s="89"/>
    </row>
    <row r="143" spans="1:5" ht="17.25" customHeight="1" thickBot="1" x14ac:dyDescent="0.25">
      <c r="A143" s="72" t="s">
        <v>224</v>
      </c>
      <c r="B143" s="161" t="s">
        <v>225</v>
      </c>
      <c r="C143" s="161"/>
      <c r="D143" s="168"/>
      <c r="E143" s="89"/>
    </row>
    <row r="144" spans="1:5" x14ac:dyDescent="0.2">
      <c r="A144" s="105"/>
      <c r="B144" s="129" t="s">
        <v>226</v>
      </c>
      <c r="C144" s="130"/>
      <c r="D144" s="9"/>
    </row>
    <row r="145" spans="1:4" x14ac:dyDescent="0.2">
      <c r="A145" s="105"/>
      <c r="B145" s="131">
        <v>2020</v>
      </c>
      <c r="C145" s="132">
        <f>[10]С2.5!$E$11</f>
        <v>-2.9000000000000026E-2</v>
      </c>
      <c r="D145" s="9"/>
    </row>
    <row r="146" spans="1:4" x14ac:dyDescent="0.2">
      <c r="B146" s="131">
        <f>B145+1</f>
        <v>2021</v>
      </c>
      <c r="C146" s="133">
        <f>[10]С2.5!$F$11</f>
        <v>0.245</v>
      </c>
    </row>
    <row r="147" spans="1:4" x14ac:dyDescent="0.2">
      <c r="B147" s="131">
        <f t="shared" ref="B147:B210" si="0">B146+1</f>
        <v>2022</v>
      </c>
      <c r="C147" s="134">
        <f>[10]С2.5!$G$11</f>
        <v>0.114</v>
      </c>
    </row>
    <row r="148" spans="1:4" x14ac:dyDescent="0.2">
      <c r="B148" s="110">
        <f t="shared" si="0"/>
        <v>2023</v>
      </c>
      <c r="C148" s="135">
        <f>[10]С2.5!$H$11</f>
        <v>2.4E-2</v>
      </c>
    </row>
    <row r="149" spans="1:4" ht="13.5" thickBot="1" x14ac:dyDescent="0.25">
      <c r="B149" s="110">
        <f t="shared" si="0"/>
        <v>2024</v>
      </c>
      <c r="C149" s="135">
        <f>[10]С2.5!$I$11</f>
        <v>8.5999999999999993E-2</v>
      </c>
    </row>
    <row r="150" spans="1:4" ht="13.5" hidden="1" thickBot="1" x14ac:dyDescent="0.25">
      <c r="B150" s="110">
        <f t="shared" si="0"/>
        <v>2025</v>
      </c>
      <c r="C150" s="135">
        <f>[10]С2.5!$J$11</f>
        <v>0</v>
      </c>
    </row>
    <row r="151" spans="1:4" ht="13.5" hidden="1" thickBot="1" x14ac:dyDescent="0.25">
      <c r="B151" s="110">
        <f t="shared" si="0"/>
        <v>2026</v>
      </c>
      <c r="C151" s="135">
        <f>[10]С2.5!$K$11</f>
        <v>0</v>
      </c>
    </row>
    <row r="152" spans="1:4" ht="13.5" hidden="1" thickBot="1" x14ac:dyDescent="0.25">
      <c r="B152" s="110">
        <f t="shared" si="0"/>
        <v>2027</v>
      </c>
      <c r="C152" s="135">
        <f>[10]С2.5!$L$11</f>
        <v>0</v>
      </c>
    </row>
    <row r="153" spans="1:4" ht="13.5" hidden="1" thickBot="1" x14ac:dyDescent="0.25">
      <c r="B153" s="110">
        <f t="shared" si="0"/>
        <v>2028</v>
      </c>
      <c r="C153" s="135">
        <f>[10]С2.5!$M$11</f>
        <v>0</v>
      </c>
    </row>
    <row r="154" spans="1:4" ht="13.5" hidden="1" thickBot="1" x14ac:dyDescent="0.25">
      <c r="B154" s="110">
        <f t="shared" si="0"/>
        <v>2029</v>
      </c>
      <c r="C154" s="135">
        <f>[10]С2.5!$N$11</f>
        <v>0</v>
      </c>
    </row>
    <row r="155" spans="1:4" ht="13.5" hidden="1" thickBot="1" x14ac:dyDescent="0.25">
      <c r="B155" s="110">
        <f t="shared" si="0"/>
        <v>2030</v>
      </c>
      <c r="C155" s="135">
        <f>[10]С2.5!$O$11</f>
        <v>0</v>
      </c>
    </row>
    <row r="156" spans="1:4" ht="13.5" hidden="1" thickBot="1" x14ac:dyDescent="0.25">
      <c r="B156" s="110">
        <f t="shared" si="0"/>
        <v>2031</v>
      </c>
      <c r="C156" s="135">
        <f>[10]С2.5!$P$11</f>
        <v>0</v>
      </c>
    </row>
    <row r="157" spans="1:4" ht="13.5" hidden="1" thickBot="1" x14ac:dyDescent="0.25">
      <c r="B157" s="110">
        <f t="shared" si="0"/>
        <v>2032</v>
      </c>
      <c r="C157" s="135">
        <f>[10]С2.5!$Q$11</f>
        <v>0</v>
      </c>
    </row>
    <row r="158" spans="1:4" ht="13.5" hidden="1" thickBot="1" x14ac:dyDescent="0.25">
      <c r="B158" s="110">
        <f t="shared" si="0"/>
        <v>2033</v>
      </c>
      <c r="C158" s="135">
        <f>[10]С2.5!$R$11</f>
        <v>0</v>
      </c>
    </row>
    <row r="159" spans="1:4" ht="13.5" hidden="1" thickBot="1" x14ac:dyDescent="0.25">
      <c r="B159" s="110">
        <f t="shared" si="0"/>
        <v>2034</v>
      </c>
      <c r="C159" s="135">
        <f>[10]С2.5!$S$11</f>
        <v>0</v>
      </c>
    </row>
    <row r="160" spans="1:4" ht="13.5" hidden="1" thickBot="1" x14ac:dyDescent="0.25">
      <c r="B160" s="110">
        <f t="shared" si="0"/>
        <v>2035</v>
      </c>
      <c r="C160" s="135">
        <f>[10]С2.5!$T$11</f>
        <v>0</v>
      </c>
    </row>
    <row r="161" spans="2:3" s="2" customFormat="1" ht="13.5" hidden="1" thickBot="1" x14ac:dyDescent="0.25">
      <c r="B161" s="110">
        <f t="shared" si="0"/>
        <v>2036</v>
      </c>
      <c r="C161" s="135">
        <f>[10]С2.5!$U$11</f>
        <v>0</v>
      </c>
    </row>
    <row r="162" spans="2:3" s="2" customFormat="1" ht="13.5" hidden="1" thickBot="1" x14ac:dyDescent="0.25">
      <c r="B162" s="110">
        <f t="shared" si="0"/>
        <v>2037</v>
      </c>
      <c r="C162" s="135">
        <f>[10]С2.5!$V$11</f>
        <v>0</v>
      </c>
    </row>
    <row r="163" spans="2:3" s="2" customFormat="1" ht="13.5" hidden="1" thickBot="1" x14ac:dyDescent="0.25">
      <c r="B163" s="110">
        <f t="shared" si="0"/>
        <v>2038</v>
      </c>
      <c r="C163" s="135">
        <f>[10]С2.5!$W$11</f>
        <v>0</v>
      </c>
    </row>
    <row r="164" spans="2:3" s="2" customFormat="1" ht="13.5" hidden="1" thickBot="1" x14ac:dyDescent="0.25">
      <c r="B164" s="110">
        <f t="shared" si="0"/>
        <v>2039</v>
      </c>
      <c r="C164" s="135">
        <f>[10]С2.5!$X$11</f>
        <v>0</v>
      </c>
    </row>
    <row r="165" spans="2:3" s="2" customFormat="1" ht="13.5" hidden="1" thickBot="1" x14ac:dyDescent="0.25">
      <c r="B165" s="110">
        <f t="shared" si="0"/>
        <v>2040</v>
      </c>
      <c r="C165" s="135">
        <f>[10]С2.5!$Y$11</f>
        <v>0</v>
      </c>
    </row>
    <row r="166" spans="2:3" s="2" customFormat="1" ht="13.5" hidden="1" thickBot="1" x14ac:dyDescent="0.25">
      <c r="B166" s="110">
        <f t="shared" si="0"/>
        <v>2041</v>
      </c>
      <c r="C166" s="135">
        <f>[10]С2.5!$Z$11</f>
        <v>0</v>
      </c>
    </row>
    <row r="167" spans="2:3" s="2" customFormat="1" ht="13.5" hidden="1" thickBot="1" x14ac:dyDescent="0.25">
      <c r="B167" s="110">
        <f t="shared" si="0"/>
        <v>2042</v>
      </c>
      <c r="C167" s="135">
        <f>[10]С2.5!$AA$11</f>
        <v>0</v>
      </c>
    </row>
    <row r="168" spans="2:3" s="2" customFormat="1" ht="13.5" hidden="1" thickBot="1" x14ac:dyDescent="0.25">
      <c r="B168" s="110">
        <f t="shared" si="0"/>
        <v>2043</v>
      </c>
      <c r="C168" s="135">
        <f>[10]С2.5!$AB$11</f>
        <v>0</v>
      </c>
    </row>
    <row r="169" spans="2:3" s="2" customFormat="1" ht="13.5" hidden="1" thickBot="1" x14ac:dyDescent="0.25">
      <c r="B169" s="110">
        <f t="shared" si="0"/>
        <v>2044</v>
      </c>
      <c r="C169" s="135">
        <f>[10]С2.5!$AC$11</f>
        <v>0</v>
      </c>
    </row>
    <row r="170" spans="2:3" s="2" customFormat="1" ht="13.5" hidden="1" thickBot="1" x14ac:dyDescent="0.25">
      <c r="B170" s="110">
        <f t="shared" si="0"/>
        <v>2045</v>
      </c>
      <c r="C170" s="135">
        <f>[10]С2.5!$AD$11</f>
        <v>0</v>
      </c>
    </row>
    <row r="171" spans="2:3" s="2" customFormat="1" ht="13.5" hidden="1" thickBot="1" x14ac:dyDescent="0.25">
      <c r="B171" s="110">
        <f t="shared" si="0"/>
        <v>2046</v>
      </c>
      <c r="C171" s="135">
        <f>[10]С2.5!$AE$11</f>
        <v>0</v>
      </c>
    </row>
    <row r="172" spans="2:3" s="2" customFormat="1" ht="13.5" hidden="1" thickBot="1" x14ac:dyDescent="0.25">
      <c r="B172" s="110">
        <f t="shared" si="0"/>
        <v>2047</v>
      </c>
      <c r="C172" s="135">
        <f>[10]С2.5!$AF$11</f>
        <v>0</v>
      </c>
    </row>
    <row r="173" spans="2:3" s="2" customFormat="1" ht="13.5" hidden="1" thickBot="1" x14ac:dyDescent="0.25">
      <c r="B173" s="110">
        <f t="shared" si="0"/>
        <v>2048</v>
      </c>
      <c r="C173" s="135">
        <f>[10]С2.5!$AG$11</f>
        <v>0</v>
      </c>
    </row>
    <row r="174" spans="2:3" s="2" customFormat="1" ht="13.5" hidden="1" thickBot="1" x14ac:dyDescent="0.25">
      <c r="B174" s="110">
        <f t="shared" si="0"/>
        <v>2049</v>
      </c>
      <c r="C174" s="135">
        <f>[10]С2.5!$AH$11</f>
        <v>0</v>
      </c>
    </row>
    <row r="175" spans="2:3" s="2" customFormat="1" ht="13.5" hidden="1" thickBot="1" x14ac:dyDescent="0.25">
      <c r="B175" s="110">
        <f t="shared" si="0"/>
        <v>2050</v>
      </c>
      <c r="C175" s="135">
        <f>[10]С2.5!$AI$11</f>
        <v>0</v>
      </c>
    </row>
    <row r="176" spans="2:3" s="2" customFormat="1" ht="13.5" hidden="1" thickBot="1" x14ac:dyDescent="0.25">
      <c r="B176" s="110">
        <f t="shared" si="0"/>
        <v>2051</v>
      </c>
      <c r="C176" s="135">
        <f>[10]С2.5!$AJ$11</f>
        <v>0</v>
      </c>
    </row>
    <row r="177" spans="2:3" s="2" customFormat="1" ht="13.5" hidden="1" thickBot="1" x14ac:dyDescent="0.25">
      <c r="B177" s="110">
        <f t="shared" si="0"/>
        <v>2052</v>
      </c>
      <c r="C177" s="135">
        <f>[10]С2.5!$AK$11</f>
        <v>0</v>
      </c>
    </row>
    <row r="178" spans="2:3" s="2" customFormat="1" ht="13.5" hidden="1" thickBot="1" x14ac:dyDescent="0.25">
      <c r="B178" s="110">
        <f t="shared" si="0"/>
        <v>2053</v>
      </c>
      <c r="C178" s="135">
        <f>[10]С2.5!$AL$11</f>
        <v>0</v>
      </c>
    </row>
    <row r="179" spans="2:3" s="2" customFormat="1" ht="13.5" hidden="1" thickBot="1" x14ac:dyDescent="0.25">
      <c r="B179" s="110">
        <f t="shared" si="0"/>
        <v>2054</v>
      </c>
      <c r="C179" s="135">
        <f>[10]С2.5!$AM$11</f>
        <v>0</v>
      </c>
    </row>
    <row r="180" spans="2:3" s="2" customFormat="1" ht="13.5" hidden="1" thickBot="1" x14ac:dyDescent="0.25">
      <c r="B180" s="110">
        <f t="shared" si="0"/>
        <v>2055</v>
      </c>
      <c r="C180" s="135">
        <f>[10]С2.5!$AN$11</f>
        <v>0</v>
      </c>
    </row>
    <row r="181" spans="2:3" s="2" customFormat="1" ht="13.5" hidden="1" thickBot="1" x14ac:dyDescent="0.25">
      <c r="B181" s="110">
        <f t="shared" si="0"/>
        <v>2056</v>
      </c>
      <c r="C181" s="135">
        <f>[10]С2.5!$AO$11</f>
        <v>0</v>
      </c>
    </row>
    <row r="182" spans="2:3" s="2" customFormat="1" ht="13.5" hidden="1" thickBot="1" x14ac:dyDescent="0.25">
      <c r="B182" s="110">
        <f t="shared" si="0"/>
        <v>2057</v>
      </c>
      <c r="C182" s="135">
        <f>[10]С2.5!$AP$11</f>
        <v>0</v>
      </c>
    </row>
    <row r="183" spans="2:3" s="2" customFormat="1" ht="13.5" hidden="1" thickBot="1" x14ac:dyDescent="0.25">
      <c r="B183" s="110">
        <f t="shared" si="0"/>
        <v>2058</v>
      </c>
      <c r="C183" s="135">
        <f>[10]С2.5!$AQ$11</f>
        <v>0</v>
      </c>
    </row>
    <row r="184" spans="2:3" s="2" customFormat="1" ht="13.5" hidden="1" thickBot="1" x14ac:dyDescent="0.25">
      <c r="B184" s="110">
        <f t="shared" si="0"/>
        <v>2059</v>
      </c>
      <c r="C184" s="135">
        <f>[10]С2.5!$AR$11</f>
        <v>0</v>
      </c>
    </row>
    <row r="185" spans="2:3" s="2" customFormat="1" ht="13.5" hidden="1" thickBot="1" x14ac:dyDescent="0.25">
      <c r="B185" s="110">
        <f t="shared" si="0"/>
        <v>2060</v>
      </c>
      <c r="C185" s="135">
        <f>[10]С2.5!$AS$11</f>
        <v>0</v>
      </c>
    </row>
    <row r="186" spans="2:3" s="2" customFormat="1" ht="13.5" hidden="1" thickBot="1" x14ac:dyDescent="0.25">
      <c r="B186" s="110">
        <f t="shared" si="0"/>
        <v>2061</v>
      </c>
      <c r="C186" s="135">
        <f>[10]С2.5!$AT$11</f>
        <v>0</v>
      </c>
    </row>
    <row r="187" spans="2:3" s="2" customFormat="1" ht="13.5" hidden="1" thickBot="1" x14ac:dyDescent="0.25">
      <c r="B187" s="110">
        <f t="shared" si="0"/>
        <v>2062</v>
      </c>
      <c r="C187" s="135">
        <f>[10]С2.5!$AU$11</f>
        <v>0</v>
      </c>
    </row>
    <row r="188" spans="2:3" s="2" customFormat="1" ht="13.5" hidden="1" thickBot="1" x14ac:dyDescent="0.25">
      <c r="B188" s="110">
        <f t="shared" si="0"/>
        <v>2063</v>
      </c>
      <c r="C188" s="135">
        <f>[10]С2.5!$AV$11</f>
        <v>0</v>
      </c>
    </row>
    <row r="189" spans="2:3" s="2" customFormat="1" ht="13.5" hidden="1" thickBot="1" x14ac:dyDescent="0.25">
      <c r="B189" s="110">
        <f t="shared" si="0"/>
        <v>2064</v>
      </c>
      <c r="C189" s="135">
        <f>[10]С2.5!$AW$11</f>
        <v>0</v>
      </c>
    </row>
    <row r="190" spans="2:3" s="2" customFormat="1" ht="13.5" hidden="1" thickBot="1" x14ac:dyDescent="0.25">
      <c r="B190" s="110">
        <f t="shared" si="0"/>
        <v>2065</v>
      </c>
      <c r="C190" s="135">
        <f>[10]С2.5!$AX$11</f>
        <v>0</v>
      </c>
    </row>
    <row r="191" spans="2:3" s="2" customFormat="1" ht="13.5" hidden="1" thickBot="1" x14ac:dyDescent="0.25">
      <c r="B191" s="110">
        <f t="shared" si="0"/>
        <v>2066</v>
      </c>
      <c r="C191" s="135">
        <f>[10]С2.5!$AY$11</f>
        <v>0</v>
      </c>
    </row>
    <row r="192" spans="2:3" s="2" customFormat="1" ht="13.5" hidden="1" thickBot="1" x14ac:dyDescent="0.25">
      <c r="B192" s="110">
        <f t="shared" si="0"/>
        <v>2067</v>
      </c>
      <c r="C192" s="135">
        <f>[10]С2.5!$AZ$11</f>
        <v>0</v>
      </c>
    </row>
    <row r="193" spans="2:3" s="2" customFormat="1" ht="13.5" hidden="1" thickBot="1" x14ac:dyDescent="0.25">
      <c r="B193" s="110">
        <f t="shared" si="0"/>
        <v>2068</v>
      </c>
      <c r="C193" s="135">
        <f>[10]С2.5!$BA$11</f>
        <v>0</v>
      </c>
    </row>
    <row r="194" spans="2:3" s="2" customFormat="1" ht="13.5" hidden="1" thickBot="1" x14ac:dyDescent="0.25">
      <c r="B194" s="110">
        <f t="shared" si="0"/>
        <v>2069</v>
      </c>
      <c r="C194" s="135">
        <f>[10]С2.5!$BB$11</f>
        <v>0</v>
      </c>
    </row>
    <row r="195" spans="2:3" s="2" customFormat="1" ht="13.5" hidden="1" thickBot="1" x14ac:dyDescent="0.25">
      <c r="B195" s="110">
        <f t="shared" si="0"/>
        <v>2070</v>
      </c>
      <c r="C195" s="135">
        <f>[10]С2.5!$BC$11</f>
        <v>0</v>
      </c>
    </row>
    <row r="196" spans="2:3" s="2" customFormat="1" ht="13.5" hidden="1" thickBot="1" x14ac:dyDescent="0.25">
      <c r="B196" s="110">
        <f t="shared" si="0"/>
        <v>2071</v>
      </c>
      <c r="C196" s="135">
        <f>[10]С2.5!$BD$11</f>
        <v>0</v>
      </c>
    </row>
    <row r="197" spans="2:3" s="2" customFormat="1" ht="13.5" hidden="1" thickBot="1" x14ac:dyDescent="0.25">
      <c r="B197" s="110">
        <f t="shared" si="0"/>
        <v>2072</v>
      </c>
      <c r="C197" s="135">
        <f>[10]С2.5!$BE$11</f>
        <v>0</v>
      </c>
    </row>
    <row r="198" spans="2:3" s="2" customFormat="1" ht="13.5" hidden="1" thickBot="1" x14ac:dyDescent="0.25">
      <c r="B198" s="110">
        <f t="shared" si="0"/>
        <v>2073</v>
      </c>
      <c r="C198" s="135">
        <f>[10]С2.5!$BF$11</f>
        <v>0</v>
      </c>
    </row>
    <row r="199" spans="2:3" s="2" customFormat="1" ht="13.5" hidden="1" thickBot="1" x14ac:dyDescent="0.25">
      <c r="B199" s="110">
        <f t="shared" si="0"/>
        <v>2074</v>
      </c>
      <c r="C199" s="135">
        <f>[10]С2.5!$BG$11</f>
        <v>0</v>
      </c>
    </row>
    <row r="200" spans="2:3" s="2" customFormat="1" ht="13.5" hidden="1" thickBot="1" x14ac:dyDescent="0.25">
      <c r="B200" s="110">
        <f t="shared" si="0"/>
        <v>2075</v>
      </c>
      <c r="C200" s="135">
        <f>[10]С2.5!$BH$11</f>
        <v>0</v>
      </c>
    </row>
    <row r="201" spans="2:3" s="2" customFormat="1" ht="13.5" hidden="1" thickBot="1" x14ac:dyDescent="0.25">
      <c r="B201" s="110">
        <f t="shared" si="0"/>
        <v>2076</v>
      </c>
      <c r="C201" s="135">
        <f>[10]С2.5!$BI$11</f>
        <v>0</v>
      </c>
    </row>
    <row r="202" spans="2:3" s="2" customFormat="1" ht="13.5" hidden="1" thickBot="1" x14ac:dyDescent="0.25">
      <c r="B202" s="110">
        <f t="shared" si="0"/>
        <v>2077</v>
      </c>
      <c r="C202" s="135">
        <f>[10]С2.5!$BJ$11</f>
        <v>0</v>
      </c>
    </row>
    <row r="203" spans="2:3" s="2" customFormat="1" ht="13.5" hidden="1" thickBot="1" x14ac:dyDescent="0.25">
      <c r="B203" s="110">
        <f t="shared" si="0"/>
        <v>2078</v>
      </c>
      <c r="C203" s="135">
        <f>[10]С2.5!$BK$11</f>
        <v>0</v>
      </c>
    </row>
    <row r="204" spans="2:3" s="2" customFormat="1" ht="13.5" hidden="1" thickBot="1" x14ac:dyDescent="0.25">
      <c r="B204" s="110">
        <f t="shared" si="0"/>
        <v>2079</v>
      </c>
      <c r="C204" s="135">
        <f>[10]С2.5!$BL$11</f>
        <v>0</v>
      </c>
    </row>
    <row r="205" spans="2:3" s="2" customFormat="1" ht="13.5" hidden="1" thickBot="1" x14ac:dyDescent="0.25">
      <c r="B205" s="110">
        <f t="shared" si="0"/>
        <v>2080</v>
      </c>
      <c r="C205" s="135">
        <f>[10]С2.5!$BM$11</f>
        <v>0</v>
      </c>
    </row>
    <row r="206" spans="2:3" s="2" customFormat="1" ht="13.5" hidden="1" thickBot="1" x14ac:dyDescent="0.25">
      <c r="B206" s="110">
        <f t="shared" si="0"/>
        <v>2081</v>
      </c>
      <c r="C206" s="135">
        <f>[10]С2.5!$BN$11</f>
        <v>0</v>
      </c>
    </row>
    <row r="207" spans="2:3" s="2" customFormat="1" ht="13.5" hidden="1" thickBot="1" x14ac:dyDescent="0.25">
      <c r="B207" s="110">
        <f t="shared" si="0"/>
        <v>2082</v>
      </c>
      <c r="C207" s="135">
        <f>[10]С2.5!$BO$11</f>
        <v>0</v>
      </c>
    </row>
    <row r="208" spans="2:3" s="2" customFormat="1" ht="13.5" hidden="1" thickBot="1" x14ac:dyDescent="0.25">
      <c r="B208" s="110">
        <f t="shared" si="0"/>
        <v>2083</v>
      </c>
      <c r="C208" s="135">
        <f>[10]С2.5!$BP$11</f>
        <v>0</v>
      </c>
    </row>
    <row r="209" spans="2:3" s="2" customFormat="1" ht="13.5" hidden="1" thickBot="1" x14ac:dyDescent="0.25">
      <c r="B209" s="110">
        <f t="shared" si="0"/>
        <v>2084</v>
      </c>
      <c r="C209" s="135">
        <f>[10]С2.5!$BQ$11</f>
        <v>0</v>
      </c>
    </row>
    <row r="210" spans="2:3" s="2" customFormat="1" ht="13.5" hidden="1" thickBot="1" x14ac:dyDescent="0.25">
      <c r="B210" s="110">
        <f t="shared" si="0"/>
        <v>2085</v>
      </c>
      <c r="C210" s="135">
        <f>[10]С2.5!$BR$11</f>
        <v>0</v>
      </c>
    </row>
    <row r="211" spans="2:3" s="2" customFormat="1" ht="13.5" hidden="1" thickBot="1" x14ac:dyDescent="0.25">
      <c r="B211" s="110">
        <f t="shared" ref="B211:B224" si="1">B210+1</f>
        <v>2086</v>
      </c>
      <c r="C211" s="135">
        <f>[10]С2.5!$BS$11</f>
        <v>0</v>
      </c>
    </row>
    <row r="212" spans="2:3" s="2" customFormat="1" ht="13.5" hidden="1" thickBot="1" x14ac:dyDescent="0.25">
      <c r="B212" s="110">
        <f t="shared" si="1"/>
        <v>2087</v>
      </c>
      <c r="C212" s="135">
        <f>[10]С2.5!$BT$11</f>
        <v>0</v>
      </c>
    </row>
    <row r="213" spans="2:3" s="2" customFormat="1" ht="13.5" hidden="1" thickBot="1" x14ac:dyDescent="0.25">
      <c r="B213" s="110">
        <f t="shared" si="1"/>
        <v>2088</v>
      </c>
      <c r="C213" s="135">
        <f>[10]С2.5!$BU$11</f>
        <v>0</v>
      </c>
    </row>
    <row r="214" spans="2:3" s="2" customFormat="1" ht="13.5" hidden="1" thickBot="1" x14ac:dyDescent="0.25">
      <c r="B214" s="110">
        <f t="shared" si="1"/>
        <v>2089</v>
      </c>
      <c r="C214" s="135">
        <f>[10]С2.5!$BV$11</f>
        <v>0</v>
      </c>
    </row>
    <row r="215" spans="2:3" s="2" customFormat="1" ht="13.5" hidden="1" thickBot="1" x14ac:dyDescent="0.25">
      <c r="B215" s="110">
        <f t="shared" si="1"/>
        <v>2090</v>
      </c>
      <c r="C215" s="135">
        <f>[10]С2.5!$BW$11</f>
        <v>0</v>
      </c>
    </row>
    <row r="216" spans="2:3" s="2" customFormat="1" ht="13.5" hidden="1" thickBot="1" x14ac:dyDescent="0.25">
      <c r="B216" s="110">
        <f t="shared" si="1"/>
        <v>2091</v>
      </c>
      <c r="C216" s="135">
        <f>[10]С2.5!$BX$11</f>
        <v>0</v>
      </c>
    </row>
    <row r="217" spans="2:3" s="2" customFormat="1" ht="13.5" hidden="1" thickBot="1" x14ac:dyDescent="0.25">
      <c r="B217" s="110">
        <f t="shared" si="1"/>
        <v>2092</v>
      </c>
      <c r="C217" s="135">
        <f>[10]С2.5!$BY$11</f>
        <v>0</v>
      </c>
    </row>
    <row r="218" spans="2:3" s="2" customFormat="1" ht="13.5" hidden="1" thickBot="1" x14ac:dyDescent="0.25">
      <c r="B218" s="110">
        <f t="shared" si="1"/>
        <v>2093</v>
      </c>
      <c r="C218" s="135">
        <f>[10]С2.5!$BZ$11</f>
        <v>0</v>
      </c>
    </row>
    <row r="219" spans="2:3" s="2" customFormat="1" ht="13.5" hidden="1" thickBot="1" x14ac:dyDescent="0.25">
      <c r="B219" s="110">
        <f t="shared" si="1"/>
        <v>2094</v>
      </c>
      <c r="C219" s="135">
        <f>[10]С2.5!$CA$11</f>
        <v>0</v>
      </c>
    </row>
    <row r="220" spans="2:3" s="2" customFormat="1" ht="13.5" hidden="1" thickBot="1" x14ac:dyDescent="0.25">
      <c r="B220" s="110">
        <f t="shared" si="1"/>
        <v>2095</v>
      </c>
      <c r="C220" s="135">
        <f>[10]С2.5!$CB$11</f>
        <v>0</v>
      </c>
    </row>
    <row r="221" spans="2:3" s="2" customFormat="1" ht="13.5" hidden="1" thickBot="1" x14ac:dyDescent="0.25">
      <c r="B221" s="110">
        <f t="shared" si="1"/>
        <v>2096</v>
      </c>
      <c r="C221" s="135">
        <f>[10]С2.5!$CC$11</f>
        <v>0</v>
      </c>
    </row>
    <row r="222" spans="2:3" s="2" customFormat="1" ht="13.5" hidden="1" thickBot="1" x14ac:dyDescent="0.25">
      <c r="B222" s="110">
        <f t="shared" si="1"/>
        <v>2097</v>
      </c>
      <c r="C222" s="135">
        <f>[10]С2.5!$CD$11</f>
        <v>0</v>
      </c>
    </row>
    <row r="223" spans="2:3" s="2" customFormat="1" ht="13.5" hidden="1" thickBot="1" x14ac:dyDescent="0.25">
      <c r="B223" s="110">
        <f t="shared" si="1"/>
        <v>2098</v>
      </c>
      <c r="C223" s="135">
        <f>[10]С2.5!$CE$11</f>
        <v>0</v>
      </c>
    </row>
    <row r="224" spans="2:3" s="2" customFormat="1" ht="13.5" hidden="1" thickBot="1" x14ac:dyDescent="0.25">
      <c r="B224" s="110">
        <f t="shared" si="1"/>
        <v>2099</v>
      </c>
      <c r="C224" s="135">
        <f>[10]С2.5!$CF$11</f>
        <v>0</v>
      </c>
    </row>
    <row r="225" spans="2:3" s="2" customFormat="1" ht="13.5" hidden="1" thickBot="1" x14ac:dyDescent="0.25">
      <c r="B225" s="112">
        <f>B162+1</f>
        <v>2038</v>
      </c>
      <c r="C225" s="136" t="e">
        <f>[10]С2.5!#REF!</f>
        <v>#REF!</v>
      </c>
    </row>
    <row r="226" spans="2:3" s="2" customFormat="1" x14ac:dyDescent="0.2">
      <c r="B226" s="137"/>
      <c r="C226" s="138"/>
    </row>
  </sheetData>
  <mergeCells count="9">
    <mergeCell ref="B143:D143"/>
    <mergeCell ref="A14:C14"/>
    <mergeCell ref="B1:D1"/>
    <mergeCell ref="B27:D27"/>
    <mergeCell ref="B45:D45"/>
    <mergeCell ref="B90:D90"/>
    <mergeCell ref="B101:D101"/>
    <mergeCell ref="B126:D126"/>
    <mergeCell ref="B129:D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8]!Лист29.PrintBlock">
                <anchor moveWithCells="1" sizeWithCells="1">
                  <from>
                    <xdr:col>3</xdr:col>
                    <xdr:colOff>47625</xdr:colOff>
                    <xdr:row>0</xdr:row>
                    <xdr:rowOff>104775</xdr:rowOff>
                  </from>
                  <to>
                    <xdr:col>5</xdr:col>
                    <xdr:colOff>0</xdr:colOff>
                    <xdr:row>1</xdr:row>
                    <xdr:rowOff>0</xdr:rowOff>
                  </to>
                </anchor>
              </controlPr>
            </control>
          </mc:Choice>
        </mc:AlternateContent>
        <mc:AlternateContent xmlns:mc="http://schemas.openxmlformats.org/markup-compatibility/2006">
          <mc:Choice Requires="x14">
            <control shapeId="6146" r:id="rId4" name="Button 2">
              <controlPr defaultSize="0" print="0" autoFill="0" autoPict="0" macro="[10]!Лист29.PrintBlock">
                <anchor moveWithCells="1" sizeWithCells="1">
                  <from>
                    <xdr:col>4</xdr:col>
                    <xdr:colOff>47625</xdr:colOff>
                    <xdr:row>0</xdr:row>
                    <xdr:rowOff>104775</xdr:rowOff>
                  </from>
                  <to>
                    <xdr:col>5</xdr:col>
                    <xdr:colOff>1095375</xdr:colOff>
                    <xdr:row>0</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[11]И1!D13</f>
        <v>Субъект Российской Федерации</v>
      </c>
      <c r="C4" s="10" t="str">
        <f>[11]И1!E13</f>
        <v>Новосибирская область</v>
      </c>
    </row>
    <row r="5" spans="1:3" ht="46.9" customHeight="1" x14ac:dyDescent="0.2">
      <c r="A5" s="8"/>
      <c r="B5" s="9" t="str">
        <f>[11]И1!D14</f>
        <v>Тип муниципального образования (выберите из списка)</v>
      </c>
      <c r="C5" s="10" t="str">
        <f>[11]И1!E14</f>
        <v xml:space="preserve">село Легостаево, Искитимский муниципальный район </v>
      </c>
    </row>
    <row r="6" spans="1:3" x14ac:dyDescent="0.2">
      <c r="A6" s="8"/>
      <c r="B6" s="9" t="str">
        <f>IF([11]И1!E15="","",[11]И1!D15)</f>
        <v/>
      </c>
      <c r="C6" s="10" t="str">
        <f>IF([11]И1!E15="","",[11]И1!E15)</f>
        <v/>
      </c>
    </row>
    <row r="7" spans="1:3" x14ac:dyDescent="0.2">
      <c r="A7" s="8"/>
      <c r="B7" s="9" t="str">
        <f>[11]И1!D16</f>
        <v>Код ОКТМО</v>
      </c>
      <c r="C7" s="11" t="str">
        <f>[11]И1!E16</f>
        <v>(50615416101)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2024</v>
      </c>
    </row>
    <row r="10" spans="1:3" x14ac:dyDescent="0.2">
      <c r="A10" s="8"/>
      <c r="B10" s="9" t="str">
        <f>[11]И1!D9</f>
        <v>Период регулирования (i-1)-й</v>
      </c>
      <c r="C10" s="14">
        <f>[11]И1!E9</f>
        <v>2023</v>
      </c>
    </row>
    <row r="11" spans="1:3" x14ac:dyDescent="0.2">
      <c r="A11" s="8"/>
      <c r="B11" s="9" t="str">
        <f>[11]И1!D10</f>
        <v>Период регулирования (i-2)-й</v>
      </c>
      <c r="C11" s="14">
        <f>[11]И1!E10</f>
        <v>2022</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3755.1269222377105</v>
      </c>
    </row>
    <row r="18" spans="1:3" ht="42.75" x14ac:dyDescent="0.2">
      <c r="A18" s="22" t="s">
        <v>8</v>
      </c>
      <c r="B18" s="25" t="s">
        <v>9</v>
      </c>
      <c r="C18" s="26">
        <f>[11]С1!F12</f>
        <v>759.67438872744583</v>
      </c>
    </row>
    <row r="19" spans="1:3" ht="42.75" x14ac:dyDescent="0.2">
      <c r="A19" s="22" t="s">
        <v>10</v>
      </c>
      <c r="B19" s="25" t="s">
        <v>11</v>
      </c>
      <c r="C19" s="26">
        <f>[11]С2!F12</f>
        <v>2000.3680279558928</v>
      </c>
    </row>
    <row r="20" spans="1:3" ht="30" x14ac:dyDescent="0.2">
      <c r="A20" s="22" t="s">
        <v>12</v>
      </c>
      <c r="B20" s="25" t="s">
        <v>13</v>
      </c>
      <c r="C20" s="26">
        <f>[11]С3!F12</f>
        <v>475.74490066496389</v>
      </c>
    </row>
    <row r="21" spans="1:3" ht="42.75" x14ac:dyDescent="0.2">
      <c r="A21" s="22" t="s">
        <v>14</v>
      </c>
      <c r="B21" s="25" t="s">
        <v>15</v>
      </c>
      <c r="C21" s="26">
        <f>[11]С4!F12</f>
        <v>445.70966523768817</v>
      </c>
    </row>
    <row r="22" spans="1:3" ht="30" x14ac:dyDescent="0.2">
      <c r="A22" s="22" t="s">
        <v>16</v>
      </c>
      <c r="B22" s="25" t="s">
        <v>17</v>
      </c>
      <c r="C22" s="26">
        <f>[11]С5!F12</f>
        <v>73.629939651719823</v>
      </c>
    </row>
    <row r="23" spans="1:3" ht="43.5" thickBot="1" x14ac:dyDescent="0.25">
      <c r="A23" s="27" t="s">
        <v>18</v>
      </c>
      <c r="B23" s="140" t="s">
        <v>19</v>
      </c>
      <c r="C23" s="28" t="str">
        <f>[11]С6!F12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[11]С1.1!E16</f>
        <v>5100</v>
      </c>
    </row>
    <row r="29" spans="1:3" ht="42.75" x14ac:dyDescent="0.2">
      <c r="A29" s="22" t="s">
        <v>10</v>
      </c>
      <c r="B29" s="33" t="s">
        <v>22</v>
      </c>
      <c r="C29" s="34">
        <f>[11]С1.1!E27</f>
        <v>3413.25</v>
      </c>
    </row>
    <row r="30" spans="1:3" ht="17.25" x14ac:dyDescent="0.2">
      <c r="A30" s="22" t="s">
        <v>12</v>
      </c>
      <c r="B30" s="33" t="s">
        <v>23</v>
      </c>
      <c r="C30" s="35">
        <f>[11]С1.1!E19</f>
        <v>-0.19900000000000001</v>
      </c>
    </row>
    <row r="31" spans="1:3" ht="17.25" x14ac:dyDescent="0.2">
      <c r="A31" s="22" t="s">
        <v>14</v>
      </c>
      <c r="B31" s="33" t="s">
        <v>24</v>
      </c>
      <c r="C31" s="35">
        <f>[11]С1.1!E20</f>
        <v>5.7000000000000002E-2</v>
      </c>
    </row>
    <row r="32" spans="1:3" ht="30" x14ac:dyDescent="0.2">
      <c r="A32" s="22" t="s">
        <v>16</v>
      </c>
      <c r="B32" s="36" t="s">
        <v>25</v>
      </c>
      <c r="C32" s="37">
        <f>[11]С1!F13</f>
        <v>176.4</v>
      </c>
    </row>
    <row r="33" spans="1:3" x14ac:dyDescent="0.2">
      <c r="A33" s="22" t="s">
        <v>18</v>
      </c>
      <c r="B33" s="36" t="s">
        <v>26</v>
      </c>
      <c r="C33" s="38">
        <f>[11]С1!F16</f>
        <v>7000</v>
      </c>
    </row>
    <row r="34" spans="1:3" ht="14.25" x14ac:dyDescent="0.2">
      <c r="A34" s="22" t="s">
        <v>27</v>
      </c>
      <c r="B34" s="39" t="s">
        <v>28</v>
      </c>
      <c r="C34" s="40">
        <f>[11]С1!F17</f>
        <v>0.72857142857142854</v>
      </c>
    </row>
    <row r="35" spans="1:3" ht="15.75" x14ac:dyDescent="0.2">
      <c r="A35" s="41" t="s">
        <v>29</v>
      </c>
      <c r="B35" s="42" t="s">
        <v>30</v>
      </c>
      <c r="C35" s="40">
        <f>[11]С1!F20</f>
        <v>21.588411179999994</v>
      </c>
    </row>
    <row r="36" spans="1:3" ht="15.75" x14ac:dyDescent="0.2">
      <c r="A36" s="41" t="s">
        <v>31</v>
      </c>
      <c r="B36" s="43" t="s">
        <v>32</v>
      </c>
      <c r="C36" s="40">
        <f>[11]С1!F21</f>
        <v>20.818139999999996</v>
      </c>
    </row>
    <row r="37" spans="1:3" ht="14.25" x14ac:dyDescent="0.2">
      <c r="A37" s="41" t="s">
        <v>33</v>
      </c>
      <c r="B37" s="44" t="s">
        <v>34</v>
      </c>
      <c r="C37" s="40">
        <f>[11]С1!F22</f>
        <v>1.0369999999999999</v>
      </c>
    </row>
    <row r="38" spans="1:3" ht="53.25" thickBot="1" x14ac:dyDescent="0.25">
      <c r="A38" s="27" t="s">
        <v>35</v>
      </c>
      <c r="B38" s="45" t="s">
        <v>36</v>
      </c>
      <c r="C38" s="46">
        <f>[11]С1!F23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[11]С2.1!E12</f>
        <v>V</v>
      </c>
    </row>
    <row r="42" spans="1:3" ht="25.5" x14ac:dyDescent="0.2">
      <c r="A42" s="22" t="s">
        <v>41</v>
      </c>
      <c r="B42" s="33" t="s">
        <v>42</v>
      </c>
      <c r="C42" s="51" t="str">
        <f>[11]С2.1!E13</f>
        <v>6 и менее баллов</v>
      </c>
    </row>
    <row r="43" spans="1:3" ht="25.5" x14ac:dyDescent="0.2">
      <c r="A43" s="22" t="s">
        <v>43</v>
      </c>
      <c r="B43" s="33" t="s">
        <v>44</v>
      </c>
      <c r="C43" s="51" t="str">
        <f>[11]С2.1!E14</f>
        <v>от 200 до 500</v>
      </c>
    </row>
    <row r="44" spans="1:3" ht="25.5" x14ac:dyDescent="0.2">
      <c r="A44" s="22" t="s">
        <v>45</v>
      </c>
      <c r="B44" s="33" t="s">
        <v>46</v>
      </c>
      <c r="C44" s="52" t="str">
        <f>[11]С2.1!E15</f>
        <v>нет</v>
      </c>
    </row>
    <row r="45" spans="1:3" ht="30" x14ac:dyDescent="0.2">
      <c r="A45" s="22" t="s">
        <v>47</v>
      </c>
      <c r="B45" s="33" t="s">
        <v>48</v>
      </c>
      <c r="C45" s="34">
        <f>[11]С2!F18</f>
        <v>35106.652004551666</v>
      </c>
    </row>
    <row r="46" spans="1:3" ht="30" x14ac:dyDescent="0.2">
      <c r="A46" s="22" t="s">
        <v>49</v>
      </c>
      <c r="B46" s="53" t="s">
        <v>50</v>
      </c>
      <c r="C46" s="34">
        <f>IF([11]С2!F19&gt;0,[11]С2!F19,[11]С2!F20)</f>
        <v>23441.524932855718</v>
      </c>
    </row>
    <row r="47" spans="1:3" ht="25.5" x14ac:dyDescent="0.2">
      <c r="A47" s="22" t="s">
        <v>51</v>
      </c>
      <c r="B47" s="54" t="s">
        <v>52</v>
      </c>
      <c r="C47" s="34">
        <f>[11]С2.1!E19</f>
        <v>-38</v>
      </c>
    </row>
    <row r="48" spans="1:3" ht="25.5" x14ac:dyDescent="0.2">
      <c r="A48" s="22" t="s">
        <v>53</v>
      </c>
      <c r="B48" s="54" t="s">
        <v>54</v>
      </c>
      <c r="C48" s="34" t="str">
        <f>[11]С2.1!E22</f>
        <v>нет</v>
      </c>
    </row>
    <row r="49" spans="1:3" ht="38.25" x14ac:dyDescent="0.2">
      <c r="A49" s="22" t="s">
        <v>55</v>
      </c>
      <c r="B49" s="55" t="s">
        <v>56</v>
      </c>
      <c r="C49" s="34">
        <f>[11]С2.2!E10</f>
        <v>1287</v>
      </c>
    </row>
    <row r="50" spans="1:3" ht="25.5" x14ac:dyDescent="0.2">
      <c r="A50" s="22" t="s">
        <v>57</v>
      </c>
      <c r="B50" s="56" t="s">
        <v>58</v>
      </c>
      <c r="C50" s="34">
        <f>[11]С2.2!E12</f>
        <v>5.97</v>
      </c>
    </row>
    <row r="51" spans="1:3" ht="52.5" x14ac:dyDescent="0.2">
      <c r="A51" s="22" t="s">
        <v>59</v>
      </c>
      <c r="B51" s="57" t="s">
        <v>60</v>
      </c>
      <c r="C51" s="34">
        <f>[11]С2.2!E13</f>
        <v>1</v>
      </c>
    </row>
    <row r="52" spans="1:3" ht="27.75" x14ac:dyDescent="0.2">
      <c r="A52" s="22" t="s">
        <v>61</v>
      </c>
      <c r="B52" s="56" t="s">
        <v>62</v>
      </c>
      <c r="C52" s="34">
        <f>[11]С2.2!E14</f>
        <v>12104</v>
      </c>
    </row>
    <row r="53" spans="1:3" ht="25.5" x14ac:dyDescent="0.2">
      <c r="A53" s="22" t="s">
        <v>63</v>
      </c>
      <c r="B53" s="57" t="s">
        <v>64</v>
      </c>
      <c r="C53" s="35">
        <f>[11]С2.2!E15</f>
        <v>4.8000000000000001E-2</v>
      </c>
    </row>
    <row r="54" spans="1:3" x14ac:dyDescent="0.2">
      <c r="A54" s="22" t="s">
        <v>65</v>
      </c>
      <c r="B54" s="57" t="s">
        <v>66</v>
      </c>
      <c r="C54" s="34">
        <f>[11]С2.2!E16</f>
        <v>1</v>
      </c>
    </row>
    <row r="55" spans="1:3" ht="15.75" x14ac:dyDescent="0.2">
      <c r="A55" s="22" t="s">
        <v>67</v>
      </c>
      <c r="B55" s="58" t="s">
        <v>68</v>
      </c>
      <c r="C55" s="34">
        <f>[11]С2!F21</f>
        <v>1</v>
      </c>
    </row>
    <row r="56" spans="1:3" ht="30" x14ac:dyDescent="0.2">
      <c r="A56" s="59" t="s">
        <v>69</v>
      </c>
      <c r="B56" s="33" t="s">
        <v>70</v>
      </c>
      <c r="C56" s="34">
        <f>[11]С2!F13</f>
        <v>183796.83936385796</v>
      </c>
    </row>
    <row r="57" spans="1:3" ht="30" x14ac:dyDescent="0.2">
      <c r="A57" s="59" t="s">
        <v>71</v>
      </c>
      <c r="B57" s="58" t="s">
        <v>72</v>
      </c>
      <c r="C57" s="34">
        <f>[11]С2!F14</f>
        <v>113455</v>
      </c>
    </row>
    <row r="58" spans="1:3" ht="15.75" x14ac:dyDescent="0.2">
      <c r="A58" s="59" t="s">
        <v>73</v>
      </c>
      <c r="B58" s="60" t="s">
        <v>74</v>
      </c>
      <c r="C58" s="40">
        <f>[11]С2!F15</f>
        <v>1.071</v>
      </c>
    </row>
    <row r="59" spans="1:3" ht="15.75" x14ac:dyDescent="0.2">
      <c r="A59" s="59" t="s">
        <v>75</v>
      </c>
      <c r="B59" s="60" t="s">
        <v>76</v>
      </c>
      <c r="C59" s="40">
        <f>[11]С2!F16</f>
        <v>1</v>
      </c>
    </row>
    <row r="60" spans="1:3" ht="17.25" x14ac:dyDescent="0.2">
      <c r="A60" s="59" t="s">
        <v>77</v>
      </c>
      <c r="B60" s="58" t="s">
        <v>78</v>
      </c>
      <c r="C60" s="34">
        <f>[11]С2!F17</f>
        <v>1.01</v>
      </c>
    </row>
    <row r="61" spans="1:3" s="63" customFormat="1" ht="14.25" x14ac:dyDescent="0.2">
      <c r="A61" s="59" t="s">
        <v>79</v>
      </c>
      <c r="B61" s="61" t="s">
        <v>80</v>
      </c>
      <c r="C61" s="62">
        <f>[11]С2!F33</f>
        <v>10</v>
      </c>
    </row>
    <row r="62" spans="1:3" ht="30" x14ac:dyDescent="0.2">
      <c r="A62" s="59" t="s">
        <v>81</v>
      </c>
      <c r="B62" s="64" t="s">
        <v>82</v>
      </c>
      <c r="C62" s="34">
        <f>[11]С2!F26</f>
        <v>2780.7867618428891</v>
      </c>
    </row>
    <row r="63" spans="1:3" ht="17.25" x14ac:dyDescent="0.2">
      <c r="A63" s="59" t="s">
        <v>83</v>
      </c>
      <c r="B63" s="53" t="s">
        <v>84</v>
      </c>
      <c r="C63" s="34">
        <f>[11]С2!F27</f>
        <v>0.44209422600000003</v>
      </c>
    </row>
    <row r="64" spans="1:3" ht="17.25" x14ac:dyDescent="0.2">
      <c r="A64" s="59" t="s">
        <v>85</v>
      </c>
      <c r="B64" s="58" t="s">
        <v>86</v>
      </c>
      <c r="C64" s="62">
        <f>[11]С2!F28</f>
        <v>4200</v>
      </c>
    </row>
    <row r="65" spans="1:3" ht="42.75" x14ac:dyDescent="0.2">
      <c r="A65" s="59" t="s">
        <v>87</v>
      </c>
      <c r="B65" s="33" t="s">
        <v>88</v>
      </c>
      <c r="C65" s="34">
        <f>[11]С2!F22</f>
        <v>38698.422798410109</v>
      </c>
    </row>
    <row r="66" spans="1:3" ht="30" x14ac:dyDescent="0.2">
      <c r="A66" s="59" t="s">
        <v>89</v>
      </c>
      <c r="B66" s="60" t="s">
        <v>90</v>
      </c>
      <c r="C66" s="34">
        <f>[11]С2!F23</f>
        <v>1990</v>
      </c>
    </row>
    <row r="67" spans="1:3" ht="30" x14ac:dyDescent="0.2">
      <c r="A67" s="59" t="s">
        <v>91</v>
      </c>
      <c r="B67" s="53" t="s">
        <v>92</v>
      </c>
      <c r="C67" s="34">
        <f>[11]С2.1!E27</f>
        <v>14307.876789999998</v>
      </c>
    </row>
    <row r="68" spans="1:3" ht="38.25" x14ac:dyDescent="0.2">
      <c r="A68" s="59" t="s">
        <v>93</v>
      </c>
      <c r="B68" s="65" t="s">
        <v>94</v>
      </c>
      <c r="C68" s="52">
        <f>[11]С2.3!E21</f>
        <v>0</v>
      </c>
    </row>
    <row r="69" spans="1:3" ht="25.5" x14ac:dyDescent="0.2">
      <c r="A69" s="59" t="s">
        <v>95</v>
      </c>
      <c r="B69" s="66" t="s">
        <v>96</v>
      </c>
      <c r="C69" s="67">
        <f>[11]С2.3!E11</f>
        <v>9.89</v>
      </c>
    </row>
    <row r="70" spans="1:3" ht="25.5" x14ac:dyDescent="0.2">
      <c r="A70" s="59" t="s">
        <v>97</v>
      </c>
      <c r="B70" s="66" t="s">
        <v>98</v>
      </c>
      <c r="C70" s="62">
        <f>[11]С2.3!E13</f>
        <v>300</v>
      </c>
    </row>
    <row r="71" spans="1:3" ht="25.5" x14ac:dyDescent="0.2">
      <c r="A71" s="59" t="s">
        <v>99</v>
      </c>
      <c r="B71" s="65" t="s">
        <v>100</v>
      </c>
      <c r="C71" s="68">
        <f>IF([11]С2.3!E22&gt;0,[11]С2.3!E22,[11]С2.3!E14)</f>
        <v>61211</v>
      </c>
    </row>
    <row r="72" spans="1:3" ht="38.25" x14ac:dyDescent="0.2">
      <c r="A72" s="59" t="s">
        <v>101</v>
      </c>
      <c r="B72" s="65" t="s">
        <v>102</v>
      </c>
      <c r="C72" s="68">
        <f>IF([11]С2.3!E23&gt;0,[11]С2.3!E23,[11]С2.3!E15)</f>
        <v>45675</v>
      </c>
    </row>
    <row r="73" spans="1:3" ht="30" x14ac:dyDescent="0.2">
      <c r="A73" s="59" t="s">
        <v>103</v>
      </c>
      <c r="B73" s="53" t="s">
        <v>104</v>
      </c>
      <c r="C73" s="34">
        <f>[11]С2.1!E28</f>
        <v>9541.9567200000001</v>
      </c>
    </row>
    <row r="74" spans="1:3" ht="38.25" x14ac:dyDescent="0.2">
      <c r="A74" s="59" t="s">
        <v>105</v>
      </c>
      <c r="B74" s="65" t="s">
        <v>106</v>
      </c>
      <c r="C74" s="52">
        <f>[11]С2.3!E25</f>
        <v>0</v>
      </c>
    </row>
    <row r="75" spans="1:3" ht="25.5" x14ac:dyDescent="0.2">
      <c r="A75" s="59" t="s">
        <v>107</v>
      </c>
      <c r="B75" s="66" t="s">
        <v>108</v>
      </c>
      <c r="C75" s="67">
        <f>[11]С2.3!E12</f>
        <v>0.56000000000000005</v>
      </c>
    </row>
    <row r="76" spans="1:3" ht="25.5" x14ac:dyDescent="0.2">
      <c r="A76" s="59" t="s">
        <v>109</v>
      </c>
      <c r="B76" s="66" t="s">
        <v>98</v>
      </c>
      <c r="C76" s="62">
        <f>[11]С2.3!E13</f>
        <v>300</v>
      </c>
    </row>
    <row r="77" spans="1:3" ht="25.5" x14ac:dyDescent="0.2">
      <c r="A77" s="59" t="s">
        <v>110</v>
      </c>
      <c r="B77" s="69" t="s">
        <v>111</v>
      </c>
      <c r="C77" s="68">
        <f>IF([11]С2.3!E26&gt;0,[11]С2.3!E26,[11]С2.3!E16)</f>
        <v>65637</v>
      </c>
    </row>
    <row r="78" spans="1:3" ht="38.25" x14ac:dyDescent="0.2">
      <c r="A78" s="59" t="s">
        <v>112</v>
      </c>
      <c r="B78" s="69" t="s">
        <v>113</v>
      </c>
      <c r="C78" s="68">
        <f>IF([11]С2.3!E27&gt;0,[11]С2.3!E27,[11]С2.3!E17)</f>
        <v>31684</v>
      </c>
    </row>
    <row r="79" spans="1:3" ht="17.25" x14ac:dyDescent="0.2">
      <c r="A79" s="59" t="s">
        <v>114</v>
      </c>
      <c r="B79" s="33" t="s">
        <v>115</v>
      </c>
      <c r="C79" s="35">
        <f>[11]С2!F29</f>
        <v>9.5962865259740182E-2</v>
      </c>
    </row>
    <row r="80" spans="1:3" ht="30" x14ac:dyDescent="0.2">
      <c r="A80" s="59" t="s">
        <v>116</v>
      </c>
      <c r="B80" s="53" t="s">
        <v>117</v>
      </c>
      <c r="C80" s="70">
        <f>[11]С2!F30</f>
        <v>8.4029304029304031E-2</v>
      </c>
    </row>
    <row r="81" spans="1:3" ht="17.25" x14ac:dyDescent="0.2">
      <c r="A81" s="59" t="s">
        <v>118</v>
      </c>
      <c r="B81" s="71" t="s">
        <v>119</v>
      </c>
      <c r="C81" s="35">
        <f>[11]С2!F31</f>
        <v>0.13880000000000001</v>
      </c>
    </row>
    <row r="82" spans="1:3" s="63" customFormat="1" ht="18" thickBot="1" x14ac:dyDescent="0.25">
      <c r="A82" s="72" t="s">
        <v>120</v>
      </c>
      <c r="B82" s="73" t="s">
        <v>121</v>
      </c>
      <c r="C82" s="74">
        <f>[11]С2!F32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[11]С3!F14</f>
        <v>6117.6201782637581</v>
      </c>
    </row>
    <row r="86" spans="1:3" s="63" customFormat="1" ht="42.75" x14ac:dyDescent="0.2">
      <c r="A86" s="77" t="s">
        <v>126</v>
      </c>
      <c r="B86" s="53" t="s">
        <v>127</v>
      </c>
      <c r="C86" s="78">
        <f>[11]С3!F15</f>
        <v>0.2</v>
      </c>
    </row>
    <row r="87" spans="1:3" s="63" customFormat="1" ht="14.25" x14ac:dyDescent="0.2">
      <c r="A87" s="77" t="s">
        <v>128</v>
      </c>
      <c r="B87" s="79" t="s">
        <v>129</v>
      </c>
      <c r="C87" s="62">
        <f>[11]С3!F18</f>
        <v>15</v>
      </c>
    </row>
    <row r="88" spans="1:3" s="63" customFormat="1" ht="17.25" x14ac:dyDescent="0.2">
      <c r="A88" s="77" t="s">
        <v>130</v>
      </c>
      <c r="B88" s="33" t="s">
        <v>131</v>
      </c>
      <c r="C88" s="34">
        <f>[11]С3!F19</f>
        <v>3778.1614077800232</v>
      </c>
    </row>
    <row r="89" spans="1:3" s="63" customFormat="1" ht="55.5" x14ac:dyDescent="0.2">
      <c r="A89" s="77" t="s">
        <v>132</v>
      </c>
      <c r="B89" s="53" t="s">
        <v>133</v>
      </c>
      <c r="C89" s="80">
        <f>[11]С3!F20</f>
        <v>2.1999999999999999E-2</v>
      </c>
    </row>
    <row r="90" spans="1:3" s="63" customFormat="1" ht="14.25" x14ac:dyDescent="0.2">
      <c r="A90" s="77" t="s">
        <v>134</v>
      </c>
      <c r="B90" s="58" t="s">
        <v>80</v>
      </c>
      <c r="C90" s="62">
        <f>[11]С3!F21</f>
        <v>10</v>
      </c>
    </row>
    <row r="91" spans="1:3" s="63" customFormat="1" ht="17.25" x14ac:dyDescent="0.2">
      <c r="A91" s="77" t="s">
        <v>135</v>
      </c>
      <c r="B91" s="33" t="s">
        <v>136</v>
      </c>
      <c r="C91" s="34">
        <f>[11]С3!F22</f>
        <v>8.3423602855286667</v>
      </c>
    </row>
    <row r="92" spans="1:3" s="63" customFormat="1" ht="55.5" x14ac:dyDescent="0.2">
      <c r="A92" s="77" t="s">
        <v>137</v>
      </c>
      <c r="B92" s="53" t="s">
        <v>138</v>
      </c>
      <c r="C92" s="80">
        <f>[11]С3!F23</f>
        <v>3.0000000000000001E-3</v>
      </c>
    </row>
    <row r="93" spans="1:3" s="63" customFormat="1" ht="27.75" thickBot="1" x14ac:dyDescent="0.25">
      <c r="A93" s="81" t="s">
        <v>139</v>
      </c>
      <c r="B93" s="82" t="s">
        <v>140</v>
      </c>
      <c r="C93" s="83">
        <f>[11]С3!F24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[11]С4!F16</f>
        <v>1652.5</v>
      </c>
    </row>
    <row r="97" spans="1:3" ht="30" x14ac:dyDescent="0.2">
      <c r="A97" s="59" t="s">
        <v>145</v>
      </c>
      <c r="B97" s="58" t="s">
        <v>146</v>
      </c>
      <c r="C97" s="34">
        <f>[11]С4!F17</f>
        <v>73547</v>
      </c>
    </row>
    <row r="98" spans="1:3" ht="17.25" x14ac:dyDescent="0.2">
      <c r="A98" s="59" t="s">
        <v>147</v>
      </c>
      <c r="B98" s="58" t="s">
        <v>148</v>
      </c>
      <c r="C98" s="40">
        <f>[11]С4!F18</f>
        <v>0.02</v>
      </c>
    </row>
    <row r="99" spans="1:3" ht="30" x14ac:dyDescent="0.2">
      <c r="A99" s="59" t="s">
        <v>149</v>
      </c>
      <c r="B99" s="58" t="s">
        <v>150</v>
      </c>
      <c r="C99" s="34">
        <f>[11]С4!F19</f>
        <v>12104</v>
      </c>
    </row>
    <row r="100" spans="1:3" ht="31.5" x14ac:dyDescent="0.2">
      <c r="A100" s="59" t="s">
        <v>151</v>
      </c>
      <c r="B100" s="58" t="s">
        <v>152</v>
      </c>
      <c r="C100" s="40">
        <f>[11]С4!F20</f>
        <v>1.4999999999999999E-2</v>
      </c>
    </row>
    <row r="101" spans="1:3" ht="30" x14ac:dyDescent="0.2">
      <c r="A101" s="59" t="s">
        <v>153</v>
      </c>
      <c r="B101" s="33" t="s">
        <v>154</v>
      </c>
      <c r="C101" s="34">
        <f>[11]С4!F21</f>
        <v>1933.1949342509995</v>
      </c>
    </row>
    <row r="102" spans="1:3" ht="24" customHeight="1" x14ac:dyDescent="0.2">
      <c r="A102" s="59" t="s">
        <v>155</v>
      </c>
      <c r="B102" s="53" t="s">
        <v>156</v>
      </c>
      <c r="C102" s="85">
        <f>IF([11]С4.2!F8="да",[11]С4.2!D21,[11]С4.2!D15)</f>
        <v>0</v>
      </c>
    </row>
    <row r="103" spans="1:3" ht="68.25" x14ac:dyDescent="0.2">
      <c r="A103" s="59" t="s">
        <v>157</v>
      </c>
      <c r="B103" s="53" t="s">
        <v>158</v>
      </c>
      <c r="C103" s="34">
        <f>[11]С4!F22</f>
        <v>3.6112641666666665</v>
      </c>
    </row>
    <row r="104" spans="1:3" ht="30" x14ac:dyDescent="0.2">
      <c r="A104" s="59" t="s">
        <v>159</v>
      </c>
      <c r="B104" s="58" t="s">
        <v>160</v>
      </c>
      <c r="C104" s="34">
        <f>[11]С4!F23</f>
        <v>180</v>
      </c>
    </row>
    <row r="105" spans="1:3" ht="14.25" x14ac:dyDescent="0.2">
      <c r="A105" s="59" t="s">
        <v>161</v>
      </c>
      <c r="B105" s="53" t="s">
        <v>162</v>
      </c>
      <c r="C105" s="34">
        <f>[11]С4!F24</f>
        <v>8497.1999999999989</v>
      </c>
    </row>
    <row r="106" spans="1:3" ht="14.25" x14ac:dyDescent="0.2">
      <c r="A106" s="59" t="s">
        <v>163</v>
      </c>
      <c r="B106" s="58" t="s">
        <v>164</v>
      </c>
      <c r="C106" s="40">
        <f>[11]С4!F25</f>
        <v>0.35</v>
      </c>
    </row>
    <row r="107" spans="1:3" ht="17.25" x14ac:dyDescent="0.2">
      <c r="A107" s="59" t="s">
        <v>165</v>
      </c>
      <c r="B107" s="33" t="s">
        <v>166</v>
      </c>
      <c r="C107" s="34">
        <f>[11]С4!F26</f>
        <v>85.988129999999998</v>
      </c>
    </row>
    <row r="108" spans="1:3" ht="25.5" x14ac:dyDescent="0.2">
      <c r="A108" s="59" t="s">
        <v>167</v>
      </c>
      <c r="B108" s="53" t="s">
        <v>94</v>
      </c>
      <c r="C108" s="85">
        <f>[11]С4.3!E16</f>
        <v>0</v>
      </c>
    </row>
    <row r="109" spans="1:3" ht="25.5" x14ac:dyDescent="0.2">
      <c r="A109" s="59" t="s">
        <v>168</v>
      </c>
      <c r="B109" s="53" t="s">
        <v>169</v>
      </c>
      <c r="C109" s="34">
        <f>[11]С4.3!E17</f>
        <v>20.350000000000001</v>
      </c>
    </row>
    <row r="110" spans="1:3" ht="38.25" x14ac:dyDescent="0.2">
      <c r="A110" s="59" t="s">
        <v>170</v>
      </c>
      <c r="B110" s="53" t="s">
        <v>106</v>
      </c>
      <c r="C110" s="85">
        <f>[11]С4.3!E18</f>
        <v>0</v>
      </c>
    </row>
    <row r="111" spans="1:3" x14ac:dyDescent="0.2">
      <c r="A111" s="59" t="s">
        <v>171</v>
      </c>
      <c r="B111" s="53" t="s">
        <v>172</v>
      </c>
      <c r="C111" s="34">
        <f>[11]С4.3!E19</f>
        <v>71.67</v>
      </c>
    </row>
    <row r="112" spans="1:3" x14ac:dyDescent="0.2">
      <c r="A112" s="59" t="s">
        <v>173</v>
      </c>
      <c r="B112" s="58" t="s">
        <v>174</v>
      </c>
      <c r="C112" s="34">
        <f>[11]С4.3!E11</f>
        <v>1871</v>
      </c>
    </row>
    <row r="113" spans="1:3" x14ac:dyDescent="0.2">
      <c r="A113" s="59" t="s">
        <v>175</v>
      </c>
      <c r="B113" s="58" t="s">
        <v>176</v>
      </c>
      <c r="C113" s="52">
        <f>[11]С4.3!E12</f>
        <v>1636</v>
      </c>
    </row>
    <row r="114" spans="1:3" x14ac:dyDescent="0.2">
      <c r="A114" s="59" t="s">
        <v>177</v>
      </c>
      <c r="B114" s="58" t="s">
        <v>178</v>
      </c>
      <c r="C114" s="52">
        <f>[11]С4.3!E13</f>
        <v>204</v>
      </c>
    </row>
    <row r="115" spans="1:3" ht="30" x14ac:dyDescent="0.2">
      <c r="A115" s="59" t="s">
        <v>179</v>
      </c>
      <c r="B115" s="33" t="s">
        <v>180</v>
      </c>
      <c r="C115" s="34">
        <f>[11]С4!F27</f>
        <v>1291.2863994686898</v>
      </c>
    </row>
    <row r="116" spans="1:3" ht="25.5" x14ac:dyDescent="0.2">
      <c r="A116" s="59" t="s">
        <v>181</v>
      </c>
      <c r="B116" s="53" t="s">
        <v>182</v>
      </c>
      <c r="C116" s="34">
        <f>[11]С4!F28</f>
        <v>991.77142816335618</v>
      </c>
    </row>
    <row r="117" spans="1:3" ht="42.75" x14ac:dyDescent="0.2">
      <c r="A117" s="59" t="s">
        <v>183</v>
      </c>
      <c r="B117" s="53" t="s">
        <v>184</v>
      </c>
      <c r="C117" s="34">
        <f>[11]С4!F29</f>
        <v>299.51497130533357</v>
      </c>
    </row>
    <row r="118" spans="1:3" ht="30" x14ac:dyDescent="0.2">
      <c r="A118" s="59" t="s">
        <v>185</v>
      </c>
      <c r="B118" s="39" t="s">
        <v>186</v>
      </c>
      <c r="C118" s="34">
        <f>[11]С4!F30</f>
        <v>1846.1709738656207</v>
      </c>
    </row>
    <row r="119" spans="1:3" ht="42.75" x14ac:dyDescent="0.2">
      <c r="A119" s="59" t="s">
        <v>187</v>
      </c>
      <c r="B119" s="86" t="s">
        <v>188</v>
      </c>
      <c r="C119" s="34">
        <f>[11]С4!F33</f>
        <v>1124.091225525967</v>
      </c>
    </row>
    <row r="120" spans="1:3" ht="30" x14ac:dyDescent="0.2">
      <c r="A120" s="59" t="s">
        <v>189</v>
      </c>
      <c r="B120" s="87" t="s">
        <v>190</v>
      </c>
      <c r="C120" s="34">
        <f>[11]С4!F35</f>
        <v>17.040680999999999</v>
      </c>
    </row>
    <row r="121" spans="1:3" ht="14.25" x14ac:dyDescent="0.2">
      <c r="A121" s="59" t="s">
        <v>191</v>
      </c>
      <c r="B121" s="56" t="s">
        <v>192</v>
      </c>
      <c r="C121" s="34">
        <f>[11]С4!F36</f>
        <v>14319.9</v>
      </c>
    </row>
    <row r="122" spans="1:3" ht="28.5" thickBot="1" x14ac:dyDescent="0.25">
      <c r="A122" s="72" t="s">
        <v>193</v>
      </c>
      <c r="B122" s="88" t="s">
        <v>194</v>
      </c>
      <c r="C122" s="83">
        <f>[11]С4!F37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[11]С5!F17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[11]С2!F37</f>
        <v>20.818139999999996</v>
      </c>
    </row>
    <row r="136" spans="1:4" ht="14.25" x14ac:dyDescent="0.2">
      <c r="A136" s="59" t="s">
        <v>216</v>
      </c>
      <c r="B136" s="101" t="s">
        <v>217</v>
      </c>
      <c r="C136" s="34">
        <f>[11]С2!F38</f>
        <v>7</v>
      </c>
    </row>
    <row r="137" spans="1:4" ht="17.25" x14ac:dyDescent="0.2">
      <c r="A137" s="59" t="s">
        <v>218</v>
      </c>
      <c r="B137" s="101" t="s">
        <v>219</v>
      </c>
      <c r="C137" s="34">
        <f>[11]С2!F40</f>
        <v>0.97</v>
      </c>
    </row>
    <row r="138" spans="1:4" ht="15" thickBot="1" x14ac:dyDescent="0.25">
      <c r="A138" s="72" t="s">
        <v>220</v>
      </c>
      <c r="B138" s="102" t="s">
        <v>221</v>
      </c>
      <c r="C138" s="46">
        <f>[11]С2!F42</f>
        <v>0.35</v>
      </c>
    </row>
    <row r="139" spans="1:4" s="89" customFormat="1" ht="13.5" thickBot="1" x14ac:dyDescent="0.25">
      <c r="A139" s="47"/>
      <c r="B139" s="75"/>
      <c r="C139" s="15"/>
    </row>
    <row r="140" spans="1:4" ht="30" x14ac:dyDescent="0.2">
      <c r="A140" s="84" t="s">
        <v>222</v>
      </c>
      <c r="B140" s="103" t="s">
        <v>223</v>
      </c>
      <c r="C140" s="104">
        <f>[11]С2!F35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[11]С2.5!$E$11</f>
        <v>-2.9000000000000026E-2</v>
      </c>
      <c r="D143" s="89"/>
    </row>
    <row r="144" spans="1:4" x14ac:dyDescent="0.2">
      <c r="A144" s="105"/>
      <c r="B144" s="110">
        <f>B143+1</f>
        <v>2021</v>
      </c>
      <c r="C144" s="111">
        <f>[11]С2.5!$F$11</f>
        <v>0.245</v>
      </c>
      <c r="D144" s="89"/>
    </row>
    <row r="145" spans="1:4" x14ac:dyDescent="0.2">
      <c r="A145" s="105"/>
      <c r="B145" s="110">
        <f t="shared" ref="B145:B208" si="0">B144+1</f>
        <v>2022</v>
      </c>
      <c r="C145" s="111">
        <f>[11]С2.5!$G$11</f>
        <v>0.114</v>
      </c>
      <c r="D145" s="89"/>
    </row>
    <row r="146" spans="1:4" ht="13.5" thickBot="1" x14ac:dyDescent="0.25">
      <c r="A146" s="105"/>
      <c r="B146" s="112">
        <f t="shared" si="0"/>
        <v>2023</v>
      </c>
      <c r="C146" s="113">
        <f>[11]С2.5!$H$11</f>
        <v>2.4E-2</v>
      </c>
      <c r="D146" s="89"/>
    </row>
    <row r="147" spans="1:4" x14ac:dyDescent="0.2">
      <c r="A147" s="105"/>
      <c r="B147" s="114">
        <f t="shared" si="0"/>
        <v>2024</v>
      </c>
      <c r="C147" s="115">
        <f>[11]С2.5!$I$11</f>
        <v>8.5999999999999993E-2</v>
      </c>
      <c r="D147" s="89"/>
    </row>
    <row r="148" spans="1:4" hidden="1" x14ac:dyDescent="0.2">
      <c r="A148" s="105"/>
      <c r="B148" s="110">
        <f t="shared" si="0"/>
        <v>2025</v>
      </c>
      <c r="C148" s="111">
        <f>[11]С2.5!$J$11</f>
        <v>0.21215960863291</v>
      </c>
      <c r="D148" s="89"/>
    </row>
    <row r="149" spans="1:4" hidden="1" x14ac:dyDescent="0.2">
      <c r="A149" s="105"/>
      <c r="B149" s="110">
        <f t="shared" si="0"/>
        <v>2026</v>
      </c>
      <c r="C149" s="111">
        <f>[11]С2.5!$K$11</f>
        <v>3.5813361771260002E-2</v>
      </c>
      <c r="D149" s="89"/>
    </row>
    <row r="150" spans="1:4" hidden="1" x14ac:dyDescent="0.2">
      <c r="A150" s="105"/>
      <c r="B150" s="110">
        <f t="shared" si="0"/>
        <v>2027</v>
      </c>
      <c r="C150" s="111">
        <f>[11]С2.5!$L$11</f>
        <v>3.2682303599220003E-2</v>
      </c>
      <c r="D150" s="89"/>
    </row>
    <row r="151" spans="1:4" hidden="1" x14ac:dyDescent="0.2">
      <c r="A151" s="105"/>
      <c r="B151" s="110">
        <f t="shared" si="0"/>
        <v>2028</v>
      </c>
      <c r="C151" s="111">
        <f>[11]С2.5!$M$11</f>
        <v>0</v>
      </c>
      <c r="D151" s="89"/>
    </row>
    <row r="152" spans="1:4" hidden="1" x14ac:dyDescent="0.2">
      <c r="A152" s="105"/>
      <c r="B152" s="110">
        <f t="shared" si="0"/>
        <v>2029</v>
      </c>
      <c r="C152" s="111">
        <f>[11]С2.5!$N$11</f>
        <v>0</v>
      </c>
      <c r="D152" s="89"/>
    </row>
    <row r="153" spans="1:4" hidden="1" x14ac:dyDescent="0.2">
      <c r="A153" s="105"/>
      <c r="B153" s="110">
        <f t="shared" si="0"/>
        <v>2030</v>
      </c>
      <c r="C153" s="111">
        <f>[11]С2.5!$O$11</f>
        <v>0</v>
      </c>
      <c r="D153" s="89"/>
    </row>
    <row r="154" spans="1:4" hidden="1" x14ac:dyDescent="0.2">
      <c r="A154" s="105"/>
      <c r="B154" s="110">
        <f t="shared" si="0"/>
        <v>2031</v>
      </c>
      <c r="C154" s="111">
        <f>[11]С2.5!$P$11</f>
        <v>0</v>
      </c>
      <c r="D154" s="89"/>
    </row>
    <row r="155" spans="1:4" hidden="1" x14ac:dyDescent="0.2">
      <c r="A155" s="89"/>
      <c r="B155" s="110">
        <f t="shared" si="0"/>
        <v>2032</v>
      </c>
      <c r="C155" s="111">
        <f>[11]С2.5!$Q$11</f>
        <v>0</v>
      </c>
      <c r="D155" s="89"/>
    </row>
    <row r="156" spans="1:4" hidden="1" x14ac:dyDescent="0.2">
      <c r="A156" s="89"/>
      <c r="B156" s="110">
        <f t="shared" si="0"/>
        <v>2033</v>
      </c>
      <c r="C156" s="111">
        <f>[11]С2.5!$R$11</f>
        <v>0</v>
      </c>
      <c r="D156" s="89"/>
    </row>
    <row r="157" spans="1:4" hidden="1" x14ac:dyDescent="0.2">
      <c r="B157" s="110">
        <f t="shared" si="0"/>
        <v>2034</v>
      </c>
      <c r="C157" s="111">
        <f>[11]С2.5!$S$11</f>
        <v>0</v>
      </c>
    </row>
    <row r="158" spans="1:4" hidden="1" x14ac:dyDescent="0.2">
      <c r="B158" s="110">
        <f t="shared" si="0"/>
        <v>2035</v>
      </c>
      <c r="C158" s="111">
        <f>[11]С2.5!$T$11</f>
        <v>0</v>
      </c>
    </row>
    <row r="159" spans="1:4" hidden="1" x14ac:dyDescent="0.2">
      <c r="B159" s="110">
        <f t="shared" si="0"/>
        <v>2036</v>
      </c>
      <c r="C159" s="111">
        <f>[11]С2.5!$U$11</f>
        <v>0</v>
      </c>
    </row>
    <row r="160" spans="1:4" hidden="1" x14ac:dyDescent="0.2">
      <c r="B160" s="110">
        <f t="shared" si="0"/>
        <v>2037</v>
      </c>
      <c r="C160" s="111">
        <f>[11]С2.5!$V$11</f>
        <v>0</v>
      </c>
    </row>
    <row r="161" spans="2:3" hidden="1" x14ac:dyDescent="0.2">
      <c r="B161" s="110">
        <f t="shared" si="0"/>
        <v>2038</v>
      </c>
      <c r="C161" s="111">
        <f>[11]С2.5!$W$11</f>
        <v>0</v>
      </c>
    </row>
    <row r="162" spans="2:3" hidden="1" x14ac:dyDescent="0.2">
      <c r="B162" s="110">
        <f t="shared" si="0"/>
        <v>2039</v>
      </c>
      <c r="C162" s="111">
        <f>[11]С2.5!$X$11</f>
        <v>0</v>
      </c>
    </row>
    <row r="163" spans="2:3" hidden="1" x14ac:dyDescent="0.2">
      <c r="B163" s="110">
        <f t="shared" si="0"/>
        <v>2040</v>
      </c>
      <c r="C163" s="111">
        <f>[11]С2.5!$Y$11</f>
        <v>0</v>
      </c>
    </row>
    <row r="164" spans="2:3" hidden="1" x14ac:dyDescent="0.2">
      <c r="B164" s="110">
        <f t="shared" si="0"/>
        <v>2041</v>
      </c>
      <c r="C164" s="111">
        <f>[11]С2.5!$Z$11</f>
        <v>0</v>
      </c>
    </row>
    <row r="165" spans="2:3" hidden="1" x14ac:dyDescent="0.2">
      <c r="B165" s="110">
        <f t="shared" si="0"/>
        <v>2042</v>
      </c>
      <c r="C165" s="111">
        <f>[11]С2.5!$AA$11</f>
        <v>0</v>
      </c>
    </row>
    <row r="166" spans="2:3" hidden="1" x14ac:dyDescent="0.2">
      <c r="B166" s="110">
        <f t="shared" si="0"/>
        <v>2043</v>
      </c>
      <c r="C166" s="111">
        <f>[11]С2.5!$AB$11</f>
        <v>0</v>
      </c>
    </row>
    <row r="167" spans="2:3" hidden="1" x14ac:dyDescent="0.2">
      <c r="B167" s="110">
        <f t="shared" si="0"/>
        <v>2044</v>
      </c>
      <c r="C167" s="111">
        <f>[11]С2.5!$AC$11</f>
        <v>0</v>
      </c>
    </row>
    <row r="168" spans="2:3" hidden="1" x14ac:dyDescent="0.2">
      <c r="B168" s="110">
        <f t="shared" si="0"/>
        <v>2045</v>
      </c>
      <c r="C168" s="111">
        <f>[11]С2.5!$AD$11</f>
        <v>0</v>
      </c>
    </row>
    <row r="169" spans="2:3" hidden="1" x14ac:dyDescent="0.2">
      <c r="B169" s="110">
        <f t="shared" si="0"/>
        <v>2046</v>
      </c>
      <c r="C169" s="111">
        <f>[11]С2.5!$AE$11</f>
        <v>0</v>
      </c>
    </row>
    <row r="170" spans="2:3" hidden="1" x14ac:dyDescent="0.2">
      <c r="B170" s="110">
        <f t="shared" si="0"/>
        <v>2047</v>
      </c>
      <c r="C170" s="111">
        <f>[11]С2.5!$AF$11</f>
        <v>0</v>
      </c>
    </row>
    <row r="171" spans="2:3" hidden="1" x14ac:dyDescent="0.2">
      <c r="B171" s="110">
        <f t="shared" si="0"/>
        <v>2048</v>
      </c>
      <c r="C171" s="111">
        <f>[11]С2.5!$AG$11</f>
        <v>0</v>
      </c>
    </row>
    <row r="172" spans="2:3" hidden="1" x14ac:dyDescent="0.2">
      <c r="B172" s="110">
        <f t="shared" si="0"/>
        <v>2049</v>
      </c>
      <c r="C172" s="111">
        <f>[11]С2.5!$AH$11</f>
        <v>0</v>
      </c>
    </row>
    <row r="173" spans="2:3" hidden="1" x14ac:dyDescent="0.2">
      <c r="B173" s="110">
        <f t="shared" si="0"/>
        <v>2050</v>
      </c>
      <c r="C173" s="111">
        <f>[11]С2.5!$AI$11</f>
        <v>0</v>
      </c>
    </row>
    <row r="174" spans="2:3" hidden="1" x14ac:dyDescent="0.2">
      <c r="B174" s="110">
        <f t="shared" si="0"/>
        <v>2051</v>
      </c>
      <c r="C174" s="111">
        <f>[11]С2.5!$AJ$11</f>
        <v>0</v>
      </c>
    </row>
    <row r="175" spans="2:3" hidden="1" x14ac:dyDescent="0.2">
      <c r="B175" s="110">
        <f t="shared" si="0"/>
        <v>2052</v>
      </c>
      <c r="C175" s="111">
        <f>[11]С2.5!$AK$11</f>
        <v>0</v>
      </c>
    </row>
    <row r="176" spans="2:3" hidden="1" x14ac:dyDescent="0.2">
      <c r="B176" s="110">
        <f t="shared" si="0"/>
        <v>2053</v>
      </c>
      <c r="C176" s="111">
        <f>[11]С2.5!$AL$11</f>
        <v>0</v>
      </c>
    </row>
    <row r="177" spans="2:3" hidden="1" x14ac:dyDescent="0.2">
      <c r="B177" s="110">
        <f t="shared" si="0"/>
        <v>2054</v>
      </c>
      <c r="C177" s="111">
        <f>[11]С2.5!$AM$11</f>
        <v>0</v>
      </c>
    </row>
    <row r="178" spans="2:3" hidden="1" x14ac:dyDescent="0.2">
      <c r="B178" s="110">
        <f t="shared" si="0"/>
        <v>2055</v>
      </c>
      <c r="C178" s="111">
        <f>[11]С2.5!$AN$11</f>
        <v>0</v>
      </c>
    </row>
    <row r="179" spans="2:3" hidden="1" x14ac:dyDescent="0.2">
      <c r="B179" s="110">
        <f t="shared" si="0"/>
        <v>2056</v>
      </c>
      <c r="C179" s="111">
        <f>[11]С2.5!$AO$11</f>
        <v>0</v>
      </c>
    </row>
    <row r="180" spans="2:3" hidden="1" x14ac:dyDescent="0.2">
      <c r="B180" s="110">
        <f t="shared" si="0"/>
        <v>2057</v>
      </c>
      <c r="C180" s="111">
        <f>[11]С2.5!$AP$11</f>
        <v>0</v>
      </c>
    </row>
    <row r="181" spans="2:3" hidden="1" x14ac:dyDescent="0.2">
      <c r="B181" s="110">
        <f t="shared" si="0"/>
        <v>2058</v>
      </c>
      <c r="C181" s="111">
        <f>[11]С2.5!$AQ$11</f>
        <v>0</v>
      </c>
    </row>
    <row r="182" spans="2:3" hidden="1" x14ac:dyDescent="0.2">
      <c r="B182" s="110">
        <f t="shared" si="0"/>
        <v>2059</v>
      </c>
      <c r="C182" s="111">
        <f>[11]С2.5!$AR$11</f>
        <v>0</v>
      </c>
    </row>
    <row r="183" spans="2:3" hidden="1" x14ac:dyDescent="0.2">
      <c r="B183" s="110">
        <f t="shared" si="0"/>
        <v>2060</v>
      </c>
      <c r="C183" s="111">
        <f>[11]С2.5!$AS$11</f>
        <v>0</v>
      </c>
    </row>
    <row r="184" spans="2:3" hidden="1" x14ac:dyDescent="0.2">
      <c r="B184" s="110">
        <f t="shared" si="0"/>
        <v>2061</v>
      </c>
      <c r="C184" s="111">
        <f>[11]С2.5!$AT$11</f>
        <v>0</v>
      </c>
    </row>
    <row r="185" spans="2:3" hidden="1" x14ac:dyDescent="0.2">
      <c r="B185" s="110">
        <f t="shared" si="0"/>
        <v>2062</v>
      </c>
      <c r="C185" s="111">
        <f>[11]С2.5!$AU$11</f>
        <v>0</v>
      </c>
    </row>
    <row r="186" spans="2:3" hidden="1" x14ac:dyDescent="0.2">
      <c r="B186" s="110">
        <f t="shared" si="0"/>
        <v>2063</v>
      </c>
      <c r="C186" s="111">
        <f>[11]С2.5!$AV$11</f>
        <v>0</v>
      </c>
    </row>
    <row r="187" spans="2:3" hidden="1" x14ac:dyDescent="0.2">
      <c r="B187" s="110">
        <f t="shared" si="0"/>
        <v>2064</v>
      </c>
      <c r="C187" s="111">
        <f>[11]С2.5!$AW$11</f>
        <v>0</v>
      </c>
    </row>
    <row r="188" spans="2:3" hidden="1" x14ac:dyDescent="0.2">
      <c r="B188" s="110">
        <f t="shared" si="0"/>
        <v>2065</v>
      </c>
      <c r="C188" s="111">
        <f>[11]С2.5!$AX$11</f>
        <v>0</v>
      </c>
    </row>
    <row r="189" spans="2:3" hidden="1" x14ac:dyDescent="0.2">
      <c r="B189" s="110">
        <f t="shared" si="0"/>
        <v>2066</v>
      </c>
      <c r="C189" s="111">
        <f>[11]С2.5!$AY$11</f>
        <v>0</v>
      </c>
    </row>
    <row r="190" spans="2:3" hidden="1" x14ac:dyDescent="0.2">
      <c r="B190" s="110">
        <f t="shared" si="0"/>
        <v>2067</v>
      </c>
      <c r="C190" s="111">
        <f>[11]С2.5!$AZ$11</f>
        <v>0</v>
      </c>
    </row>
    <row r="191" spans="2:3" hidden="1" x14ac:dyDescent="0.2">
      <c r="B191" s="110">
        <f t="shared" si="0"/>
        <v>2068</v>
      </c>
      <c r="C191" s="111">
        <f>[11]С2.5!$BA$11</f>
        <v>0</v>
      </c>
    </row>
    <row r="192" spans="2:3" hidden="1" x14ac:dyDescent="0.2">
      <c r="B192" s="110">
        <f t="shared" si="0"/>
        <v>2069</v>
      </c>
      <c r="C192" s="111">
        <f>[11]С2.5!$BB$11</f>
        <v>0</v>
      </c>
    </row>
    <row r="193" spans="2:3" hidden="1" x14ac:dyDescent="0.2">
      <c r="B193" s="110">
        <f t="shared" si="0"/>
        <v>2070</v>
      </c>
      <c r="C193" s="111">
        <f>[11]С2.5!$BC$11</f>
        <v>0</v>
      </c>
    </row>
    <row r="194" spans="2:3" hidden="1" x14ac:dyDescent="0.2">
      <c r="B194" s="110">
        <f t="shared" si="0"/>
        <v>2071</v>
      </c>
      <c r="C194" s="111">
        <f>[11]С2.5!$BD$11</f>
        <v>0</v>
      </c>
    </row>
    <row r="195" spans="2:3" hidden="1" x14ac:dyDescent="0.2">
      <c r="B195" s="110">
        <f t="shared" si="0"/>
        <v>2072</v>
      </c>
      <c r="C195" s="111">
        <f>[11]С2.5!$BE$11</f>
        <v>0</v>
      </c>
    </row>
    <row r="196" spans="2:3" hidden="1" x14ac:dyDescent="0.2">
      <c r="B196" s="110">
        <f t="shared" si="0"/>
        <v>2073</v>
      </c>
      <c r="C196" s="111">
        <f>[11]С2.5!$BF$11</f>
        <v>0</v>
      </c>
    </row>
    <row r="197" spans="2:3" hidden="1" x14ac:dyDescent="0.2">
      <c r="B197" s="110">
        <f t="shared" si="0"/>
        <v>2074</v>
      </c>
      <c r="C197" s="111">
        <f>[11]С2.5!$BG$11</f>
        <v>0</v>
      </c>
    </row>
    <row r="198" spans="2:3" hidden="1" x14ac:dyDescent="0.2">
      <c r="B198" s="110">
        <f t="shared" si="0"/>
        <v>2075</v>
      </c>
      <c r="C198" s="111">
        <f>[11]С2.5!$BH$11</f>
        <v>0</v>
      </c>
    </row>
    <row r="199" spans="2:3" hidden="1" x14ac:dyDescent="0.2">
      <c r="B199" s="110">
        <f t="shared" si="0"/>
        <v>2076</v>
      </c>
      <c r="C199" s="111">
        <f>[11]С2.5!$BI$11</f>
        <v>0</v>
      </c>
    </row>
    <row r="200" spans="2:3" hidden="1" x14ac:dyDescent="0.2">
      <c r="B200" s="110">
        <f t="shared" si="0"/>
        <v>2077</v>
      </c>
      <c r="C200" s="111">
        <f>[11]С2.5!$BJ$11</f>
        <v>0</v>
      </c>
    </row>
    <row r="201" spans="2:3" hidden="1" x14ac:dyDescent="0.2">
      <c r="B201" s="110">
        <f t="shared" si="0"/>
        <v>2078</v>
      </c>
      <c r="C201" s="111">
        <f>[11]С2.5!$BK$11</f>
        <v>0</v>
      </c>
    </row>
    <row r="202" spans="2:3" hidden="1" x14ac:dyDescent="0.2">
      <c r="B202" s="110">
        <f t="shared" si="0"/>
        <v>2079</v>
      </c>
      <c r="C202" s="111">
        <f>[11]С2.5!$BL$11</f>
        <v>0</v>
      </c>
    </row>
    <row r="203" spans="2:3" hidden="1" x14ac:dyDescent="0.2">
      <c r="B203" s="110">
        <f t="shared" si="0"/>
        <v>2080</v>
      </c>
      <c r="C203" s="111">
        <f>[11]С2.5!$BM$11</f>
        <v>0</v>
      </c>
    </row>
    <row r="204" spans="2:3" hidden="1" x14ac:dyDescent="0.2">
      <c r="B204" s="110">
        <f t="shared" si="0"/>
        <v>2081</v>
      </c>
      <c r="C204" s="111">
        <f>[11]С2.5!$BN$11</f>
        <v>0</v>
      </c>
    </row>
    <row r="205" spans="2:3" hidden="1" x14ac:dyDescent="0.2">
      <c r="B205" s="110">
        <f t="shared" si="0"/>
        <v>2082</v>
      </c>
      <c r="C205" s="111">
        <f>[11]С2.5!$BO$11</f>
        <v>0</v>
      </c>
    </row>
    <row r="206" spans="2:3" hidden="1" x14ac:dyDescent="0.2">
      <c r="B206" s="110">
        <f t="shared" si="0"/>
        <v>2083</v>
      </c>
      <c r="C206" s="111">
        <f>[11]С2.5!$BP$11</f>
        <v>0</v>
      </c>
    </row>
    <row r="207" spans="2:3" hidden="1" x14ac:dyDescent="0.2">
      <c r="B207" s="110">
        <f t="shared" si="0"/>
        <v>2084</v>
      </c>
      <c r="C207" s="111">
        <f>[11]С2.5!$BQ$11</f>
        <v>0</v>
      </c>
    </row>
    <row r="208" spans="2:3" hidden="1" x14ac:dyDescent="0.2">
      <c r="B208" s="110">
        <f t="shared" si="0"/>
        <v>2085</v>
      </c>
      <c r="C208" s="111">
        <f>[11]С2.5!$BR$11</f>
        <v>0</v>
      </c>
    </row>
    <row r="209" spans="2:3" hidden="1" x14ac:dyDescent="0.2">
      <c r="B209" s="110">
        <f t="shared" ref="B209:B223" si="1">B208+1</f>
        <v>2086</v>
      </c>
      <c r="C209" s="111">
        <f>[11]С2.5!$BS$11</f>
        <v>0</v>
      </c>
    </row>
    <row r="210" spans="2:3" hidden="1" x14ac:dyDescent="0.2">
      <c r="B210" s="110">
        <f t="shared" si="1"/>
        <v>2087</v>
      </c>
      <c r="C210" s="111">
        <f>[11]С2.5!$BT$11</f>
        <v>0</v>
      </c>
    </row>
    <row r="211" spans="2:3" hidden="1" x14ac:dyDescent="0.2">
      <c r="B211" s="110">
        <f t="shared" si="1"/>
        <v>2088</v>
      </c>
      <c r="C211" s="111">
        <f>[11]С2.5!$BU$11</f>
        <v>0</v>
      </c>
    </row>
    <row r="212" spans="2:3" hidden="1" x14ac:dyDescent="0.2">
      <c r="B212" s="110">
        <f t="shared" si="1"/>
        <v>2089</v>
      </c>
      <c r="C212" s="111">
        <f>[11]С2.5!$BV$11</f>
        <v>0</v>
      </c>
    </row>
    <row r="213" spans="2:3" hidden="1" x14ac:dyDescent="0.2">
      <c r="B213" s="110">
        <f t="shared" si="1"/>
        <v>2090</v>
      </c>
      <c r="C213" s="111">
        <f>[11]С2.5!$BW$11</f>
        <v>0</v>
      </c>
    </row>
    <row r="214" spans="2:3" hidden="1" x14ac:dyDescent="0.2">
      <c r="B214" s="110">
        <f t="shared" si="1"/>
        <v>2091</v>
      </c>
      <c r="C214" s="111">
        <f>[11]С2.5!$BX$11</f>
        <v>0</v>
      </c>
    </row>
    <row r="215" spans="2:3" hidden="1" x14ac:dyDescent="0.2">
      <c r="B215" s="110">
        <f t="shared" si="1"/>
        <v>2092</v>
      </c>
      <c r="C215" s="111">
        <f>[11]С2.5!$BY$11</f>
        <v>0</v>
      </c>
    </row>
    <row r="216" spans="2:3" hidden="1" x14ac:dyDescent="0.2">
      <c r="B216" s="110">
        <f t="shared" si="1"/>
        <v>2093</v>
      </c>
      <c r="C216" s="111">
        <f>[11]С2.5!$BZ$11</f>
        <v>0</v>
      </c>
    </row>
    <row r="217" spans="2:3" hidden="1" x14ac:dyDescent="0.2">
      <c r="B217" s="110">
        <f t="shared" si="1"/>
        <v>2094</v>
      </c>
      <c r="C217" s="111">
        <f>[11]С2.5!$CA$11</f>
        <v>0</v>
      </c>
    </row>
    <row r="218" spans="2:3" hidden="1" x14ac:dyDescent="0.2">
      <c r="B218" s="110">
        <f t="shared" si="1"/>
        <v>2095</v>
      </c>
      <c r="C218" s="111">
        <f>[11]С2.5!$CB$11</f>
        <v>0</v>
      </c>
    </row>
    <row r="219" spans="2:3" hidden="1" x14ac:dyDescent="0.2">
      <c r="B219" s="110">
        <f t="shared" si="1"/>
        <v>2096</v>
      </c>
      <c r="C219" s="111">
        <f>[11]С2.5!$CC$11</f>
        <v>0</v>
      </c>
    </row>
    <row r="220" spans="2:3" hidden="1" x14ac:dyDescent="0.2">
      <c r="B220" s="110">
        <f t="shared" si="1"/>
        <v>2097</v>
      </c>
      <c r="C220" s="111">
        <f>[11]С2.5!$CD$11</f>
        <v>0</v>
      </c>
    </row>
    <row r="221" spans="2:3" hidden="1" x14ac:dyDescent="0.2">
      <c r="B221" s="110">
        <f t="shared" si="1"/>
        <v>2098</v>
      </c>
      <c r="C221" s="111">
        <f>[11]С2.5!$CE$11</f>
        <v>0</v>
      </c>
    </row>
    <row r="222" spans="2:3" hidden="1" x14ac:dyDescent="0.2">
      <c r="B222" s="110">
        <f t="shared" si="1"/>
        <v>2099</v>
      </c>
      <c r="C222" s="111">
        <f>[11]С2.5!$CF$11</f>
        <v>0</v>
      </c>
    </row>
    <row r="223" spans="2:3" ht="13.5" hidden="1" thickBot="1" x14ac:dyDescent="0.25">
      <c r="B223" s="112">
        <f t="shared" si="1"/>
        <v>2100</v>
      </c>
      <c r="C223" s="113">
        <f>[11]С2.5!$CG$11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0" r:id="rId4" name="Button 2">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[12]И1!D13</f>
        <v>Субъект Российской Федерации</v>
      </c>
      <c r="C4" s="10" t="str">
        <f>[12]И1!E13</f>
        <v>Новосибирская область</v>
      </c>
    </row>
    <row r="5" spans="1:3" ht="46.9" customHeight="1" x14ac:dyDescent="0.2">
      <c r="A5" s="8"/>
      <c r="B5" s="9" t="str">
        <f>[12]И1!D14</f>
        <v>Тип муниципального образования (выберите из списка)</v>
      </c>
      <c r="C5" s="10" t="str">
        <f>[12]И1!E14</f>
        <v xml:space="preserve">поселок Листвянский, Искитимский муниципальный район </v>
      </c>
    </row>
    <row r="6" spans="1:3" x14ac:dyDescent="0.2">
      <c r="A6" s="8"/>
      <c r="B6" s="9" t="str">
        <f>IF([12]И1!E15="","",[12]И1!D15)</f>
        <v/>
      </c>
      <c r="C6" s="10" t="str">
        <f>IF([12]И1!E15="","",[12]И1!E15)</f>
        <v/>
      </c>
    </row>
    <row r="7" spans="1:3" x14ac:dyDescent="0.2">
      <c r="A7" s="8"/>
      <c r="B7" s="9" t="str">
        <f>[12]И1!D16</f>
        <v>Код ОКТМО</v>
      </c>
      <c r="C7" s="11" t="str">
        <f>[12]И1!E16</f>
        <v>(50615415101)</v>
      </c>
    </row>
    <row r="8" spans="1:3" x14ac:dyDescent="0.2">
      <c r="A8" s="8"/>
      <c r="B8" s="12" t="str">
        <f>[12]И1!D17</f>
        <v>Система теплоснабжения</v>
      </c>
      <c r="C8" s="13">
        <f>[12]И1!E17</f>
        <v>0</v>
      </c>
    </row>
    <row r="9" spans="1:3" x14ac:dyDescent="0.2">
      <c r="A9" s="8"/>
      <c r="B9" s="9" t="str">
        <f>[12]И1!D8</f>
        <v>Период регулирования (i)-й</v>
      </c>
      <c r="C9" s="14">
        <f>[12]И1!E8</f>
        <v>2024</v>
      </c>
    </row>
    <row r="10" spans="1:3" x14ac:dyDescent="0.2">
      <c r="A10" s="8"/>
      <c r="B10" s="9" t="str">
        <f>[12]И1!D9</f>
        <v>Период регулирования (i-1)-й</v>
      </c>
      <c r="C10" s="14">
        <f>[12]И1!E9</f>
        <v>2023</v>
      </c>
    </row>
    <row r="11" spans="1:3" x14ac:dyDescent="0.2">
      <c r="A11" s="8"/>
      <c r="B11" s="9" t="str">
        <f>[12]И1!D10</f>
        <v>Период регулирования (i-2)-й</v>
      </c>
      <c r="C11" s="14">
        <f>[12]И1!E10</f>
        <v>2022</v>
      </c>
    </row>
    <row r="12" spans="1:3" x14ac:dyDescent="0.2">
      <c r="A12" s="8"/>
      <c r="B12" s="9" t="str">
        <f>[12]И1!D11</f>
        <v>Базовый год (б)</v>
      </c>
      <c r="C12" s="14">
        <f>[12]И1!E11</f>
        <v>2019</v>
      </c>
    </row>
    <row r="13" spans="1:3"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3609.4443644646935</v>
      </c>
    </row>
    <row r="18" spans="1:3" ht="42.75" x14ac:dyDescent="0.2">
      <c r="A18" s="22" t="s">
        <v>8</v>
      </c>
      <c r="B18" s="25" t="s">
        <v>9</v>
      </c>
      <c r="C18" s="26">
        <f>[12]С1!F12</f>
        <v>626.19211112710013</v>
      </c>
    </row>
    <row r="19" spans="1:3" ht="42.75" x14ac:dyDescent="0.2">
      <c r="A19" s="22" t="s">
        <v>10</v>
      </c>
      <c r="B19" s="25" t="s">
        <v>11</v>
      </c>
      <c r="C19" s="26">
        <f>[12]С2!F12</f>
        <v>2000.3680279558928</v>
      </c>
    </row>
    <row r="20" spans="1:3" ht="30" x14ac:dyDescent="0.2">
      <c r="A20" s="22" t="s">
        <v>12</v>
      </c>
      <c r="B20" s="25" t="s">
        <v>13</v>
      </c>
      <c r="C20" s="26">
        <f>[12]С3!F12</f>
        <v>475.74490066496389</v>
      </c>
    </row>
    <row r="21" spans="1:3" ht="42.75" x14ac:dyDescent="0.2">
      <c r="A21" s="22" t="s">
        <v>14</v>
      </c>
      <c r="B21" s="25" t="s">
        <v>15</v>
      </c>
      <c r="C21" s="26">
        <f>[12]С4!F12</f>
        <v>436.36590580566394</v>
      </c>
    </row>
    <row r="22" spans="1:3" ht="30" x14ac:dyDescent="0.2">
      <c r="A22" s="22" t="s">
        <v>16</v>
      </c>
      <c r="B22" s="25" t="s">
        <v>17</v>
      </c>
      <c r="C22" s="26">
        <f>[12]С5!F12</f>
        <v>70.773418911072426</v>
      </c>
    </row>
    <row r="23" spans="1:3" ht="43.5" thickBot="1" x14ac:dyDescent="0.25">
      <c r="A23" s="27" t="s">
        <v>18</v>
      </c>
      <c r="B23" s="140" t="s">
        <v>19</v>
      </c>
      <c r="C23" s="28" t="str">
        <f>[12]С6!F12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[12]С1.1!E16</f>
        <v>5100</v>
      </c>
    </row>
    <row r="29" spans="1:3" ht="42.75" x14ac:dyDescent="0.2">
      <c r="A29" s="22" t="s">
        <v>10</v>
      </c>
      <c r="B29" s="33" t="s">
        <v>22</v>
      </c>
      <c r="C29" s="34">
        <f>[12]С1.1!E27</f>
        <v>2813.5083333333337</v>
      </c>
    </row>
    <row r="30" spans="1:3" ht="17.25" x14ac:dyDescent="0.2">
      <c r="A30" s="22" t="s">
        <v>12</v>
      </c>
      <c r="B30" s="33" t="s">
        <v>23</v>
      </c>
      <c r="C30" s="35">
        <f>[12]С1.1!E19</f>
        <v>-0.19900000000000001</v>
      </c>
    </row>
    <row r="31" spans="1:3" ht="17.25" x14ac:dyDescent="0.2">
      <c r="A31" s="22" t="s">
        <v>14</v>
      </c>
      <c r="B31" s="33" t="s">
        <v>24</v>
      </c>
      <c r="C31" s="35">
        <f>[12]С1.1!E20</f>
        <v>5.7000000000000002E-2</v>
      </c>
    </row>
    <row r="32" spans="1:3" ht="30" x14ac:dyDescent="0.2">
      <c r="A32" s="22" t="s">
        <v>16</v>
      </c>
      <c r="B32" s="36" t="s">
        <v>25</v>
      </c>
      <c r="C32" s="37">
        <f>[12]С1!F13</f>
        <v>176.4</v>
      </c>
    </row>
    <row r="33" spans="1:3" x14ac:dyDescent="0.2">
      <c r="A33" s="22" t="s">
        <v>18</v>
      </c>
      <c r="B33" s="36" t="s">
        <v>26</v>
      </c>
      <c r="C33" s="38">
        <f>[12]С1!F16</f>
        <v>7000</v>
      </c>
    </row>
    <row r="34" spans="1:3" ht="14.25" x14ac:dyDescent="0.2">
      <c r="A34" s="22" t="s">
        <v>27</v>
      </c>
      <c r="B34" s="39" t="s">
        <v>28</v>
      </c>
      <c r="C34" s="40">
        <f>[12]С1!F17</f>
        <v>0.72857142857142854</v>
      </c>
    </row>
    <row r="35" spans="1:3" ht="15.75" x14ac:dyDescent="0.2">
      <c r="A35" s="41" t="s">
        <v>29</v>
      </c>
      <c r="B35" s="42" t="s">
        <v>30</v>
      </c>
      <c r="C35" s="40">
        <f>[12]С1!F20</f>
        <v>21.588411179999994</v>
      </c>
    </row>
    <row r="36" spans="1:3" ht="15.75" x14ac:dyDescent="0.2">
      <c r="A36" s="41" t="s">
        <v>31</v>
      </c>
      <c r="B36" s="43" t="s">
        <v>32</v>
      </c>
      <c r="C36" s="40">
        <f>[12]С1!F21</f>
        <v>20.818139999999996</v>
      </c>
    </row>
    <row r="37" spans="1:3" ht="14.25" x14ac:dyDescent="0.2">
      <c r="A37" s="41" t="s">
        <v>33</v>
      </c>
      <c r="B37" s="44" t="s">
        <v>34</v>
      </c>
      <c r="C37" s="40">
        <f>[12]С1!F22</f>
        <v>1.0369999999999999</v>
      </c>
    </row>
    <row r="38" spans="1:3" ht="53.25" thickBot="1" x14ac:dyDescent="0.25">
      <c r="A38" s="27" t="s">
        <v>35</v>
      </c>
      <c r="B38" s="45" t="s">
        <v>36</v>
      </c>
      <c r="C38" s="46">
        <f>[12]С1!F23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[12]С2.1!E12</f>
        <v>V</v>
      </c>
    </row>
    <row r="42" spans="1:3" ht="25.5" x14ac:dyDescent="0.2">
      <c r="A42" s="22" t="s">
        <v>41</v>
      </c>
      <c r="B42" s="33" t="s">
        <v>42</v>
      </c>
      <c r="C42" s="51" t="str">
        <f>[12]С2.1!E13</f>
        <v>6 и менее баллов</v>
      </c>
    </row>
    <row r="43" spans="1:3" ht="25.5" x14ac:dyDescent="0.2">
      <c r="A43" s="22" t="s">
        <v>43</v>
      </c>
      <c r="B43" s="33" t="s">
        <v>44</v>
      </c>
      <c r="C43" s="51" t="str">
        <f>[12]С2.1!E14</f>
        <v>от 200 до 500</v>
      </c>
    </row>
    <row r="44" spans="1:3" ht="25.5" x14ac:dyDescent="0.2">
      <c r="A44" s="22" t="s">
        <v>45</v>
      </c>
      <c r="B44" s="33" t="s">
        <v>46</v>
      </c>
      <c r="C44" s="52" t="str">
        <f>[12]С2.1!E15</f>
        <v>нет</v>
      </c>
    </row>
    <row r="45" spans="1:3" ht="30" x14ac:dyDescent="0.2">
      <c r="A45" s="22" t="s">
        <v>47</v>
      </c>
      <c r="B45" s="33" t="s">
        <v>48</v>
      </c>
      <c r="C45" s="34">
        <f>[12]С2!F18</f>
        <v>35106.652004551666</v>
      </c>
    </row>
    <row r="46" spans="1:3" ht="30" x14ac:dyDescent="0.2">
      <c r="A46" s="22" t="s">
        <v>49</v>
      </c>
      <c r="B46" s="53" t="s">
        <v>50</v>
      </c>
      <c r="C46" s="34">
        <f>IF([12]С2!F19&gt;0,[12]С2!F19,[12]С2!F20)</f>
        <v>23441.524932855718</v>
      </c>
    </row>
    <row r="47" spans="1:3" ht="25.5" x14ac:dyDescent="0.2">
      <c r="A47" s="22" t="s">
        <v>51</v>
      </c>
      <c r="B47" s="54" t="s">
        <v>52</v>
      </c>
      <c r="C47" s="34">
        <f>[12]С2.1!E19</f>
        <v>-38</v>
      </c>
    </row>
    <row r="48" spans="1:3" ht="25.5" x14ac:dyDescent="0.2">
      <c r="A48" s="22" t="s">
        <v>53</v>
      </c>
      <c r="B48" s="54" t="s">
        <v>54</v>
      </c>
      <c r="C48" s="34" t="str">
        <f>[12]С2.1!E22</f>
        <v>нет</v>
      </c>
    </row>
    <row r="49" spans="1:3" ht="38.25" x14ac:dyDescent="0.2">
      <c r="A49" s="22" t="s">
        <v>55</v>
      </c>
      <c r="B49" s="55" t="s">
        <v>56</v>
      </c>
      <c r="C49" s="34">
        <f>[12]С2.2!E10</f>
        <v>1287</v>
      </c>
    </row>
    <row r="50" spans="1:3" ht="25.5" x14ac:dyDescent="0.2">
      <c r="A50" s="22" t="s">
        <v>57</v>
      </c>
      <c r="B50" s="56" t="s">
        <v>58</v>
      </c>
      <c r="C50" s="34">
        <f>[12]С2.2!E12</f>
        <v>5.97</v>
      </c>
    </row>
    <row r="51" spans="1:3" ht="52.5" x14ac:dyDescent="0.2">
      <c r="A51" s="22" t="s">
        <v>59</v>
      </c>
      <c r="B51" s="57" t="s">
        <v>60</v>
      </c>
      <c r="C51" s="34">
        <f>[12]С2.2!E13</f>
        <v>1</v>
      </c>
    </row>
    <row r="52" spans="1:3" ht="27.75" x14ac:dyDescent="0.2">
      <c r="A52" s="22" t="s">
        <v>61</v>
      </c>
      <c r="B52" s="56" t="s">
        <v>62</v>
      </c>
      <c r="C52" s="34">
        <f>[12]С2.2!E14</f>
        <v>12104</v>
      </c>
    </row>
    <row r="53" spans="1:3" ht="25.5" x14ac:dyDescent="0.2">
      <c r="A53" s="22" t="s">
        <v>63</v>
      </c>
      <c r="B53" s="57" t="s">
        <v>64</v>
      </c>
      <c r="C53" s="35">
        <f>[12]С2.2!E15</f>
        <v>4.8000000000000001E-2</v>
      </c>
    </row>
    <row r="54" spans="1:3" x14ac:dyDescent="0.2">
      <c r="A54" s="22" t="s">
        <v>65</v>
      </c>
      <c r="B54" s="57" t="s">
        <v>66</v>
      </c>
      <c r="C54" s="34">
        <f>[12]С2.2!E16</f>
        <v>1</v>
      </c>
    </row>
    <row r="55" spans="1:3" ht="15.75" x14ac:dyDescent="0.2">
      <c r="A55" s="22" t="s">
        <v>67</v>
      </c>
      <c r="B55" s="58" t="s">
        <v>68</v>
      </c>
      <c r="C55" s="34">
        <f>[12]С2!F21</f>
        <v>1</v>
      </c>
    </row>
    <row r="56" spans="1:3" ht="30" x14ac:dyDescent="0.2">
      <c r="A56" s="59" t="s">
        <v>69</v>
      </c>
      <c r="B56" s="33" t="s">
        <v>70</v>
      </c>
      <c r="C56" s="34">
        <f>[12]С2!F13</f>
        <v>183796.83936385796</v>
      </c>
    </row>
    <row r="57" spans="1:3" ht="30" x14ac:dyDescent="0.2">
      <c r="A57" s="59" t="s">
        <v>71</v>
      </c>
      <c r="B57" s="58" t="s">
        <v>72</v>
      </c>
      <c r="C57" s="34">
        <f>[12]С2!F14</f>
        <v>113455</v>
      </c>
    </row>
    <row r="58" spans="1:3" ht="15.75" x14ac:dyDescent="0.2">
      <c r="A58" s="59" t="s">
        <v>73</v>
      </c>
      <c r="B58" s="60" t="s">
        <v>74</v>
      </c>
      <c r="C58" s="40">
        <f>[12]С2!F15</f>
        <v>1.071</v>
      </c>
    </row>
    <row r="59" spans="1:3" ht="15.75" x14ac:dyDescent="0.2">
      <c r="A59" s="59" t="s">
        <v>75</v>
      </c>
      <c r="B59" s="60" t="s">
        <v>76</v>
      </c>
      <c r="C59" s="40">
        <f>[12]С2!F16</f>
        <v>1</v>
      </c>
    </row>
    <row r="60" spans="1:3" ht="17.25" x14ac:dyDescent="0.2">
      <c r="A60" s="59" t="s">
        <v>77</v>
      </c>
      <c r="B60" s="58" t="s">
        <v>78</v>
      </c>
      <c r="C60" s="34">
        <f>[12]С2!F17</f>
        <v>1.01</v>
      </c>
    </row>
    <row r="61" spans="1:3" s="63" customFormat="1" ht="14.25" x14ac:dyDescent="0.2">
      <c r="A61" s="59" t="s">
        <v>79</v>
      </c>
      <c r="B61" s="61" t="s">
        <v>80</v>
      </c>
      <c r="C61" s="62">
        <f>[12]С2!F33</f>
        <v>10</v>
      </c>
    </row>
    <row r="62" spans="1:3" ht="30" x14ac:dyDescent="0.2">
      <c r="A62" s="59" t="s">
        <v>81</v>
      </c>
      <c r="B62" s="64" t="s">
        <v>82</v>
      </c>
      <c r="C62" s="34">
        <f>[12]С2!F26</f>
        <v>2780.7867618428891</v>
      </c>
    </row>
    <row r="63" spans="1:3" ht="17.25" x14ac:dyDescent="0.2">
      <c r="A63" s="59" t="s">
        <v>83</v>
      </c>
      <c r="B63" s="53" t="s">
        <v>84</v>
      </c>
      <c r="C63" s="34">
        <f>[12]С2!F27</f>
        <v>0.44209422600000003</v>
      </c>
    </row>
    <row r="64" spans="1:3" ht="17.25" x14ac:dyDescent="0.2">
      <c r="A64" s="59" t="s">
        <v>85</v>
      </c>
      <c r="B64" s="58" t="s">
        <v>86</v>
      </c>
      <c r="C64" s="62">
        <f>[12]С2!F28</f>
        <v>4200</v>
      </c>
    </row>
    <row r="65" spans="1:3" ht="42.75" x14ac:dyDescent="0.2">
      <c r="A65" s="59" t="s">
        <v>87</v>
      </c>
      <c r="B65" s="33" t="s">
        <v>88</v>
      </c>
      <c r="C65" s="34">
        <f>[12]С2!F22</f>
        <v>38698.422798410109</v>
      </c>
    </row>
    <row r="66" spans="1:3" ht="30" x14ac:dyDescent="0.2">
      <c r="A66" s="59" t="s">
        <v>89</v>
      </c>
      <c r="B66" s="60" t="s">
        <v>90</v>
      </c>
      <c r="C66" s="34">
        <f>[12]С2!F23</f>
        <v>1990</v>
      </c>
    </row>
    <row r="67" spans="1:3" ht="30" x14ac:dyDescent="0.2">
      <c r="A67" s="59" t="s">
        <v>91</v>
      </c>
      <c r="B67" s="53" t="s">
        <v>92</v>
      </c>
      <c r="C67" s="34">
        <f>[12]С2.1!E27</f>
        <v>14307.876789999998</v>
      </c>
    </row>
    <row r="68" spans="1:3" ht="38.25" x14ac:dyDescent="0.2">
      <c r="A68" s="59" t="s">
        <v>93</v>
      </c>
      <c r="B68" s="65" t="s">
        <v>94</v>
      </c>
      <c r="C68" s="52">
        <f>[12]С2.3!E21</f>
        <v>0</v>
      </c>
    </row>
    <row r="69" spans="1:3" ht="25.5" x14ac:dyDescent="0.2">
      <c r="A69" s="59" t="s">
        <v>95</v>
      </c>
      <c r="B69" s="66" t="s">
        <v>96</v>
      </c>
      <c r="C69" s="67">
        <f>[12]С2.3!E11</f>
        <v>9.89</v>
      </c>
    </row>
    <row r="70" spans="1:3" ht="25.5" x14ac:dyDescent="0.2">
      <c r="A70" s="59" t="s">
        <v>97</v>
      </c>
      <c r="B70" s="66" t="s">
        <v>98</v>
      </c>
      <c r="C70" s="62">
        <f>[12]С2.3!E13</f>
        <v>300</v>
      </c>
    </row>
    <row r="71" spans="1:3" ht="25.5" x14ac:dyDescent="0.2">
      <c r="A71" s="59" t="s">
        <v>99</v>
      </c>
      <c r="B71" s="65" t="s">
        <v>100</v>
      </c>
      <c r="C71" s="68">
        <f>IF([12]С2.3!E22&gt;0,[12]С2.3!E22,[12]С2.3!E14)</f>
        <v>61211</v>
      </c>
    </row>
    <row r="72" spans="1:3" ht="38.25" x14ac:dyDescent="0.2">
      <c r="A72" s="59" t="s">
        <v>101</v>
      </c>
      <c r="B72" s="65" t="s">
        <v>102</v>
      </c>
      <c r="C72" s="68">
        <f>IF([12]С2.3!E23&gt;0,[12]С2.3!E23,[12]С2.3!E15)</f>
        <v>45675</v>
      </c>
    </row>
    <row r="73" spans="1:3" ht="30" x14ac:dyDescent="0.2">
      <c r="A73" s="59" t="s">
        <v>103</v>
      </c>
      <c r="B73" s="53" t="s">
        <v>104</v>
      </c>
      <c r="C73" s="34">
        <f>[12]С2.1!E28</f>
        <v>9541.9567200000001</v>
      </c>
    </row>
    <row r="74" spans="1:3" ht="38.25" x14ac:dyDescent="0.2">
      <c r="A74" s="59" t="s">
        <v>105</v>
      </c>
      <c r="B74" s="65" t="s">
        <v>106</v>
      </c>
      <c r="C74" s="52">
        <f>[12]С2.3!E25</f>
        <v>0</v>
      </c>
    </row>
    <row r="75" spans="1:3" ht="25.5" x14ac:dyDescent="0.2">
      <c r="A75" s="59" t="s">
        <v>107</v>
      </c>
      <c r="B75" s="66" t="s">
        <v>108</v>
      </c>
      <c r="C75" s="67">
        <f>[12]С2.3!E12</f>
        <v>0.56000000000000005</v>
      </c>
    </row>
    <row r="76" spans="1:3" ht="25.5" x14ac:dyDescent="0.2">
      <c r="A76" s="59" t="s">
        <v>109</v>
      </c>
      <c r="B76" s="66" t="s">
        <v>98</v>
      </c>
      <c r="C76" s="62">
        <f>[12]С2.3!E13</f>
        <v>300</v>
      </c>
    </row>
    <row r="77" spans="1:3" ht="25.5" x14ac:dyDescent="0.2">
      <c r="A77" s="59" t="s">
        <v>110</v>
      </c>
      <c r="B77" s="69" t="s">
        <v>111</v>
      </c>
      <c r="C77" s="68">
        <f>IF([12]С2.3!E26&gt;0,[12]С2.3!E26,[12]С2.3!E16)</f>
        <v>65637</v>
      </c>
    </row>
    <row r="78" spans="1:3" ht="38.25" x14ac:dyDescent="0.2">
      <c r="A78" s="59" t="s">
        <v>112</v>
      </c>
      <c r="B78" s="69" t="s">
        <v>113</v>
      </c>
      <c r="C78" s="68">
        <f>IF([12]С2.3!E27&gt;0,[12]С2.3!E27,[12]С2.3!E17)</f>
        <v>31684</v>
      </c>
    </row>
    <row r="79" spans="1:3" ht="17.25" x14ac:dyDescent="0.2">
      <c r="A79" s="59" t="s">
        <v>114</v>
      </c>
      <c r="B79" s="33" t="s">
        <v>115</v>
      </c>
      <c r="C79" s="35">
        <f>[12]С2!F29</f>
        <v>9.5962865259740182E-2</v>
      </c>
    </row>
    <row r="80" spans="1:3" ht="30" x14ac:dyDescent="0.2">
      <c r="A80" s="59" t="s">
        <v>116</v>
      </c>
      <c r="B80" s="53" t="s">
        <v>117</v>
      </c>
      <c r="C80" s="70">
        <f>[12]С2!F30</f>
        <v>8.4029304029304031E-2</v>
      </c>
    </row>
    <row r="81" spans="1:3" ht="17.25" x14ac:dyDescent="0.2">
      <c r="A81" s="59" t="s">
        <v>118</v>
      </c>
      <c r="B81" s="71" t="s">
        <v>119</v>
      </c>
      <c r="C81" s="35">
        <f>[12]С2!F31</f>
        <v>0.13880000000000001</v>
      </c>
    </row>
    <row r="82" spans="1:3" s="63" customFormat="1" ht="18" thickBot="1" x14ac:dyDescent="0.25">
      <c r="A82" s="72" t="s">
        <v>120</v>
      </c>
      <c r="B82" s="73" t="s">
        <v>121</v>
      </c>
      <c r="C82" s="74">
        <f>[12]С2!F32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[12]С3!F14</f>
        <v>6117.6201782637581</v>
      </c>
    </row>
    <row r="86" spans="1:3" s="63" customFormat="1" ht="42.75" x14ac:dyDescent="0.2">
      <c r="A86" s="77" t="s">
        <v>126</v>
      </c>
      <c r="B86" s="53" t="s">
        <v>127</v>
      </c>
      <c r="C86" s="78">
        <f>[12]С3!F15</f>
        <v>0.2</v>
      </c>
    </row>
    <row r="87" spans="1:3" s="63" customFormat="1" ht="14.25" x14ac:dyDescent="0.2">
      <c r="A87" s="77" t="s">
        <v>128</v>
      </c>
      <c r="B87" s="79" t="s">
        <v>129</v>
      </c>
      <c r="C87" s="62">
        <f>[12]С3!F18</f>
        <v>15</v>
      </c>
    </row>
    <row r="88" spans="1:3" s="63" customFormat="1" ht="17.25" x14ac:dyDescent="0.2">
      <c r="A88" s="77" t="s">
        <v>130</v>
      </c>
      <c r="B88" s="33" t="s">
        <v>131</v>
      </c>
      <c r="C88" s="34">
        <f>[12]С3!F19</f>
        <v>3778.1614077800232</v>
      </c>
    </row>
    <row r="89" spans="1:3" s="63" customFormat="1" ht="55.5" x14ac:dyDescent="0.2">
      <c r="A89" s="77" t="s">
        <v>132</v>
      </c>
      <c r="B89" s="53" t="s">
        <v>133</v>
      </c>
      <c r="C89" s="80">
        <f>[12]С3!F20</f>
        <v>2.1999999999999999E-2</v>
      </c>
    </row>
    <row r="90" spans="1:3" s="63" customFormat="1" ht="14.25" x14ac:dyDescent="0.2">
      <c r="A90" s="77" t="s">
        <v>134</v>
      </c>
      <c r="B90" s="58" t="s">
        <v>80</v>
      </c>
      <c r="C90" s="62">
        <f>[12]С3!F21</f>
        <v>10</v>
      </c>
    </row>
    <row r="91" spans="1:3" s="63" customFormat="1" ht="17.25" x14ac:dyDescent="0.2">
      <c r="A91" s="77" t="s">
        <v>135</v>
      </c>
      <c r="B91" s="33" t="s">
        <v>136</v>
      </c>
      <c r="C91" s="34">
        <f>[12]С3!F22</f>
        <v>8.3423602855286667</v>
      </c>
    </row>
    <row r="92" spans="1:3" s="63" customFormat="1" ht="55.5" x14ac:dyDescent="0.2">
      <c r="A92" s="77" t="s">
        <v>137</v>
      </c>
      <c r="B92" s="53" t="s">
        <v>138</v>
      </c>
      <c r="C92" s="80">
        <f>[12]С3!F23</f>
        <v>3.0000000000000001E-3</v>
      </c>
    </row>
    <row r="93" spans="1:3" s="63" customFormat="1" ht="27.75" thickBot="1" x14ac:dyDescent="0.25">
      <c r="A93" s="81" t="s">
        <v>139</v>
      </c>
      <c r="B93" s="82" t="s">
        <v>140</v>
      </c>
      <c r="C93" s="83">
        <f>[12]С3!F24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[12]С4!F16</f>
        <v>1652.5</v>
      </c>
    </row>
    <row r="97" spans="1:3" ht="30" x14ac:dyDescent="0.2">
      <c r="A97" s="59" t="s">
        <v>145</v>
      </c>
      <c r="B97" s="58" t="s">
        <v>146</v>
      </c>
      <c r="C97" s="34">
        <f>[12]С4!F17</f>
        <v>73547</v>
      </c>
    </row>
    <row r="98" spans="1:3" ht="17.25" x14ac:dyDescent="0.2">
      <c r="A98" s="59" t="s">
        <v>147</v>
      </c>
      <c r="B98" s="58" t="s">
        <v>148</v>
      </c>
      <c r="C98" s="40">
        <f>[12]С4!F18</f>
        <v>0.02</v>
      </c>
    </row>
    <row r="99" spans="1:3" ht="30" x14ac:dyDescent="0.2">
      <c r="A99" s="59" t="s">
        <v>149</v>
      </c>
      <c r="B99" s="58" t="s">
        <v>150</v>
      </c>
      <c r="C99" s="34">
        <f>[12]С4!F19</f>
        <v>12104</v>
      </c>
    </row>
    <row r="100" spans="1:3" ht="31.5" x14ac:dyDescent="0.2">
      <c r="A100" s="59" t="s">
        <v>151</v>
      </c>
      <c r="B100" s="58" t="s">
        <v>152</v>
      </c>
      <c r="C100" s="40">
        <f>[12]С4!F20</f>
        <v>1.4999999999999999E-2</v>
      </c>
    </row>
    <row r="101" spans="1:3" ht="30" x14ac:dyDescent="0.2">
      <c r="A101" s="59" t="s">
        <v>153</v>
      </c>
      <c r="B101" s="33" t="s">
        <v>154</v>
      </c>
      <c r="C101" s="34">
        <f>[12]С4!F21</f>
        <v>1933.1949342509995</v>
      </c>
    </row>
    <row r="102" spans="1:3" ht="24" customHeight="1" x14ac:dyDescent="0.2">
      <c r="A102" s="59" t="s">
        <v>155</v>
      </c>
      <c r="B102" s="53" t="s">
        <v>156</v>
      </c>
      <c r="C102" s="85">
        <f>IF([12]С4.2!F8="да",[12]С4.2!D21,[12]С4.2!D15)</f>
        <v>0</v>
      </c>
    </row>
    <row r="103" spans="1:3" ht="68.25" x14ac:dyDescent="0.2">
      <c r="A103" s="59" t="s">
        <v>157</v>
      </c>
      <c r="B103" s="53" t="s">
        <v>158</v>
      </c>
      <c r="C103" s="34">
        <f>[12]С4!F22</f>
        <v>3.6112641666666665</v>
      </c>
    </row>
    <row r="104" spans="1:3" ht="30" x14ac:dyDescent="0.2">
      <c r="A104" s="59" t="s">
        <v>159</v>
      </c>
      <c r="B104" s="58" t="s">
        <v>160</v>
      </c>
      <c r="C104" s="34">
        <f>[12]С4!F23</f>
        <v>180</v>
      </c>
    </row>
    <row r="105" spans="1:3" ht="14.25" x14ac:dyDescent="0.2">
      <c r="A105" s="59" t="s">
        <v>161</v>
      </c>
      <c r="B105" s="53" t="s">
        <v>162</v>
      </c>
      <c r="C105" s="34">
        <f>[12]С4!F24</f>
        <v>8497.1999999999989</v>
      </c>
    </row>
    <row r="106" spans="1:3" ht="14.25" x14ac:dyDescent="0.2">
      <c r="A106" s="59" t="s">
        <v>163</v>
      </c>
      <c r="B106" s="58" t="s">
        <v>164</v>
      </c>
      <c r="C106" s="40">
        <f>[12]С4!F25</f>
        <v>0.35</v>
      </c>
    </row>
    <row r="107" spans="1:3" ht="17.25" x14ac:dyDescent="0.2">
      <c r="A107" s="59" t="s">
        <v>165</v>
      </c>
      <c r="B107" s="33" t="s">
        <v>166</v>
      </c>
      <c r="C107" s="34">
        <f>[12]С4!F26</f>
        <v>85.988129999999998</v>
      </c>
    </row>
    <row r="108" spans="1:3" ht="25.5" x14ac:dyDescent="0.2">
      <c r="A108" s="59" t="s">
        <v>167</v>
      </c>
      <c r="B108" s="53" t="s">
        <v>94</v>
      </c>
      <c r="C108" s="85">
        <f>[12]С4.3!E16</f>
        <v>0</v>
      </c>
    </row>
    <row r="109" spans="1:3" ht="25.5" x14ac:dyDescent="0.2">
      <c r="A109" s="59" t="s">
        <v>168</v>
      </c>
      <c r="B109" s="53" t="s">
        <v>169</v>
      </c>
      <c r="C109" s="34">
        <f>[12]С4.3!E17</f>
        <v>20.350000000000001</v>
      </c>
    </row>
    <row r="110" spans="1:3" ht="38.25" x14ac:dyDescent="0.2">
      <c r="A110" s="59" t="s">
        <v>170</v>
      </c>
      <c r="B110" s="53" t="s">
        <v>106</v>
      </c>
      <c r="C110" s="85">
        <f>[12]С4.3!E18</f>
        <v>0</v>
      </c>
    </row>
    <row r="111" spans="1:3" x14ac:dyDescent="0.2">
      <c r="A111" s="59" t="s">
        <v>171</v>
      </c>
      <c r="B111" s="53" t="s">
        <v>172</v>
      </c>
      <c r="C111" s="34">
        <f>[12]С4.3!E19</f>
        <v>71.67</v>
      </c>
    </row>
    <row r="112" spans="1:3" x14ac:dyDescent="0.2">
      <c r="A112" s="59" t="s">
        <v>173</v>
      </c>
      <c r="B112" s="58" t="s">
        <v>174</v>
      </c>
      <c r="C112" s="34">
        <f>[12]С4.3!E11</f>
        <v>1871</v>
      </c>
    </row>
    <row r="113" spans="1:3" x14ac:dyDescent="0.2">
      <c r="A113" s="59" t="s">
        <v>175</v>
      </c>
      <c r="B113" s="58" t="s">
        <v>176</v>
      </c>
      <c r="C113" s="52">
        <f>[12]С4.3!E12</f>
        <v>1636</v>
      </c>
    </row>
    <row r="114" spans="1:3" x14ac:dyDescent="0.2">
      <c r="A114" s="59" t="s">
        <v>177</v>
      </c>
      <c r="B114" s="58" t="s">
        <v>178</v>
      </c>
      <c r="C114" s="52">
        <f>[12]С4.3!E13</f>
        <v>204</v>
      </c>
    </row>
    <row r="115" spans="1:3" ht="30" x14ac:dyDescent="0.2">
      <c r="A115" s="59" t="s">
        <v>179</v>
      </c>
      <c r="B115" s="33" t="s">
        <v>180</v>
      </c>
      <c r="C115" s="34">
        <f>[12]С4!F27</f>
        <v>1291.2863994686898</v>
      </c>
    </row>
    <row r="116" spans="1:3" ht="25.5" x14ac:dyDescent="0.2">
      <c r="A116" s="59" t="s">
        <v>181</v>
      </c>
      <c r="B116" s="53" t="s">
        <v>182</v>
      </c>
      <c r="C116" s="34">
        <f>[12]С4!F28</f>
        <v>991.77142816335618</v>
      </c>
    </row>
    <row r="117" spans="1:3" ht="42.75" x14ac:dyDescent="0.2">
      <c r="A117" s="59" t="s">
        <v>183</v>
      </c>
      <c r="B117" s="53" t="s">
        <v>184</v>
      </c>
      <c r="C117" s="34">
        <f>[12]С4!F29</f>
        <v>299.51497130533357</v>
      </c>
    </row>
    <row r="118" spans="1:3" ht="30" x14ac:dyDescent="0.2">
      <c r="A118" s="59" t="s">
        <v>185</v>
      </c>
      <c r="B118" s="39" t="s">
        <v>186</v>
      </c>
      <c r="C118" s="34">
        <f>[12]С4!F30</f>
        <v>1651.6512818834203</v>
      </c>
    </row>
    <row r="119" spans="1:3" ht="42.75" x14ac:dyDescent="0.2">
      <c r="A119" s="59" t="s">
        <v>187</v>
      </c>
      <c r="B119" s="86" t="s">
        <v>188</v>
      </c>
      <c r="C119" s="34">
        <f>[12]С4!F33</f>
        <v>929.5715335437668</v>
      </c>
    </row>
    <row r="120" spans="1:3" ht="30" x14ac:dyDescent="0.2">
      <c r="A120" s="59" t="s">
        <v>189</v>
      </c>
      <c r="B120" s="87" t="s">
        <v>190</v>
      </c>
      <c r="C120" s="34">
        <f>[12]С4!F35</f>
        <v>17.040680999999999</v>
      </c>
    </row>
    <row r="121" spans="1:3" ht="14.25" x14ac:dyDescent="0.2">
      <c r="A121" s="59" t="s">
        <v>191</v>
      </c>
      <c r="B121" s="56" t="s">
        <v>192</v>
      </c>
      <c r="C121" s="34">
        <f>[12]С4!F36</f>
        <v>14319.9</v>
      </c>
    </row>
    <row r="122" spans="1:3" ht="28.5" thickBot="1" x14ac:dyDescent="0.25">
      <c r="A122" s="72" t="s">
        <v>193</v>
      </c>
      <c r="B122" s="88" t="s">
        <v>194</v>
      </c>
      <c r="C122" s="83">
        <f>[12]С4!F37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[12]С5!F17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[12]С2!F37</f>
        <v>20.818139999999996</v>
      </c>
    </row>
    <row r="136" spans="1:4" ht="14.25" x14ac:dyDescent="0.2">
      <c r="A136" s="59" t="s">
        <v>216</v>
      </c>
      <c r="B136" s="101" t="s">
        <v>217</v>
      </c>
      <c r="C136" s="34">
        <f>[12]С2!F38</f>
        <v>7</v>
      </c>
    </row>
    <row r="137" spans="1:4" ht="17.25" x14ac:dyDescent="0.2">
      <c r="A137" s="59" t="s">
        <v>218</v>
      </c>
      <c r="B137" s="101" t="s">
        <v>219</v>
      </c>
      <c r="C137" s="34">
        <f>[12]С2!F40</f>
        <v>0.97</v>
      </c>
    </row>
    <row r="138" spans="1:4" ht="15" thickBot="1" x14ac:dyDescent="0.25">
      <c r="A138" s="72" t="s">
        <v>220</v>
      </c>
      <c r="B138" s="102" t="s">
        <v>221</v>
      </c>
      <c r="C138" s="46">
        <f>[12]С2!F42</f>
        <v>0.35</v>
      </c>
    </row>
    <row r="139" spans="1:4" s="89" customFormat="1" ht="13.5" thickBot="1" x14ac:dyDescent="0.25">
      <c r="A139" s="47"/>
      <c r="B139" s="75"/>
      <c r="C139" s="15"/>
    </row>
    <row r="140" spans="1:4" ht="30" x14ac:dyDescent="0.2">
      <c r="A140" s="84" t="s">
        <v>222</v>
      </c>
      <c r="B140" s="103" t="s">
        <v>223</v>
      </c>
      <c r="C140" s="104">
        <f>[12]С2!F35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[12]С2.5!$E$11</f>
        <v>-2.9000000000000026E-2</v>
      </c>
      <c r="D143" s="89"/>
    </row>
    <row r="144" spans="1:4" x14ac:dyDescent="0.2">
      <c r="A144" s="105"/>
      <c r="B144" s="110">
        <f>B143+1</f>
        <v>2021</v>
      </c>
      <c r="C144" s="111">
        <f>[12]С2.5!$F$11</f>
        <v>0.245</v>
      </c>
      <c r="D144" s="89"/>
    </row>
    <row r="145" spans="1:4" x14ac:dyDescent="0.2">
      <c r="A145" s="105"/>
      <c r="B145" s="110">
        <f t="shared" ref="B145:B208" si="0">B144+1</f>
        <v>2022</v>
      </c>
      <c r="C145" s="111">
        <f>[12]С2.5!$G$11</f>
        <v>0.114</v>
      </c>
      <c r="D145" s="89"/>
    </row>
    <row r="146" spans="1:4" ht="13.5" thickBot="1" x14ac:dyDescent="0.25">
      <c r="A146" s="105"/>
      <c r="B146" s="112">
        <f t="shared" si="0"/>
        <v>2023</v>
      </c>
      <c r="C146" s="113">
        <f>[12]С2.5!$H$11</f>
        <v>2.4E-2</v>
      </c>
      <c r="D146" s="89"/>
    </row>
    <row r="147" spans="1:4" x14ac:dyDescent="0.2">
      <c r="A147" s="105"/>
      <c r="B147" s="114">
        <f t="shared" si="0"/>
        <v>2024</v>
      </c>
      <c r="C147" s="115">
        <f>[12]С2.5!$I$11</f>
        <v>8.5999999999999993E-2</v>
      </c>
      <c r="D147" s="89"/>
    </row>
    <row r="148" spans="1:4" hidden="1" x14ac:dyDescent="0.2">
      <c r="A148" s="105"/>
      <c r="B148" s="110">
        <f t="shared" si="0"/>
        <v>2025</v>
      </c>
      <c r="C148" s="111">
        <f>[12]С2.5!$J$11</f>
        <v>0.21215960863291</v>
      </c>
      <c r="D148" s="89"/>
    </row>
    <row r="149" spans="1:4" hidden="1" x14ac:dyDescent="0.2">
      <c r="A149" s="105"/>
      <c r="B149" s="110">
        <f t="shared" si="0"/>
        <v>2026</v>
      </c>
      <c r="C149" s="111">
        <f>[12]С2.5!$K$11</f>
        <v>3.5813361771260002E-2</v>
      </c>
      <c r="D149" s="89"/>
    </row>
    <row r="150" spans="1:4" hidden="1" x14ac:dyDescent="0.2">
      <c r="A150" s="105"/>
      <c r="B150" s="110">
        <f t="shared" si="0"/>
        <v>2027</v>
      </c>
      <c r="C150" s="111">
        <f>[12]С2.5!$L$11</f>
        <v>3.2682303599220003E-2</v>
      </c>
      <c r="D150" s="89"/>
    </row>
    <row r="151" spans="1:4" hidden="1" x14ac:dyDescent="0.2">
      <c r="A151" s="105"/>
      <c r="B151" s="110">
        <f t="shared" si="0"/>
        <v>2028</v>
      </c>
      <c r="C151" s="111">
        <f>[12]С2.5!$M$11</f>
        <v>0</v>
      </c>
      <c r="D151" s="89"/>
    </row>
    <row r="152" spans="1:4" hidden="1" x14ac:dyDescent="0.2">
      <c r="A152" s="105"/>
      <c r="B152" s="110">
        <f t="shared" si="0"/>
        <v>2029</v>
      </c>
      <c r="C152" s="111">
        <f>[12]С2.5!$N$11</f>
        <v>0</v>
      </c>
      <c r="D152" s="89"/>
    </row>
    <row r="153" spans="1:4" hidden="1" x14ac:dyDescent="0.2">
      <c r="A153" s="105"/>
      <c r="B153" s="110">
        <f t="shared" si="0"/>
        <v>2030</v>
      </c>
      <c r="C153" s="111">
        <f>[12]С2.5!$O$11</f>
        <v>0</v>
      </c>
      <c r="D153" s="89"/>
    </row>
    <row r="154" spans="1:4" hidden="1" x14ac:dyDescent="0.2">
      <c r="A154" s="105"/>
      <c r="B154" s="110">
        <f t="shared" si="0"/>
        <v>2031</v>
      </c>
      <c r="C154" s="111">
        <f>[12]С2.5!$P$11</f>
        <v>0</v>
      </c>
      <c r="D154" s="89"/>
    </row>
    <row r="155" spans="1:4" hidden="1" x14ac:dyDescent="0.2">
      <c r="A155" s="89"/>
      <c r="B155" s="110">
        <f t="shared" si="0"/>
        <v>2032</v>
      </c>
      <c r="C155" s="111">
        <f>[12]С2.5!$Q$11</f>
        <v>0</v>
      </c>
      <c r="D155" s="89"/>
    </row>
    <row r="156" spans="1:4" hidden="1" x14ac:dyDescent="0.2">
      <c r="A156" s="89"/>
      <c r="B156" s="110">
        <f t="shared" si="0"/>
        <v>2033</v>
      </c>
      <c r="C156" s="111">
        <f>[12]С2.5!$R$11</f>
        <v>0</v>
      </c>
      <c r="D156" s="89"/>
    </row>
    <row r="157" spans="1:4" hidden="1" x14ac:dyDescent="0.2">
      <c r="B157" s="110">
        <f t="shared" si="0"/>
        <v>2034</v>
      </c>
      <c r="C157" s="111">
        <f>[12]С2.5!$S$11</f>
        <v>0</v>
      </c>
    </row>
    <row r="158" spans="1:4" hidden="1" x14ac:dyDescent="0.2">
      <c r="B158" s="110">
        <f t="shared" si="0"/>
        <v>2035</v>
      </c>
      <c r="C158" s="111">
        <f>[12]С2.5!$T$11</f>
        <v>0</v>
      </c>
    </row>
    <row r="159" spans="1:4" hidden="1" x14ac:dyDescent="0.2">
      <c r="B159" s="110">
        <f t="shared" si="0"/>
        <v>2036</v>
      </c>
      <c r="C159" s="111">
        <f>[12]С2.5!$U$11</f>
        <v>0</v>
      </c>
    </row>
    <row r="160" spans="1:4" hidden="1" x14ac:dyDescent="0.2">
      <c r="B160" s="110">
        <f t="shared" si="0"/>
        <v>2037</v>
      </c>
      <c r="C160" s="111">
        <f>[12]С2.5!$V$11</f>
        <v>0</v>
      </c>
    </row>
    <row r="161" spans="2:3" hidden="1" x14ac:dyDescent="0.2">
      <c r="B161" s="110">
        <f t="shared" si="0"/>
        <v>2038</v>
      </c>
      <c r="C161" s="111">
        <f>[12]С2.5!$W$11</f>
        <v>0</v>
      </c>
    </row>
    <row r="162" spans="2:3" hidden="1" x14ac:dyDescent="0.2">
      <c r="B162" s="110">
        <f t="shared" si="0"/>
        <v>2039</v>
      </c>
      <c r="C162" s="111">
        <f>[12]С2.5!$X$11</f>
        <v>0</v>
      </c>
    </row>
    <row r="163" spans="2:3" hidden="1" x14ac:dyDescent="0.2">
      <c r="B163" s="110">
        <f t="shared" si="0"/>
        <v>2040</v>
      </c>
      <c r="C163" s="111">
        <f>[12]С2.5!$Y$11</f>
        <v>0</v>
      </c>
    </row>
    <row r="164" spans="2:3" hidden="1" x14ac:dyDescent="0.2">
      <c r="B164" s="110">
        <f t="shared" si="0"/>
        <v>2041</v>
      </c>
      <c r="C164" s="111">
        <f>[12]С2.5!$Z$11</f>
        <v>0</v>
      </c>
    </row>
    <row r="165" spans="2:3" hidden="1" x14ac:dyDescent="0.2">
      <c r="B165" s="110">
        <f t="shared" si="0"/>
        <v>2042</v>
      </c>
      <c r="C165" s="111">
        <f>[12]С2.5!$AA$11</f>
        <v>0</v>
      </c>
    </row>
    <row r="166" spans="2:3" hidden="1" x14ac:dyDescent="0.2">
      <c r="B166" s="110">
        <f t="shared" si="0"/>
        <v>2043</v>
      </c>
      <c r="C166" s="111">
        <f>[12]С2.5!$AB$11</f>
        <v>0</v>
      </c>
    </row>
    <row r="167" spans="2:3" hidden="1" x14ac:dyDescent="0.2">
      <c r="B167" s="110">
        <f t="shared" si="0"/>
        <v>2044</v>
      </c>
      <c r="C167" s="111">
        <f>[12]С2.5!$AC$11</f>
        <v>0</v>
      </c>
    </row>
    <row r="168" spans="2:3" hidden="1" x14ac:dyDescent="0.2">
      <c r="B168" s="110">
        <f t="shared" si="0"/>
        <v>2045</v>
      </c>
      <c r="C168" s="111">
        <f>[12]С2.5!$AD$11</f>
        <v>0</v>
      </c>
    </row>
    <row r="169" spans="2:3" hidden="1" x14ac:dyDescent="0.2">
      <c r="B169" s="110">
        <f t="shared" si="0"/>
        <v>2046</v>
      </c>
      <c r="C169" s="111">
        <f>[12]С2.5!$AE$11</f>
        <v>0</v>
      </c>
    </row>
    <row r="170" spans="2:3" hidden="1" x14ac:dyDescent="0.2">
      <c r="B170" s="110">
        <f t="shared" si="0"/>
        <v>2047</v>
      </c>
      <c r="C170" s="111">
        <f>[12]С2.5!$AF$11</f>
        <v>0</v>
      </c>
    </row>
    <row r="171" spans="2:3" hidden="1" x14ac:dyDescent="0.2">
      <c r="B171" s="110">
        <f t="shared" si="0"/>
        <v>2048</v>
      </c>
      <c r="C171" s="111">
        <f>[12]С2.5!$AG$11</f>
        <v>0</v>
      </c>
    </row>
    <row r="172" spans="2:3" hidden="1" x14ac:dyDescent="0.2">
      <c r="B172" s="110">
        <f t="shared" si="0"/>
        <v>2049</v>
      </c>
      <c r="C172" s="111">
        <f>[12]С2.5!$AH$11</f>
        <v>0</v>
      </c>
    </row>
    <row r="173" spans="2:3" hidden="1" x14ac:dyDescent="0.2">
      <c r="B173" s="110">
        <f t="shared" si="0"/>
        <v>2050</v>
      </c>
      <c r="C173" s="111">
        <f>[12]С2.5!$AI$11</f>
        <v>0</v>
      </c>
    </row>
    <row r="174" spans="2:3" hidden="1" x14ac:dyDescent="0.2">
      <c r="B174" s="110">
        <f t="shared" si="0"/>
        <v>2051</v>
      </c>
      <c r="C174" s="111">
        <f>[12]С2.5!$AJ$11</f>
        <v>0</v>
      </c>
    </row>
    <row r="175" spans="2:3" hidden="1" x14ac:dyDescent="0.2">
      <c r="B175" s="110">
        <f t="shared" si="0"/>
        <v>2052</v>
      </c>
      <c r="C175" s="111">
        <f>[12]С2.5!$AK$11</f>
        <v>0</v>
      </c>
    </row>
    <row r="176" spans="2:3" hidden="1" x14ac:dyDescent="0.2">
      <c r="B176" s="110">
        <f t="shared" si="0"/>
        <v>2053</v>
      </c>
      <c r="C176" s="111">
        <f>[12]С2.5!$AL$11</f>
        <v>0</v>
      </c>
    </row>
    <row r="177" spans="2:3" hidden="1" x14ac:dyDescent="0.2">
      <c r="B177" s="110">
        <f t="shared" si="0"/>
        <v>2054</v>
      </c>
      <c r="C177" s="111">
        <f>[12]С2.5!$AM$11</f>
        <v>0</v>
      </c>
    </row>
    <row r="178" spans="2:3" hidden="1" x14ac:dyDescent="0.2">
      <c r="B178" s="110">
        <f t="shared" si="0"/>
        <v>2055</v>
      </c>
      <c r="C178" s="111">
        <f>[12]С2.5!$AN$11</f>
        <v>0</v>
      </c>
    </row>
    <row r="179" spans="2:3" hidden="1" x14ac:dyDescent="0.2">
      <c r="B179" s="110">
        <f t="shared" si="0"/>
        <v>2056</v>
      </c>
      <c r="C179" s="111">
        <f>[12]С2.5!$AO$11</f>
        <v>0</v>
      </c>
    </row>
    <row r="180" spans="2:3" hidden="1" x14ac:dyDescent="0.2">
      <c r="B180" s="110">
        <f t="shared" si="0"/>
        <v>2057</v>
      </c>
      <c r="C180" s="111">
        <f>[12]С2.5!$AP$11</f>
        <v>0</v>
      </c>
    </row>
    <row r="181" spans="2:3" hidden="1" x14ac:dyDescent="0.2">
      <c r="B181" s="110">
        <f t="shared" si="0"/>
        <v>2058</v>
      </c>
      <c r="C181" s="111">
        <f>[12]С2.5!$AQ$11</f>
        <v>0</v>
      </c>
    </row>
    <row r="182" spans="2:3" hidden="1" x14ac:dyDescent="0.2">
      <c r="B182" s="110">
        <f t="shared" si="0"/>
        <v>2059</v>
      </c>
      <c r="C182" s="111">
        <f>[12]С2.5!$AR$11</f>
        <v>0</v>
      </c>
    </row>
    <row r="183" spans="2:3" hidden="1" x14ac:dyDescent="0.2">
      <c r="B183" s="110">
        <f t="shared" si="0"/>
        <v>2060</v>
      </c>
      <c r="C183" s="111">
        <f>[12]С2.5!$AS$11</f>
        <v>0</v>
      </c>
    </row>
    <row r="184" spans="2:3" hidden="1" x14ac:dyDescent="0.2">
      <c r="B184" s="110">
        <f t="shared" si="0"/>
        <v>2061</v>
      </c>
      <c r="C184" s="111">
        <f>[12]С2.5!$AT$11</f>
        <v>0</v>
      </c>
    </row>
    <row r="185" spans="2:3" hidden="1" x14ac:dyDescent="0.2">
      <c r="B185" s="110">
        <f t="shared" si="0"/>
        <v>2062</v>
      </c>
      <c r="C185" s="111">
        <f>[12]С2.5!$AU$11</f>
        <v>0</v>
      </c>
    </row>
    <row r="186" spans="2:3" hidden="1" x14ac:dyDescent="0.2">
      <c r="B186" s="110">
        <f t="shared" si="0"/>
        <v>2063</v>
      </c>
      <c r="C186" s="111">
        <f>[12]С2.5!$AV$11</f>
        <v>0</v>
      </c>
    </row>
    <row r="187" spans="2:3" hidden="1" x14ac:dyDescent="0.2">
      <c r="B187" s="110">
        <f t="shared" si="0"/>
        <v>2064</v>
      </c>
      <c r="C187" s="111">
        <f>[12]С2.5!$AW$11</f>
        <v>0</v>
      </c>
    </row>
    <row r="188" spans="2:3" hidden="1" x14ac:dyDescent="0.2">
      <c r="B188" s="110">
        <f t="shared" si="0"/>
        <v>2065</v>
      </c>
      <c r="C188" s="111">
        <f>[12]С2.5!$AX$11</f>
        <v>0</v>
      </c>
    </row>
    <row r="189" spans="2:3" hidden="1" x14ac:dyDescent="0.2">
      <c r="B189" s="110">
        <f t="shared" si="0"/>
        <v>2066</v>
      </c>
      <c r="C189" s="111">
        <f>[12]С2.5!$AY$11</f>
        <v>0</v>
      </c>
    </row>
    <row r="190" spans="2:3" hidden="1" x14ac:dyDescent="0.2">
      <c r="B190" s="110">
        <f t="shared" si="0"/>
        <v>2067</v>
      </c>
      <c r="C190" s="111">
        <f>[12]С2.5!$AZ$11</f>
        <v>0</v>
      </c>
    </row>
    <row r="191" spans="2:3" hidden="1" x14ac:dyDescent="0.2">
      <c r="B191" s="110">
        <f t="shared" si="0"/>
        <v>2068</v>
      </c>
      <c r="C191" s="111">
        <f>[12]С2.5!$BA$11</f>
        <v>0</v>
      </c>
    </row>
    <row r="192" spans="2:3" hidden="1" x14ac:dyDescent="0.2">
      <c r="B192" s="110">
        <f t="shared" si="0"/>
        <v>2069</v>
      </c>
      <c r="C192" s="111">
        <f>[12]С2.5!$BB$11</f>
        <v>0</v>
      </c>
    </row>
    <row r="193" spans="2:3" hidden="1" x14ac:dyDescent="0.2">
      <c r="B193" s="110">
        <f t="shared" si="0"/>
        <v>2070</v>
      </c>
      <c r="C193" s="111">
        <f>[12]С2.5!$BC$11</f>
        <v>0</v>
      </c>
    </row>
    <row r="194" spans="2:3" hidden="1" x14ac:dyDescent="0.2">
      <c r="B194" s="110">
        <f t="shared" si="0"/>
        <v>2071</v>
      </c>
      <c r="C194" s="111">
        <f>[12]С2.5!$BD$11</f>
        <v>0</v>
      </c>
    </row>
    <row r="195" spans="2:3" hidden="1" x14ac:dyDescent="0.2">
      <c r="B195" s="110">
        <f t="shared" si="0"/>
        <v>2072</v>
      </c>
      <c r="C195" s="111">
        <f>[12]С2.5!$BE$11</f>
        <v>0</v>
      </c>
    </row>
    <row r="196" spans="2:3" hidden="1" x14ac:dyDescent="0.2">
      <c r="B196" s="110">
        <f t="shared" si="0"/>
        <v>2073</v>
      </c>
      <c r="C196" s="111">
        <f>[12]С2.5!$BF$11</f>
        <v>0</v>
      </c>
    </row>
    <row r="197" spans="2:3" hidden="1" x14ac:dyDescent="0.2">
      <c r="B197" s="110">
        <f t="shared" si="0"/>
        <v>2074</v>
      </c>
      <c r="C197" s="111">
        <f>[12]С2.5!$BG$11</f>
        <v>0</v>
      </c>
    </row>
    <row r="198" spans="2:3" hidden="1" x14ac:dyDescent="0.2">
      <c r="B198" s="110">
        <f t="shared" si="0"/>
        <v>2075</v>
      </c>
      <c r="C198" s="111">
        <f>[12]С2.5!$BH$11</f>
        <v>0</v>
      </c>
    </row>
    <row r="199" spans="2:3" hidden="1" x14ac:dyDescent="0.2">
      <c r="B199" s="110">
        <f t="shared" si="0"/>
        <v>2076</v>
      </c>
      <c r="C199" s="111">
        <f>[12]С2.5!$BI$11</f>
        <v>0</v>
      </c>
    </row>
    <row r="200" spans="2:3" hidden="1" x14ac:dyDescent="0.2">
      <c r="B200" s="110">
        <f t="shared" si="0"/>
        <v>2077</v>
      </c>
      <c r="C200" s="111">
        <f>[12]С2.5!$BJ$11</f>
        <v>0</v>
      </c>
    </row>
    <row r="201" spans="2:3" hidden="1" x14ac:dyDescent="0.2">
      <c r="B201" s="110">
        <f t="shared" si="0"/>
        <v>2078</v>
      </c>
      <c r="C201" s="111">
        <f>[12]С2.5!$BK$11</f>
        <v>0</v>
      </c>
    </row>
    <row r="202" spans="2:3" hidden="1" x14ac:dyDescent="0.2">
      <c r="B202" s="110">
        <f t="shared" si="0"/>
        <v>2079</v>
      </c>
      <c r="C202" s="111">
        <f>[12]С2.5!$BL$11</f>
        <v>0</v>
      </c>
    </row>
    <row r="203" spans="2:3" hidden="1" x14ac:dyDescent="0.2">
      <c r="B203" s="110">
        <f t="shared" si="0"/>
        <v>2080</v>
      </c>
      <c r="C203" s="111">
        <f>[12]С2.5!$BM$11</f>
        <v>0</v>
      </c>
    </row>
    <row r="204" spans="2:3" hidden="1" x14ac:dyDescent="0.2">
      <c r="B204" s="110">
        <f t="shared" si="0"/>
        <v>2081</v>
      </c>
      <c r="C204" s="111">
        <f>[12]С2.5!$BN$11</f>
        <v>0</v>
      </c>
    </row>
    <row r="205" spans="2:3" hidden="1" x14ac:dyDescent="0.2">
      <c r="B205" s="110">
        <f t="shared" si="0"/>
        <v>2082</v>
      </c>
      <c r="C205" s="111">
        <f>[12]С2.5!$BO$11</f>
        <v>0</v>
      </c>
    </row>
    <row r="206" spans="2:3" hidden="1" x14ac:dyDescent="0.2">
      <c r="B206" s="110">
        <f t="shared" si="0"/>
        <v>2083</v>
      </c>
      <c r="C206" s="111">
        <f>[12]С2.5!$BP$11</f>
        <v>0</v>
      </c>
    </row>
    <row r="207" spans="2:3" hidden="1" x14ac:dyDescent="0.2">
      <c r="B207" s="110">
        <f t="shared" si="0"/>
        <v>2084</v>
      </c>
      <c r="C207" s="111">
        <f>[12]С2.5!$BQ$11</f>
        <v>0</v>
      </c>
    </row>
    <row r="208" spans="2:3" hidden="1" x14ac:dyDescent="0.2">
      <c r="B208" s="110">
        <f t="shared" si="0"/>
        <v>2085</v>
      </c>
      <c r="C208" s="111">
        <f>[12]С2.5!$BR$11</f>
        <v>0</v>
      </c>
    </row>
    <row r="209" spans="2:3" hidden="1" x14ac:dyDescent="0.2">
      <c r="B209" s="110">
        <f t="shared" ref="B209:B223" si="1">B208+1</f>
        <v>2086</v>
      </c>
      <c r="C209" s="111">
        <f>[12]С2.5!$BS$11</f>
        <v>0</v>
      </c>
    </row>
    <row r="210" spans="2:3" hidden="1" x14ac:dyDescent="0.2">
      <c r="B210" s="110">
        <f t="shared" si="1"/>
        <v>2087</v>
      </c>
      <c r="C210" s="111">
        <f>[12]С2.5!$BT$11</f>
        <v>0</v>
      </c>
    </row>
    <row r="211" spans="2:3" hidden="1" x14ac:dyDescent="0.2">
      <c r="B211" s="110">
        <f t="shared" si="1"/>
        <v>2088</v>
      </c>
      <c r="C211" s="111">
        <f>[12]С2.5!$BU$11</f>
        <v>0</v>
      </c>
    </row>
    <row r="212" spans="2:3" hidden="1" x14ac:dyDescent="0.2">
      <c r="B212" s="110">
        <f t="shared" si="1"/>
        <v>2089</v>
      </c>
      <c r="C212" s="111">
        <f>[12]С2.5!$BV$11</f>
        <v>0</v>
      </c>
    </row>
    <row r="213" spans="2:3" hidden="1" x14ac:dyDescent="0.2">
      <c r="B213" s="110">
        <f t="shared" si="1"/>
        <v>2090</v>
      </c>
      <c r="C213" s="111">
        <f>[12]С2.5!$BW$11</f>
        <v>0</v>
      </c>
    </row>
    <row r="214" spans="2:3" hidden="1" x14ac:dyDescent="0.2">
      <c r="B214" s="110">
        <f t="shared" si="1"/>
        <v>2091</v>
      </c>
      <c r="C214" s="111">
        <f>[12]С2.5!$BX$11</f>
        <v>0</v>
      </c>
    </row>
    <row r="215" spans="2:3" hidden="1" x14ac:dyDescent="0.2">
      <c r="B215" s="110">
        <f t="shared" si="1"/>
        <v>2092</v>
      </c>
      <c r="C215" s="111">
        <f>[12]С2.5!$BY$11</f>
        <v>0</v>
      </c>
    </row>
    <row r="216" spans="2:3" hidden="1" x14ac:dyDescent="0.2">
      <c r="B216" s="110">
        <f t="shared" si="1"/>
        <v>2093</v>
      </c>
      <c r="C216" s="111">
        <f>[12]С2.5!$BZ$11</f>
        <v>0</v>
      </c>
    </row>
    <row r="217" spans="2:3" hidden="1" x14ac:dyDescent="0.2">
      <c r="B217" s="110">
        <f t="shared" si="1"/>
        <v>2094</v>
      </c>
      <c r="C217" s="111">
        <f>[12]С2.5!$CA$11</f>
        <v>0</v>
      </c>
    </row>
    <row r="218" spans="2:3" hidden="1" x14ac:dyDescent="0.2">
      <c r="B218" s="110">
        <f t="shared" si="1"/>
        <v>2095</v>
      </c>
      <c r="C218" s="111">
        <f>[12]С2.5!$CB$11</f>
        <v>0</v>
      </c>
    </row>
    <row r="219" spans="2:3" hidden="1" x14ac:dyDescent="0.2">
      <c r="B219" s="110">
        <f t="shared" si="1"/>
        <v>2096</v>
      </c>
      <c r="C219" s="111">
        <f>[12]С2.5!$CC$11</f>
        <v>0</v>
      </c>
    </row>
    <row r="220" spans="2:3" hidden="1" x14ac:dyDescent="0.2">
      <c r="B220" s="110">
        <f t="shared" si="1"/>
        <v>2097</v>
      </c>
      <c r="C220" s="111">
        <f>[12]С2.5!$CD$11</f>
        <v>0</v>
      </c>
    </row>
    <row r="221" spans="2:3" hidden="1" x14ac:dyDescent="0.2">
      <c r="B221" s="110">
        <f t="shared" si="1"/>
        <v>2098</v>
      </c>
      <c r="C221" s="111">
        <f>[12]С2.5!$CE$11</f>
        <v>0</v>
      </c>
    </row>
    <row r="222" spans="2:3" hidden="1" x14ac:dyDescent="0.2">
      <c r="B222" s="110">
        <f t="shared" si="1"/>
        <v>2099</v>
      </c>
      <c r="C222" s="111">
        <f>[12]С2.5!$CF$11</f>
        <v>0</v>
      </c>
    </row>
    <row r="223" spans="2:3" ht="13.5" hidden="1" thickBot="1" x14ac:dyDescent="0.25">
      <c r="B223" s="112">
        <f t="shared" si="1"/>
        <v>2100</v>
      </c>
      <c r="C223" s="113">
        <f>[12]С2.5!$CG$11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4" r:id="rId4" name="Button 2">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22.85546875" style="159" customWidth="1"/>
    <col min="5" max="5" width="5.140625" style="2" customWidth="1"/>
    <col min="6" max="6" width="17.5703125" style="2" customWidth="1"/>
    <col min="7" max="159" width="9.140625" style="2"/>
    <col min="160" max="241" width="0" style="2" hidden="1" customWidth="1"/>
    <col min="242" max="250" width="9.140625" style="2"/>
    <col min="251" max="251" width="3.710937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710937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710937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710937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710937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710937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710937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710937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710937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710937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710937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710937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710937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710937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710937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710937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710937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710937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710937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710937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710937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710937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710937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710937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710937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710937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710937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710937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710937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710937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710937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710937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710937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710937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710937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710937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710937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710937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710937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710937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710937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710937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710937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710937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710937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710937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710937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710937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710937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710937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710937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710937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710937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710937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710937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710937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710937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710937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710937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710937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710937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710937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710937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3"/>
      <c r="B1" s="163" t="s">
        <v>227</v>
      </c>
      <c r="C1" s="163"/>
      <c r="D1" s="163"/>
    </row>
    <row r="2" spans="1:4" x14ac:dyDescent="0.2">
      <c r="A2" s="3"/>
      <c r="B2" s="4" t="s">
        <v>1</v>
      </c>
      <c r="C2" s="5">
        <v>45317</v>
      </c>
    </row>
    <row r="3" spans="1:4" x14ac:dyDescent="0.2">
      <c r="A3" s="3"/>
      <c r="B3" s="117" t="s">
        <v>2</v>
      </c>
      <c r="C3" s="7"/>
    </row>
    <row r="4" spans="1:4" ht="25.5" x14ac:dyDescent="0.2">
      <c r="A4" s="8"/>
      <c r="B4" s="9" t="str">
        <f>[13]И1!D13</f>
        <v>Субъект Российской Федерации</v>
      </c>
      <c r="C4" s="10" t="str">
        <f>[13]И1!E13</f>
        <v>Новосибирская область</v>
      </c>
      <c r="D4" s="9"/>
    </row>
    <row r="5" spans="1:4" ht="48.6" customHeight="1" x14ac:dyDescent="0.2">
      <c r="A5" s="8"/>
      <c r="B5" s="9" t="str">
        <f>[13]И1!D14</f>
        <v>Тип муниципального образования (выберите из списка)</v>
      </c>
      <c r="C5" s="10" t="str">
        <f>[13]И1!E14</f>
        <v>поселок Агролес, Искитимский муниципальный район</v>
      </c>
      <c r="D5" s="9"/>
    </row>
    <row r="6" spans="1:4" x14ac:dyDescent="0.2">
      <c r="A6" s="8"/>
      <c r="B6" s="9" t="str">
        <f>IF([13]И1!E15="","",[13]И1!D15)</f>
        <v/>
      </c>
      <c r="C6" s="7" t="str">
        <f>IF([13]И1!E15="","",[13]И1!E15)</f>
        <v/>
      </c>
      <c r="D6" s="9"/>
    </row>
    <row r="7" spans="1:4" x14ac:dyDescent="0.2">
      <c r="A7" s="8"/>
      <c r="B7" s="9" t="str">
        <f>[13]И1!D16</f>
        <v>Код ОКТМО</v>
      </c>
      <c r="C7" s="11" t="str">
        <f>[13]И1!E16</f>
        <v xml:space="preserve"> (50615417101)</v>
      </c>
      <c r="D7" s="9"/>
    </row>
    <row r="8" spans="1:4" x14ac:dyDescent="0.2">
      <c r="A8" s="8"/>
      <c r="B8" s="12" t="str">
        <f>[13]И1!D17</f>
        <v>Система теплоснабжения</v>
      </c>
      <c r="C8" s="13">
        <f>[13]И1!E17</f>
        <v>0</v>
      </c>
      <c r="D8" s="9"/>
    </row>
    <row r="9" spans="1:4" x14ac:dyDescent="0.2">
      <c r="A9" s="8"/>
      <c r="B9" s="9" t="str">
        <f>[13]И1!D8</f>
        <v>Период регулирования (i)-й</v>
      </c>
      <c r="C9" s="14">
        <f>[13]И1!E8</f>
        <v>2024</v>
      </c>
      <c r="D9" s="9"/>
    </row>
    <row r="10" spans="1:4" x14ac:dyDescent="0.2">
      <c r="A10" s="8"/>
      <c r="B10" s="9" t="str">
        <f>[13]И1!D9</f>
        <v>Период регулирования (i-1)-й</v>
      </c>
      <c r="C10" s="14">
        <f>[13]И1!E9</f>
        <v>2023</v>
      </c>
      <c r="D10" s="9"/>
    </row>
    <row r="11" spans="1:4" x14ac:dyDescent="0.2">
      <c r="A11" s="8"/>
      <c r="B11" s="9" t="str">
        <f>[13]И1!D10</f>
        <v>Период регулирования (i-2)-й</v>
      </c>
      <c r="C11" s="14">
        <f>[13]И1!E10</f>
        <v>2022</v>
      </c>
      <c r="D11" s="9"/>
    </row>
    <row r="12" spans="1:4" x14ac:dyDescent="0.2">
      <c r="A12" s="8"/>
      <c r="B12" s="9" t="str">
        <f>[13]И1!D11</f>
        <v>Базовый год (б)</v>
      </c>
      <c r="C12" s="14">
        <f>[13]И1!E11</f>
        <v>2019</v>
      </c>
      <c r="D12" s="9"/>
    </row>
    <row r="13" spans="1:4" x14ac:dyDescent="0.2">
      <c r="A13" s="8"/>
      <c r="B13" s="9" t="str">
        <f>[13]И1!D18</f>
        <v>Вид топлива, использование которого преобладает в системе теплоснабжения</v>
      </c>
      <c r="C13" s="15" t="str">
        <f>[13]И1!E18</f>
        <v>Газ</v>
      </c>
      <c r="D13" s="9"/>
    </row>
    <row r="14" spans="1:4" ht="26.25" customHeight="1" thickBot="1" x14ac:dyDescent="0.25">
      <c r="A14" s="167" t="s">
        <v>3</v>
      </c>
      <c r="B14" s="167"/>
      <c r="C14" s="167"/>
    </row>
    <row r="15" spans="1:4" x14ac:dyDescent="0.2">
      <c r="A15" s="16" t="s">
        <v>4</v>
      </c>
      <c r="B15" s="30" t="s">
        <v>5</v>
      </c>
      <c r="C15" s="118" t="s">
        <v>6</v>
      </c>
    </row>
    <row r="16" spans="1:4" x14ac:dyDescent="0.2">
      <c r="A16" s="19">
        <v>1</v>
      </c>
      <c r="B16" s="119">
        <v>2</v>
      </c>
      <c r="C16" s="120">
        <v>3</v>
      </c>
    </row>
    <row r="17" spans="1:4" x14ac:dyDescent="0.2">
      <c r="A17" s="22">
        <v>1</v>
      </c>
      <c r="B17" s="23" t="s">
        <v>7</v>
      </c>
      <c r="C17" s="24">
        <f>SUM(C18:C23)</f>
        <v>2939.204068798766</v>
      </c>
    </row>
    <row r="18" spans="1:4" ht="42.75" x14ac:dyDescent="0.2">
      <c r="A18" s="22" t="s">
        <v>8</v>
      </c>
      <c r="B18" s="25" t="s">
        <v>9</v>
      </c>
      <c r="C18" s="26">
        <f>[13]С1!F12</f>
        <v>994.35037159416254</v>
      </c>
    </row>
    <row r="19" spans="1:4" ht="42.75" x14ac:dyDescent="0.2">
      <c r="A19" s="22" t="s">
        <v>10</v>
      </c>
      <c r="B19" s="25" t="s">
        <v>11</v>
      </c>
      <c r="C19" s="26">
        <f>[13]С2!F12</f>
        <v>1338.5714783459885</v>
      </c>
    </row>
    <row r="20" spans="1:4" ht="30" x14ac:dyDescent="0.2">
      <c r="A20" s="22" t="s">
        <v>12</v>
      </c>
      <c r="B20" s="25" t="s">
        <v>13</v>
      </c>
      <c r="C20" s="26">
        <f>[13]С3!F12</f>
        <v>317.98065232680995</v>
      </c>
    </row>
    <row r="21" spans="1:4" ht="42.75" x14ac:dyDescent="0.2">
      <c r="A21" s="22" t="s">
        <v>14</v>
      </c>
      <c r="B21" s="25" t="s">
        <v>228</v>
      </c>
      <c r="C21" s="26">
        <f>[13]С4!F12</f>
        <v>230.67011420241766</v>
      </c>
    </row>
    <row r="22" spans="1:4" ht="33" customHeight="1" x14ac:dyDescent="0.2">
      <c r="A22" s="22" t="s">
        <v>16</v>
      </c>
      <c r="B22" s="25" t="s">
        <v>229</v>
      </c>
      <c r="C22" s="26">
        <f>[13]С5!F12</f>
        <v>57.631452329387571</v>
      </c>
    </row>
    <row r="23" spans="1:4" ht="45.75" customHeight="1" thickBot="1" x14ac:dyDescent="0.25">
      <c r="A23" s="27" t="s">
        <v>18</v>
      </c>
      <c r="B23" s="140" t="s">
        <v>230</v>
      </c>
      <c r="C23" s="28">
        <f>[13]С6!F12</f>
        <v>0</v>
      </c>
    </row>
    <row r="24" spans="1:4" ht="13.5" thickBot="1" x14ac:dyDescent="0.25">
      <c r="A24" s="3"/>
      <c r="C24" s="7"/>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ht="25.5" x14ac:dyDescent="0.2">
      <c r="A28" s="22" t="s">
        <v>8</v>
      </c>
      <c r="B28" s="33" t="s">
        <v>231</v>
      </c>
      <c r="C28" s="34">
        <f>[13]С1.1!E16</f>
        <v>7900</v>
      </c>
      <c r="D28" s="145" t="str">
        <f>[13]С1.1!F16</f>
        <v>Приказ ФАС России от 02.06.2021 №545/21</v>
      </c>
    </row>
    <row r="29" spans="1:4" ht="102" x14ac:dyDescent="0.2">
      <c r="A29" s="22" t="s">
        <v>10</v>
      </c>
      <c r="B29" s="33" t="s">
        <v>232</v>
      </c>
      <c r="C29" s="34">
        <f>[13]С1.1!E32</f>
        <v>5751.37</v>
      </c>
      <c r="D29" s="145" t="str">
        <f>IF([13]С1.1!E24=[13]С1.1!I9,[13]С1.1!I9,IF([13]С1.1!E24=[13]С1.1!I10,[13]С1.1!I10,IF([13]С1.1!E24=[13]С1.1!I11,[13]С1.3!G9,IF([13]С1.1!E24=[13]С1.1!I12,[13]С1.1!F30,IF([13]С1.1!E24=[13]С1.1!I13,[13]С1.1!F31,"")))))</f>
        <v>цены (тарифы), подлежащие государственному регулированию, действовавшие на день окончания (i-2)-го расчетного периода в системе теплоснабжения</v>
      </c>
    </row>
    <row r="30" spans="1:4" ht="38.25" x14ac:dyDescent="0.2">
      <c r="A30" s="22" t="s">
        <v>233</v>
      </c>
      <c r="B30" s="33" t="s">
        <v>234</v>
      </c>
      <c r="C30" s="85" t="str">
        <f>[13]С1.1!E25</f>
        <v>ООО "Газпром газораспределение Томск"</v>
      </c>
      <c r="D30" s="145">
        <f>[13]С1.1!F25</f>
        <v>0</v>
      </c>
    </row>
    <row r="31" spans="1:4" ht="38.25" x14ac:dyDescent="0.2">
      <c r="A31" s="22" t="s">
        <v>235</v>
      </c>
      <c r="B31" s="33" t="str">
        <f>[13]С1.1!D26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[13]С1.1!E26</f>
        <v>4699.5</v>
      </c>
      <c r="D31" s="145" t="str">
        <f>[13]С1.1!F26</f>
        <v>Приказ ФАС России от 02.06.2021 №545/21</v>
      </c>
    </row>
    <row r="32" spans="1:4" ht="25.5" x14ac:dyDescent="0.2">
      <c r="A32" s="22" t="s">
        <v>236</v>
      </c>
      <c r="B32" s="33" t="str">
        <f>[13]С1.1!D27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[13]С1.1!E27</f>
        <v>795.43</v>
      </c>
      <c r="D32" s="145" t="str">
        <f>[13]С1.1!F27</f>
        <v>Приказ ФАС России от 13.01.2020 №15/20</v>
      </c>
    </row>
    <row r="33" spans="1:4" ht="25.5" x14ac:dyDescent="0.2">
      <c r="A33" s="22" t="s">
        <v>237</v>
      </c>
      <c r="B33" s="33" t="str">
        <f>[13]С1.1!D28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[13]С1.1!E28</f>
        <v>136.54</v>
      </c>
      <c r="D33" s="145" t="str">
        <f>[13]С1.1!F28</f>
        <v>Приказ ФАС России от 27.05.2016 №682/16</v>
      </c>
    </row>
    <row r="34" spans="1:4" ht="51" x14ac:dyDescent="0.2">
      <c r="A34" s="22" t="s">
        <v>238</v>
      </c>
      <c r="B34" s="33" t="str">
        <f>[13]С1.1!D29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[13]С1.1!E29</f>
        <v>119.9</v>
      </c>
      <c r="D34" s="145" t="str">
        <f>[13]С1.1!F29</f>
        <v>Приказ департамента по тарифам Новосибирской области от 22.12.2020 №650-Г</v>
      </c>
    </row>
    <row r="35" spans="1:4" ht="369.75" x14ac:dyDescent="0.2">
      <c r="A35" s="22" t="s">
        <v>12</v>
      </c>
      <c r="B35" s="33" t="s">
        <v>23</v>
      </c>
      <c r="C35" s="35">
        <f>[13]С1.1!E20</f>
        <v>8.5000000000000006E-2</v>
      </c>
      <c r="D35" s="145" t="str">
        <f>[13]С1.1!F20</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
    </row>
    <row r="36" spans="1:4" ht="306" x14ac:dyDescent="0.2">
      <c r="A36" s="22" t="s">
        <v>14</v>
      </c>
      <c r="B36" s="33" t="s">
        <v>24</v>
      </c>
      <c r="C36" s="35">
        <f>[13]С1.1!E21</f>
        <v>0.112</v>
      </c>
      <c r="D36" s="145" t="str">
        <f>[13]С1.1!F21</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
    </row>
    <row r="37" spans="1:4" ht="30" x14ac:dyDescent="0.2">
      <c r="A37" s="22" t="s">
        <v>16</v>
      </c>
      <c r="B37" s="36" t="s">
        <v>239</v>
      </c>
      <c r="C37" s="121">
        <f>[13]С1!F13</f>
        <v>156.1</v>
      </c>
      <c r="D37" s="145" t="s">
        <v>260</v>
      </c>
    </row>
    <row r="38" spans="1:4" x14ac:dyDescent="0.2">
      <c r="A38" s="22" t="s">
        <v>18</v>
      </c>
      <c r="B38" s="36" t="s">
        <v>26</v>
      </c>
      <c r="C38" s="38">
        <f>[13]С1!F16</f>
        <v>7000</v>
      </c>
      <c r="D38" s="147" t="s">
        <v>261</v>
      </c>
    </row>
    <row r="39" spans="1:4" ht="14.25" x14ac:dyDescent="0.2">
      <c r="A39" s="122" t="s">
        <v>27</v>
      </c>
      <c r="B39" s="39" t="s">
        <v>240</v>
      </c>
      <c r="C39" s="40">
        <f>[13]С1!F17</f>
        <v>1.1285714285714286</v>
      </c>
      <c r="D39" s="145"/>
    </row>
    <row r="40" spans="1:4" ht="15.75" x14ac:dyDescent="0.2">
      <c r="A40" s="123" t="s">
        <v>29</v>
      </c>
      <c r="B40" s="42" t="s">
        <v>30</v>
      </c>
      <c r="C40" s="40">
        <f>[13]С1!F20</f>
        <v>22.307053372799995</v>
      </c>
      <c r="D40" s="145"/>
    </row>
    <row r="41" spans="1:4" ht="15.75" x14ac:dyDescent="0.2">
      <c r="A41" s="123" t="s">
        <v>31</v>
      </c>
      <c r="B41" s="43" t="s">
        <v>32</v>
      </c>
      <c r="C41" s="40">
        <f>[13]С1!F21</f>
        <v>21.531904799999996</v>
      </c>
      <c r="D41" s="145"/>
    </row>
    <row r="42" spans="1:4" ht="14.25" x14ac:dyDescent="0.2">
      <c r="A42" s="123" t="s">
        <v>33</v>
      </c>
      <c r="B42" s="44" t="s">
        <v>34</v>
      </c>
      <c r="C42" s="40">
        <f>[13]С1!F22</f>
        <v>1.036</v>
      </c>
      <c r="D42" s="145" t="s">
        <v>262</v>
      </c>
    </row>
    <row r="43" spans="1:4" ht="53.25" thickBot="1" x14ac:dyDescent="0.25">
      <c r="A43" s="27" t="s">
        <v>35</v>
      </c>
      <c r="B43" s="45" t="s">
        <v>36</v>
      </c>
      <c r="C43" s="46" t="str">
        <f>[13]С1!F23</f>
        <v>-</v>
      </c>
      <c r="D43" s="148" t="s">
        <v>263</v>
      </c>
    </row>
    <row r="44" spans="1:4" ht="13.5" thickBot="1" x14ac:dyDescent="0.25">
      <c r="A44" s="47"/>
      <c r="B44" s="75"/>
      <c r="C44" s="15"/>
      <c r="D44" s="160"/>
    </row>
    <row r="45" spans="1:4" ht="30" customHeight="1" x14ac:dyDescent="0.2">
      <c r="A45" s="50" t="s">
        <v>37</v>
      </c>
      <c r="B45" s="165" t="s">
        <v>38</v>
      </c>
      <c r="C45" s="165"/>
      <c r="D45" s="170"/>
    </row>
    <row r="46" spans="1:4" ht="25.5" x14ac:dyDescent="0.2">
      <c r="A46" s="22" t="s">
        <v>39</v>
      </c>
      <c r="B46" s="36" t="s">
        <v>40</v>
      </c>
      <c r="C46" s="51" t="str">
        <f>[13]С2.1!E12</f>
        <v>V</v>
      </c>
      <c r="D46" s="145" t="s">
        <v>264</v>
      </c>
    </row>
    <row r="47" spans="1:4" ht="331.5" x14ac:dyDescent="0.2">
      <c r="A47" s="22" t="s">
        <v>41</v>
      </c>
      <c r="B47" s="33" t="s">
        <v>42</v>
      </c>
      <c r="C47" s="51" t="str">
        <f>[13]С2.1!E13</f>
        <v>6 и менее баллов</v>
      </c>
      <c r="D47" s="145" t="str">
        <f>[13]С2.1!F13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04" x14ac:dyDescent="0.2">
      <c r="A48" s="22" t="s">
        <v>43</v>
      </c>
      <c r="B48" s="33" t="s">
        <v>241</v>
      </c>
      <c r="C48" s="51" t="str">
        <f>[13]С2.1!E14</f>
        <v>от 200 до 500</v>
      </c>
      <c r="D48" s="145" t="str">
        <f>[13]С2.1!F14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5.5" x14ac:dyDescent="0.2">
      <c r="A49" s="22" t="s">
        <v>45</v>
      </c>
      <c r="B49" s="33" t="s">
        <v>242</v>
      </c>
      <c r="C49" s="52" t="str">
        <f>[13]С2.1!E15</f>
        <v>нет</v>
      </c>
      <c r="D49" s="145">
        <f>[13]С2.1!F15</f>
        <v>0</v>
      </c>
    </row>
    <row r="50" spans="1:4" ht="30" x14ac:dyDescent="0.2">
      <c r="A50" s="22" t="s">
        <v>47</v>
      </c>
      <c r="B50" s="33" t="s">
        <v>48</v>
      </c>
      <c r="C50" s="34">
        <f>[13]С2!F18</f>
        <v>35106.652004551666</v>
      </c>
      <c r="D50" s="145"/>
    </row>
    <row r="51" spans="1:4" ht="30" x14ac:dyDescent="0.2">
      <c r="A51" s="22" t="s">
        <v>49</v>
      </c>
      <c r="B51" s="53" t="s">
        <v>50</v>
      </c>
      <c r="C51" s="34">
        <f>IF([13]С2!F19&gt;0,[13]С2!F19,[13]С2!F20)</f>
        <v>23441.524932855718</v>
      </c>
      <c r="D51" s="145"/>
    </row>
    <row r="52" spans="1:4" ht="140.25" x14ac:dyDescent="0.2">
      <c r="A52" s="22" t="s">
        <v>51</v>
      </c>
      <c r="B52" s="54" t="s">
        <v>52</v>
      </c>
      <c r="C52" s="34">
        <f>[13]С2.1!E20</f>
        <v>-38</v>
      </c>
      <c r="D52" s="145" t="str">
        <f>CONCATENATE([13]С2.1!F20,"  ",[13]С2.1!F21)</f>
        <v>Свод правил СП 131.13330.2020 "СНиП 23-01-99* Строительная климатология" "Температура воздуха наиболее холодной пятидневки с обеспеченностью 0,92"  Значение принято по ближайшему населенному пункту</v>
      </c>
    </row>
    <row r="53" spans="1:4" ht="25.5" x14ac:dyDescent="0.2">
      <c r="A53" s="22" t="s">
        <v>53</v>
      </c>
      <c r="B53" s="54" t="s">
        <v>54</v>
      </c>
      <c r="C53" s="34" t="str">
        <f>[13]С2.1!E23</f>
        <v>нет</v>
      </c>
      <c r="D53" s="150" t="str">
        <f>IF([13]С2.1!F23="","",[13]С2.1!F23)</f>
        <v/>
      </c>
    </row>
    <row r="54" spans="1:4" ht="38.25" x14ac:dyDescent="0.2">
      <c r="A54" s="22" t="s">
        <v>55</v>
      </c>
      <c r="B54" s="55" t="s">
        <v>56</v>
      </c>
      <c r="C54" s="34">
        <f>[13]С2.2!E10</f>
        <v>1287</v>
      </c>
      <c r="D54" s="145" t="s">
        <v>265</v>
      </c>
    </row>
    <row r="55" spans="1:4" ht="25.5" x14ac:dyDescent="0.2">
      <c r="A55" s="22" t="s">
        <v>57</v>
      </c>
      <c r="B55" s="56" t="s">
        <v>58</v>
      </c>
      <c r="C55" s="34">
        <f>[13]С2.2!E12</f>
        <v>5.97</v>
      </c>
      <c r="D55" s="145" t="s">
        <v>266</v>
      </c>
    </row>
    <row r="56" spans="1:4" ht="52.5" x14ac:dyDescent="0.2">
      <c r="A56" s="22" t="s">
        <v>59</v>
      </c>
      <c r="B56" s="57" t="s">
        <v>60</v>
      </c>
      <c r="C56" s="34">
        <f>[13]С2.2!E13</f>
        <v>1</v>
      </c>
      <c r="D56" s="147" t="s">
        <v>261</v>
      </c>
    </row>
    <row r="57" spans="1:4" ht="27.75" x14ac:dyDescent="0.2">
      <c r="A57" s="22" t="s">
        <v>61</v>
      </c>
      <c r="B57" s="56" t="s">
        <v>62</v>
      </c>
      <c r="C57" s="34">
        <f>[13]С2.2!E14</f>
        <v>12104</v>
      </c>
      <c r="D57" s="145" t="s">
        <v>265</v>
      </c>
    </row>
    <row r="58" spans="1:4" ht="89.25" x14ac:dyDescent="0.2">
      <c r="A58" s="22" t="s">
        <v>63</v>
      </c>
      <c r="B58" s="57" t="s">
        <v>64</v>
      </c>
      <c r="C58" s="35">
        <f>[13]С2.2!E15</f>
        <v>4.8000000000000001E-2</v>
      </c>
      <c r="D58" s="145" t="s">
        <v>267</v>
      </c>
    </row>
    <row r="59" spans="1:4" ht="89.25" x14ac:dyDescent="0.2">
      <c r="A59" s="22" t="s">
        <v>65</v>
      </c>
      <c r="B59" s="57" t="s">
        <v>66</v>
      </c>
      <c r="C59" s="124">
        <f>[13]С2.2!E16</f>
        <v>1</v>
      </c>
      <c r="D59" s="145" t="s">
        <v>268</v>
      </c>
    </row>
    <row r="60" spans="1:4" ht="15.75" x14ac:dyDescent="0.2">
      <c r="A60" s="22" t="s">
        <v>67</v>
      </c>
      <c r="B60" s="58" t="s">
        <v>68</v>
      </c>
      <c r="C60" s="34">
        <f>[13]С2!F21</f>
        <v>1</v>
      </c>
      <c r="D60" s="145" t="s">
        <v>269</v>
      </c>
    </row>
    <row r="61" spans="1:4" ht="30" x14ac:dyDescent="0.2">
      <c r="A61" s="59" t="s">
        <v>69</v>
      </c>
      <c r="B61" s="33" t="s">
        <v>243</v>
      </c>
      <c r="C61" s="34">
        <f>[13]С2!F13</f>
        <v>105136.23090983224</v>
      </c>
      <c r="D61" s="145"/>
    </row>
    <row r="62" spans="1:4" ht="30" x14ac:dyDescent="0.2">
      <c r="A62" s="59" t="s">
        <v>71</v>
      </c>
      <c r="B62" s="60" t="s">
        <v>244</v>
      </c>
      <c r="C62" s="34">
        <f>[13]С2!F14</f>
        <v>64899</v>
      </c>
      <c r="D62" s="145" t="s">
        <v>260</v>
      </c>
    </row>
    <row r="63" spans="1:4" ht="15.75" x14ac:dyDescent="0.2">
      <c r="A63" s="59" t="s">
        <v>73</v>
      </c>
      <c r="B63" s="60" t="s">
        <v>74</v>
      </c>
      <c r="C63" s="40">
        <f>[13]С2!F15</f>
        <v>1.071</v>
      </c>
      <c r="D63" s="145" t="s">
        <v>270</v>
      </c>
    </row>
    <row r="64" spans="1:4" ht="15.75" x14ac:dyDescent="0.2">
      <c r="A64" s="59" t="s">
        <v>75</v>
      </c>
      <c r="B64" s="60" t="s">
        <v>76</v>
      </c>
      <c r="C64" s="125">
        <f>[13]С2!F16</f>
        <v>1</v>
      </c>
      <c r="D64" s="145" t="s">
        <v>269</v>
      </c>
    </row>
    <row r="65" spans="1:4" ht="17.25" x14ac:dyDescent="0.2">
      <c r="A65" s="59" t="s">
        <v>77</v>
      </c>
      <c r="B65" s="60" t="s">
        <v>78</v>
      </c>
      <c r="C65" s="126">
        <f>[13]С2!F17</f>
        <v>1.01</v>
      </c>
      <c r="D65" s="145" t="s">
        <v>271</v>
      </c>
    </row>
    <row r="66" spans="1:4" s="63" customFormat="1" ht="14.25" x14ac:dyDescent="0.2">
      <c r="A66" s="59" t="s">
        <v>79</v>
      </c>
      <c r="B66" s="61" t="s">
        <v>80</v>
      </c>
      <c r="C66" s="62">
        <f>[13]С2!F35</f>
        <v>10</v>
      </c>
      <c r="D66" s="145" t="s">
        <v>272</v>
      </c>
    </row>
    <row r="67" spans="1:4" ht="30" x14ac:dyDescent="0.2">
      <c r="A67" s="59" t="s">
        <v>81</v>
      </c>
      <c r="B67" s="64" t="s">
        <v>82</v>
      </c>
      <c r="C67" s="34">
        <f>[13]С2!F28</f>
        <v>331.04604307653443</v>
      </c>
      <c r="D67" s="145"/>
    </row>
    <row r="68" spans="1:4" ht="242.25" x14ac:dyDescent="0.2">
      <c r="A68" s="59" t="s">
        <v>83</v>
      </c>
      <c r="B68" s="53" t="s">
        <v>245</v>
      </c>
      <c r="C68" s="40">
        <f>[13]С2!F29</f>
        <v>0.44209422600000003</v>
      </c>
      <c r="D68" s="145" t="str">
        <f>[13]С2.4!F12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9" spans="1:4" ht="17.25" x14ac:dyDescent="0.2">
      <c r="A69" s="59" t="s">
        <v>85</v>
      </c>
      <c r="B69" s="58" t="s">
        <v>246</v>
      </c>
      <c r="C69" s="62">
        <f>[13]С2!F30</f>
        <v>500</v>
      </c>
      <c r="D69" s="145" t="s">
        <v>260</v>
      </c>
    </row>
    <row r="70" spans="1:4" ht="42.75" x14ac:dyDescent="0.2">
      <c r="A70" s="59" t="s">
        <v>87</v>
      </c>
      <c r="B70" s="33" t="s">
        <v>247</v>
      </c>
      <c r="C70" s="34">
        <f>[13]С2!F22</f>
        <v>39638.324046481182</v>
      </c>
      <c r="D70" s="145"/>
    </row>
    <row r="71" spans="1:4" ht="30" x14ac:dyDescent="0.2">
      <c r="A71" s="59" t="s">
        <v>89</v>
      </c>
      <c r="B71" s="60" t="s">
        <v>248</v>
      </c>
      <c r="C71" s="34">
        <f>[13]С2!F23</f>
        <v>21</v>
      </c>
      <c r="D71" s="145" t="s">
        <v>273</v>
      </c>
    </row>
    <row r="72" spans="1:4" ht="30" x14ac:dyDescent="0.2">
      <c r="A72" s="59" t="s">
        <v>91</v>
      </c>
      <c r="B72" s="53" t="s">
        <v>92</v>
      </c>
      <c r="C72" s="34">
        <f>[13]С2.1!E28</f>
        <v>14036.09995</v>
      </c>
      <c r="D72" s="145"/>
    </row>
    <row r="73" spans="1:4" ht="38.25" x14ac:dyDescent="0.2">
      <c r="A73" s="59" t="s">
        <v>93</v>
      </c>
      <c r="B73" s="65" t="s">
        <v>94</v>
      </c>
      <c r="C73" s="52">
        <f>[13]С2.3!E21</f>
        <v>0</v>
      </c>
      <c r="D73" s="145">
        <f>[13]С2.3!F21</f>
        <v>0</v>
      </c>
    </row>
    <row r="74" spans="1:4" ht="25.5" x14ac:dyDescent="0.2">
      <c r="A74" s="59" t="s">
        <v>95</v>
      </c>
      <c r="B74" s="66" t="s">
        <v>96</v>
      </c>
      <c r="C74" s="67">
        <f>[13]С2.3!E11</f>
        <v>5.45</v>
      </c>
      <c r="D74" s="145" t="s">
        <v>274</v>
      </c>
    </row>
    <row r="75" spans="1:4" ht="25.5" x14ac:dyDescent="0.2">
      <c r="A75" s="59" t="s">
        <v>97</v>
      </c>
      <c r="B75" s="66" t="s">
        <v>98</v>
      </c>
      <c r="C75" s="62">
        <f>[13]С2.3!E13</f>
        <v>300</v>
      </c>
      <c r="D75" s="145" t="s">
        <v>274</v>
      </c>
    </row>
    <row r="76" spans="1:4" ht="25.5" x14ac:dyDescent="0.2">
      <c r="A76" s="59" t="s">
        <v>99</v>
      </c>
      <c r="B76" s="65" t="s">
        <v>100</v>
      </c>
      <c r="C76" s="68">
        <f>IF([13]С2.3!E22&gt;0,[13]С2.3!E22,[13]С2.3!E14)</f>
        <v>61211</v>
      </c>
      <c r="D76" s="145" t="str">
        <f>IF(C76=[13]С2.3!E14,"Таблица ТЭП (IV)",[13]С2.3!F22)</f>
        <v>Таблица ТЭП (IV)</v>
      </c>
    </row>
    <row r="77" spans="1:4" ht="38.25" x14ac:dyDescent="0.2">
      <c r="A77" s="59" t="s">
        <v>101</v>
      </c>
      <c r="B77" s="65" t="s">
        <v>102</v>
      </c>
      <c r="C77" s="68">
        <f>IF([13]С2.3!E23&gt;0,[13]С2.3!E23,[13]С2.3!E15)</f>
        <v>45675</v>
      </c>
      <c r="D77" s="145" t="str">
        <f>IF(C77=[13]С2.3!E15,"Таблица ТЭП (IV)",[13]С2.3!F23)</f>
        <v>Таблица ТЭП (IV)</v>
      </c>
    </row>
    <row r="78" spans="1:4" ht="30" x14ac:dyDescent="0.2">
      <c r="A78" s="59" t="s">
        <v>103</v>
      </c>
      <c r="B78" s="53" t="s">
        <v>104</v>
      </c>
      <c r="C78" s="34">
        <f>[13]С2.1!E29</f>
        <v>9518.3274000000001</v>
      </c>
      <c r="D78" s="145"/>
    </row>
    <row r="79" spans="1:4" ht="38.25" x14ac:dyDescent="0.2">
      <c r="A79" s="59" t="s">
        <v>105</v>
      </c>
      <c r="B79" s="65" t="s">
        <v>106</v>
      </c>
      <c r="C79" s="52">
        <f>[13]С2.3!E25</f>
        <v>0</v>
      </c>
      <c r="D79" s="145">
        <f>[13]С2.3!F25</f>
        <v>0</v>
      </c>
    </row>
    <row r="80" spans="1:4" ht="25.5" x14ac:dyDescent="0.2">
      <c r="A80" s="59" t="s">
        <v>107</v>
      </c>
      <c r="B80" s="66" t="s">
        <v>108</v>
      </c>
      <c r="C80" s="67">
        <f>[13]С2.3!E12</f>
        <v>0.2</v>
      </c>
      <c r="D80" s="145" t="s">
        <v>274</v>
      </c>
    </row>
    <row r="81" spans="1:4" ht="25.5" x14ac:dyDescent="0.2">
      <c r="A81" s="59" t="s">
        <v>109</v>
      </c>
      <c r="B81" s="66" t="s">
        <v>98</v>
      </c>
      <c r="C81" s="62">
        <f>[13]С2.3!E13</f>
        <v>300</v>
      </c>
      <c r="D81" s="145" t="s">
        <v>274</v>
      </c>
    </row>
    <row r="82" spans="1:4" ht="25.5" x14ac:dyDescent="0.2">
      <c r="A82" s="59" t="s">
        <v>110</v>
      </c>
      <c r="B82" s="69" t="s">
        <v>111</v>
      </c>
      <c r="C82" s="68">
        <f>IF([13]С2.3!E26&gt;0,[13]С2.3!E26,[13]С2.3!E16)</f>
        <v>65637</v>
      </c>
      <c r="D82" s="145" t="str">
        <f>IF(C82=[13]С2.3!E16,"Таблица ТЭП (IV)",[13]С2.3!F26)</f>
        <v>Таблица ТЭП (IV)</v>
      </c>
    </row>
    <row r="83" spans="1:4" ht="38.25" x14ac:dyDescent="0.2">
      <c r="A83" s="59" t="s">
        <v>112</v>
      </c>
      <c r="B83" s="69" t="s">
        <v>113</v>
      </c>
      <c r="C83" s="68">
        <f>IF([13]С2.3!E27&gt;0,[13]С2.3!E27,[13]С2.3!E17)</f>
        <v>31684</v>
      </c>
      <c r="D83" s="145" t="str">
        <f>IF(C83=[13]С2.3!E17,"Таблица ТЭП (IV)",[13]С2.3!F27)</f>
        <v>Таблица ТЭП (IV)</v>
      </c>
    </row>
    <row r="84" spans="1:4" ht="30" x14ac:dyDescent="0.2">
      <c r="A84" s="59" t="s">
        <v>249</v>
      </c>
      <c r="B84" s="60" t="s">
        <v>250</v>
      </c>
      <c r="C84" s="68">
        <f>IF([13]С2.1!E19&gt;0,[13]С2.1!E19,[13]С2!F26)</f>
        <v>2892</v>
      </c>
      <c r="D84" s="145" t="str">
        <f>IF([13]С2.1!E19&gt;0,[13]С2.1!F19,"Таблица ТЭП (V)")</f>
        <v>Таблица ТЭП (V)</v>
      </c>
    </row>
    <row r="85" spans="1:4" ht="17.25" x14ac:dyDescent="0.2">
      <c r="A85" s="59" t="s">
        <v>114</v>
      </c>
      <c r="B85" s="33" t="s">
        <v>115</v>
      </c>
      <c r="C85" s="35">
        <f>[13]С2!F31</f>
        <v>9.5962865259740182E-2</v>
      </c>
      <c r="D85" s="151"/>
    </row>
    <row r="86" spans="1:4" ht="38.25" x14ac:dyDescent="0.2">
      <c r="A86" s="59" t="s">
        <v>116</v>
      </c>
      <c r="B86" s="53" t="s">
        <v>117</v>
      </c>
      <c r="C86" s="70">
        <f>[13]С2!F32</f>
        <v>8.4029304029304031E-2</v>
      </c>
      <c r="D86" s="145" t="str">
        <f>[13]С2.6!G11</f>
        <v>Информация с официального сайта Банка России</v>
      </c>
    </row>
    <row r="87" spans="1:4" ht="17.25" x14ac:dyDescent="0.2">
      <c r="A87" s="59" t="s">
        <v>118</v>
      </c>
      <c r="B87" s="71" t="s">
        <v>119</v>
      </c>
      <c r="C87" s="35">
        <f>[13]С2!F33</f>
        <v>0.13880000000000001</v>
      </c>
      <c r="D87" s="145" t="s">
        <v>272</v>
      </c>
    </row>
    <row r="88" spans="1:4" s="63" customFormat="1" ht="18" thickBot="1" x14ac:dyDescent="0.25">
      <c r="A88" s="72" t="s">
        <v>120</v>
      </c>
      <c r="B88" s="73" t="s">
        <v>121</v>
      </c>
      <c r="C88" s="74">
        <f>[13]С2!F34</f>
        <v>0.12640000000000001</v>
      </c>
      <c r="D88" s="148" t="s">
        <v>272</v>
      </c>
    </row>
    <row r="89" spans="1:4" ht="13.5" thickBot="1" x14ac:dyDescent="0.25">
      <c r="A89" s="47"/>
      <c r="B89" s="75"/>
      <c r="C89" s="15"/>
      <c r="D89" s="160"/>
    </row>
    <row r="90" spans="1:4" s="63" customFormat="1" ht="30" customHeight="1" x14ac:dyDescent="0.2">
      <c r="A90" s="76" t="s">
        <v>122</v>
      </c>
      <c r="B90" s="165" t="s">
        <v>123</v>
      </c>
      <c r="C90" s="165"/>
      <c r="D90" s="170"/>
    </row>
    <row r="91" spans="1:4" s="63" customFormat="1" ht="30" x14ac:dyDescent="0.2">
      <c r="A91" s="77" t="s">
        <v>124</v>
      </c>
      <c r="B91" s="33" t="s">
        <v>125</v>
      </c>
      <c r="C91" s="34">
        <f>[13]С3!F14</f>
        <v>4207.4782939208517</v>
      </c>
      <c r="D91" s="145"/>
    </row>
    <row r="92" spans="1:4" s="63" customFormat="1" ht="42.75" x14ac:dyDescent="0.2">
      <c r="A92" s="77" t="s">
        <v>126</v>
      </c>
      <c r="B92" s="53" t="s">
        <v>127</v>
      </c>
      <c r="C92" s="78">
        <f>[13]С3!F15</f>
        <v>0.2</v>
      </c>
      <c r="D92" s="145" t="str">
        <f>[13]С3.1!F12</f>
        <v xml:space="preserve">Налоговый кодекс Российской Федерации </v>
      </c>
    </row>
    <row r="93" spans="1:4" s="63" customFormat="1" ht="14.25" x14ac:dyDescent="0.2">
      <c r="A93" s="77" t="s">
        <v>128</v>
      </c>
      <c r="B93" s="79" t="s">
        <v>129</v>
      </c>
      <c r="C93" s="62">
        <f>[13]С3!F18</f>
        <v>15</v>
      </c>
      <c r="D93" s="145" t="s">
        <v>272</v>
      </c>
    </row>
    <row r="94" spans="1:4" s="63" customFormat="1" ht="17.25" x14ac:dyDescent="0.2">
      <c r="A94" s="77" t="s">
        <v>130</v>
      </c>
      <c r="B94" s="33" t="s">
        <v>131</v>
      </c>
      <c r="C94" s="34">
        <f>[13]С3!F19</f>
        <v>2638.2577020926874</v>
      </c>
      <c r="D94" s="145"/>
    </row>
    <row r="95" spans="1:4" s="63" customFormat="1" ht="55.5" x14ac:dyDescent="0.2">
      <c r="A95" s="77" t="s">
        <v>132</v>
      </c>
      <c r="B95" s="53" t="s">
        <v>133</v>
      </c>
      <c r="C95" s="80">
        <f>[13]С3!F20</f>
        <v>2.1999999999999999E-2</v>
      </c>
      <c r="D95" s="145" t="str">
        <f>[13]С3.1!F13</f>
        <v xml:space="preserve">Налоговый кодекс Российской Федерации </v>
      </c>
    </row>
    <row r="96" spans="1:4" s="63" customFormat="1" ht="14.25" x14ac:dyDescent="0.2">
      <c r="A96" s="77" t="s">
        <v>134</v>
      </c>
      <c r="B96" s="58" t="s">
        <v>80</v>
      </c>
      <c r="C96" s="62">
        <f>[13]С3!F21</f>
        <v>10</v>
      </c>
      <c r="D96" s="145" t="s">
        <v>272</v>
      </c>
    </row>
    <row r="97" spans="1:4" s="63" customFormat="1" ht="17.25" x14ac:dyDescent="0.2">
      <c r="A97" s="77" t="s">
        <v>135</v>
      </c>
      <c r="B97" s="33" t="s">
        <v>136</v>
      </c>
      <c r="C97" s="34">
        <f>[13]С3!F22</f>
        <v>0.99313812922960332</v>
      </c>
      <c r="D97" s="145"/>
    </row>
    <row r="98" spans="1:4" s="63" customFormat="1" ht="55.5" x14ac:dyDescent="0.2">
      <c r="A98" s="77" t="s">
        <v>137</v>
      </c>
      <c r="B98" s="53" t="s">
        <v>138</v>
      </c>
      <c r="C98" s="80">
        <f>[13]С3!F23</f>
        <v>3.0000000000000001E-3</v>
      </c>
      <c r="D98" s="145">
        <f>[13]С3.1!F14</f>
        <v>0</v>
      </c>
    </row>
    <row r="99" spans="1:4" s="63" customFormat="1" ht="30.75" thickBot="1" x14ac:dyDescent="0.25">
      <c r="A99" s="81" t="s">
        <v>139</v>
      </c>
      <c r="B99" s="82" t="s">
        <v>82</v>
      </c>
      <c r="C99" s="83">
        <f>[13]С3!F24</f>
        <v>331.04604307653443</v>
      </c>
      <c r="D99" s="148"/>
    </row>
    <row r="100" spans="1:4" ht="13.5" thickBot="1" x14ac:dyDescent="0.25">
      <c r="A100" s="47"/>
      <c r="B100" s="75"/>
      <c r="C100" s="15"/>
      <c r="D100" s="160"/>
    </row>
    <row r="101" spans="1:4" ht="30" customHeight="1" x14ac:dyDescent="0.2">
      <c r="A101" s="84" t="s">
        <v>141</v>
      </c>
      <c r="B101" s="165" t="s">
        <v>142</v>
      </c>
      <c r="C101" s="165"/>
      <c r="D101" s="170"/>
    </row>
    <row r="102" spans="1:4" ht="30" x14ac:dyDescent="0.2">
      <c r="A102" s="59" t="s">
        <v>143</v>
      </c>
      <c r="B102" s="33" t="s">
        <v>251</v>
      </c>
      <c r="C102" s="34">
        <f>[13]С4!F16</f>
        <v>832.33500000000004</v>
      </c>
      <c r="D102" s="145"/>
    </row>
    <row r="103" spans="1:4" ht="30" x14ac:dyDescent="0.2">
      <c r="A103" s="59" t="s">
        <v>145</v>
      </c>
      <c r="B103" s="58" t="s">
        <v>252</v>
      </c>
      <c r="C103" s="34">
        <f>[13]С4!F17</f>
        <v>43385</v>
      </c>
      <c r="D103" s="145" t="s">
        <v>260</v>
      </c>
    </row>
    <row r="104" spans="1:4" ht="17.25" x14ac:dyDescent="0.2">
      <c r="A104" s="59" t="s">
        <v>147</v>
      </c>
      <c r="B104" s="58" t="s">
        <v>148</v>
      </c>
      <c r="C104" s="40">
        <f>[13]С4!F18</f>
        <v>1.4999999999999999E-2</v>
      </c>
      <c r="D104" s="145" t="s">
        <v>260</v>
      </c>
    </row>
    <row r="105" spans="1:4" ht="30" x14ac:dyDescent="0.2">
      <c r="A105" s="59" t="s">
        <v>149</v>
      </c>
      <c r="B105" s="58" t="s">
        <v>150</v>
      </c>
      <c r="C105" s="34">
        <f>[13]С4!F19</f>
        <v>12104</v>
      </c>
      <c r="D105" s="145" t="s">
        <v>275</v>
      </c>
    </row>
    <row r="106" spans="1:4" ht="31.5" x14ac:dyDescent="0.2">
      <c r="A106" s="59" t="s">
        <v>151</v>
      </c>
      <c r="B106" s="58" t="s">
        <v>152</v>
      </c>
      <c r="C106" s="40">
        <f>[13]С4!F20</f>
        <v>1.4999999999999999E-2</v>
      </c>
      <c r="D106" s="145" t="s">
        <v>275</v>
      </c>
    </row>
    <row r="107" spans="1:4" ht="30" x14ac:dyDescent="0.2">
      <c r="A107" s="59" t="s">
        <v>153</v>
      </c>
      <c r="B107" s="33" t="s">
        <v>253</v>
      </c>
      <c r="C107" s="34">
        <f>[13]С4!F21</f>
        <v>1221.9019409821399</v>
      </c>
      <c r="D107" s="145"/>
    </row>
    <row r="108" spans="1:4" ht="45.6" customHeight="1" x14ac:dyDescent="0.2">
      <c r="A108" s="59" t="s">
        <v>155</v>
      </c>
      <c r="B108" s="53" t="s">
        <v>156</v>
      </c>
      <c r="C108" s="85" t="str">
        <f>IF([13]С4.2!F8="да",[13]С4.2!D21,[13]С4.2!D15)</f>
        <v>АО "Новосибирскэнергосбыт"</v>
      </c>
      <c r="D108" s="145"/>
    </row>
    <row r="109" spans="1:4" ht="68.25" customHeight="1" x14ac:dyDescent="0.2">
      <c r="A109" s="59" t="s">
        <v>157</v>
      </c>
      <c r="B109" s="53" t="s">
        <v>158</v>
      </c>
      <c r="C109" s="34">
        <f>[13]С4!F22</f>
        <v>3.6112641666666665</v>
      </c>
      <c r="D109" s="145" t="str">
        <f>IF([13]С4.2!F8="да",[13]С4.2!E21,[13]С4.2!E15)</f>
        <v>https://www.nskes.ru/dlya-biznesa/tarify-i-oplata/nereguliruemye-tseny/</v>
      </c>
    </row>
    <row r="110" spans="1:4" ht="30" x14ac:dyDescent="0.2">
      <c r="A110" s="59" t="s">
        <v>159</v>
      </c>
      <c r="B110" s="58" t="s">
        <v>254</v>
      </c>
      <c r="C110" s="62">
        <f>[13]С4!F23</f>
        <v>110</v>
      </c>
      <c r="D110" s="145" t="s">
        <v>273</v>
      </c>
    </row>
    <row r="111" spans="1:4" ht="14.25" x14ac:dyDescent="0.2">
      <c r="A111" s="59" t="s">
        <v>161</v>
      </c>
      <c r="B111" s="53" t="s">
        <v>162</v>
      </c>
      <c r="C111" s="34">
        <f>[13]С4!F24</f>
        <v>8497.1999999999989</v>
      </c>
      <c r="D111" s="145" t="s">
        <v>260</v>
      </c>
    </row>
    <row r="112" spans="1:4" ht="14.25" x14ac:dyDescent="0.2">
      <c r="A112" s="59" t="s">
        <v>163</v>
      </c>
      <c r="B112" s="58" t="s">
        <v>164</v>
      </c>
      <c r="C112" s="40">
        <f>[13]С4!F25</f>
        <v>0.36199999999999999</v>
      </c>
      <c r="D112" s="145" t="s">
        <v>276</v>
      </c>
    </row>
    <row r="113" spans="1:4" ht="17.25" x14ac:dyDescent="0.2">
      <c r="A113" s="59" t="s">
        <v>165</v>
      </c>
      <c r="B113" s="33" t="s">
        <v>166</v>
      </c>
      <c r="C113" s="34">
        <f>[13]С4!F26</f>
        <v>40.123830000000005</v>
      </c>
      <c r="D113" s="145"/>
    </row>
    <row r="114" spans="1:4" ht="25.5" x14ac:dyDescent="0.2">
      <c r="A114" s="59" t="s">
        <v>167</v>
      </c>
      <c r="B114" s="53" t="s">
        <v>94</v>
      </c>
      <c r="C114" s="85">
        <f>[13]С4.3!E16</f>
        <v>0</v>
      </c>
      <c r="D114" s="145">
        <f>[13]С4.3!F16</f>
        <v>0</v>
      </c>
    </row>
    <row r="115" spans="1:4" ht="25.5" x14ac:dyDescent="0.2">
      <c r="A115" s="59" t="s">
        <v>168</v>
      </c>
      <c r="B115" s="53" t="s">
        <v>169</v>
      </c>
      <c r="C115" s="34">
        <f>[13]С4.3!E17</f>
        <v>18.059999999999999</v>
      </c>
      <c r="D115" s="150">
        <f>[13]С4.3!F17</f>
        <v>0</v>
      </c>
    </row>
    <row r="116" spans="1:4" ht="38.25" x14ac:dyDescent="0.2">
      <c r="A116" s="59" t="s">
        <v>170</v>
      </c>
      <c r="B116" s="53" t="s">
        <v>106</v>
      </c>
      <c r="C116" s="85">
        <f>[13]С4.3!E18</f>
        <v>0</v>
      </c>
      <c r="D116" s="145">
        <f>[13]С4.3!F18</f>
        <v>0</v>
      </c>
    </row>
    <row r="117" spans="1:4" x14ac:dyDescent="0.2">
      <c r="A117" s="59" t="s">
        <v>171</v>
      </c>
      <c r="B117" s="53" t="s">
        <v>172</v>
      </c>
      <c r="C117" s="34">
        <f>[13]С4.3!E19</f>
        <v>71.67</v>
      </c>
      <c r="D117" s="150">
        <f>[13]С4.3!F19</f>
        <v>0</v>
      </c>
    </row>
    <row r="118" spans="1:4" x14ac:dyDescent="0.2">
      <c r="A118" s="59" t="s">
        <v>173</v>
      </c>
      <c r="B118" s="58" t="s">
        <v>174</v>
      </c>
      <c r="C118" s="62">
        <f>[13]С4.3!E11</f>
        <v>1871</v>
      </c>
      <c r="D118" s="145" t="s">
        <v>260</v>
      </c>
    </row>
    <row r="119" spans="1:4" x14ac:dyDescent="0.2">
      <c r="A119" s="59" t="s">
        <v>175</v>
      </c>
      <c r="B119" s="58" t="s">
        <v>176</v>
      </c>
      <c r="C119" s="52">
        <f>[13]С4.3!E12</f>
        <v>61</v>
      </c>
      <c r="D119" s="145" t="s">
        <v>260</v>
      </c>
    </row>
    <row r="120" spans="1:4" x14ac:dyDescent="0.2">
      <c r="A120" s="59" t="s">
        <v>177</v>
      </c>
      <c r="B120" s="58" t="s">
        <v>178</v>
      </c>
      <c r="C120" s="52">
        <f>[13]С4.3!E13</f>
        <v>73</v>
      </c>
      <c r="D120" s="145" t="s">
        <v>260</v>
      </c>
    </row>
    <row r="121" spans="1:4" ht="30" x14ac:dyDescent="0.2">
      <c r="A121" s="59" t="s">
        <v>179</v>
      </c>
      <c r="B121" s="33" t="s">
        <v>255</v>
      </c>
      <c r="C121" s="34">
        <f>[13]С4!F27</f>
        <v>904.62444244124072</v>
      </c>
      <c r="D121" s="145"/>
    </row>
    <row r="122" spans="1:4" ht="25.5" x14ac:dyDescent="0.2">
      <c r="A122" s="59" t="s">
        <v>181</v>
      </c>
      <c r="B122" s="53" t="s">
        <v>256</v>
      </c>
      <c r="C122" s="34">
        <f>[13]С4!F28</f>
        <v>694.79603874135228</v>
      </c>
      <c r="D122" s="150"/>
    </row>
    <row r="123" spans="1:4" ht="42.75" x14ac:dyDescent="0.2">
      <c r="A123" s="59" t="s">
        <v>183</v>
      </c>
      <c r="B123" s="53" t="s">
        <v>184</v>
      </c>
      <c r="C123" s="34">
        <f>[13]С4!F29</f>
        <v>209.82840369988838</v>
      </c>
      <c r="D123" s="145"/>
    </row>
    <row r="124" spans="1:4" ht="30.75" thickBot="1" x14ac:dyDescent="0.25">
      <c r="A124" s="72" t="s">
        <v>185</v>
      </c>
      <c r="B124" s="90" t="s">
        <v>186</v>
      </c>
      <c r="C124" s="83">
        <f>[13]С4!F30</f>
        <v>475.40681839948314</v>
      </c>
      <c r="D124" s="148"/>
    </row>
    <row r="125" spans="1:4" s="89" customFormat="1" ht="13.5" thickBot="1" x14ac:dyDescent="0.25">
      <c r="A125" s="47"/>
      <c r="B125" s="75"/>
      <c r="C125" s="15"/>
      <c r="D125" s="160"/>
    </row>
    <row r="126" spans="1:4" s="63" customFormat="1" ht="30" customHeight="1" x14ac:dyDescent="0.2">
      <c r="A126" s="76" t="s">
        <v>195</v>
      </c>
      <c r="B126" s="165" t="s">
        <v>196</v>
      </c>
      <c r="C126" s="165"/>
      <c r="D126" s="170"/>
    </row>
    <row r="127" spans="1:4" ht="30.6" customHeight="1" thickBot="1" x14ac:dyDescent="0.25">
      <c r="A127" s="27" t="s">
        <v>197</v>
      </c>
      <c r="B127" s="90" t="s">
        <v>198</v>
      </c>
      <c r="C127" s="83">
        <f>[13]С5!F17</f>
        <v>0.02</v>
      </c>
      <c r="D127" s="155" t="s">
        <v>261</v>
      </c>
    </row>
    <row r="128" spans="1:4" s="89" customFormat="1" ht="13.5" thickBot="1" x14ac:dyDescent="0.25">
      <c r="A128" s="47"/>
      <c r="B128" s="75"/>
      <c r="C128" s="15"/>
      <c r="D128" s="160"/>
    </row>
    <row r="129" spans="1:5" ht="42.75" customHeight="1" x14ac:dyDescent="0.2">
      <c r="A129" s="84" t="s">
        <v>199</v>
      </c>
      <c r="B129" s="165" t="s">
        <v>200</v>
      </c>
      <c r="C129" s="165"/>
      <c r="D129" s="170"/>
    </row>
    <row r="130" spans="1:5" ht="68.25" x14ac:dyDescent="0.2">
      <c r="A130" s="59" t="s">
        <v>201</v>
      </c>
      <c r="B130" s="91" t="s">
        <v>202</v>
      </c>
      <c r="C130" s="34" t="str">
        <f>IF([13]С6.1!E11="нет",[13]С6!F13,"")</f>
        <v/>
      </c>
      <c r="D130" s="145"/>
    </row>
    <row r="131" spans="1:5" ht="42.75" x14ac:dyDescent="0.2">
      <c r="A131" s="59" t="s">
        <v>204</v>
      </c>
      <c r="B131" s="86" t="s">
        <v>205</v>
      </c>
      <c r="C131" s="92" t="str">
        <f>IF([13]С6.1!E12="нет",[13]С6.1!E17,"")</f>
        <v/>
      </c>
      <c r="D131" s="145" t="str">
        <f>IF([13]С6.1!E12="нет",[13]С6.1!F17,"")</f>
        <v/>
      </c>
    </row>
    <row r="132" spans="1:5" ht="68.25" x14ac:dyDescent="0.2">
      <c r="A132" s="59" t="s">
        <v>206</v>
      </c>
      <c r="B132" s="91" t="s">
        <v>207</v>
      </c>
      <c r="C132" s="127" t="str">
        <f>IF([13]С6.1!E18="нет",[13]С6!F19,"")</f>
        <v/>
      </c>
      <c r="D132" s="147"/>
    </row>
    <row r="133" spans="1:5" ht="55.5" x14ac:dyDescent="0.2">
      <c r="A133" s="59" t="s">
        <v>208</v>
      </c>
      <c r="B133" s="86" t="s">
        <v>209</v>
      </c>
      <c r="C133" s="35" t="str">
        <f>IF([13]С6.1!E18="нет",[13]С6.1!E19,"")</f>
        <v/>
      </c>
      <c r="D133" s="145" t="str">
        <f>IF([13]С6.1!E18="нет",[13]С6.1!F19,"")</f>
        <v/>
      </c>
    </row>
    <row r="134" spans="1:5" ht="61.5" customHeight="1" x14ac:dyDescent="0.2">
      <c r="A134" s="59" t="s">
        <v>210</v>
      </c>
      <c r="B134" s="86" t="s">
        <v>257</v>
      </c>
      <c r="C134" s="35" t="str">
        <f>IF([13]С6.1!E18="нет",[13]С6.1!E22,"")</f>
        <v/>
      </c>
      <c r="D134" s="145" t="str">
        <f>IF([13]С6.1!E18="нет",[13]С6.1!F22,"")</f>
        <v/>
      </c>
    </row>
    <row r="135" spans="1:5" ht="69" thickBot="1" x14ac:dyDescent="0.25">
      <c r="A135" s="72" t="s">
        <v>212</v>
      </c>
      <c r="B135" s="98" t="s">
        <v>213</v>
      </c>
      <c r="C135" s="74" t="str">
        <f>IF([13]С6.1!E18="нет",[13]С6.1!E23,"")</f>
        <v/>
      </c>
      <c r="D135" s="148" t="str">
        <f>IF([13]С6.1!E18="нет",[13]С6.1!F23,"")</f>
        <v/>
      </c>
    </row>
    <row r="136" spans="1:5" s="89" customFormat="1" ht="13.5" thickBot="1" x14ac:dyDescent="0.25">
      <c r="A136" s="47"/>
      <c r="B136" s="75"/>
      <c r="C136" s="15"/>
      <c r="D136" s="160"/>
    </row>
    <row r="137" spans="1:5" ht="15.75" x14ac:dyDescent="0.2">
      <c r="A137" s="84" t="s">
        <v>214</v>
      </c>
      <c r="B137" s="99" t="s">
        <v>215</v>
      </c>
      <c r="C137" s="100">
        <f>[13]С2!F39</f>
        <v>21.531904799999996</v>
      </c>
      <c r="D137" s="157"/>
    </row>
    <row r="138" spans="1:5" ht="14.25" x14ac:dyDescent="0.2">
      <c r="A138" s="59" t="s">
        <v>216</v>
      </c>
      <c r="B138" s="58" t="s">
        <v>217</v>
      </c>
      <c r="C138" s="34">
        <f>[13]С2!F40</f>
        <v>7</v>
      </c>
      <c r="D138" s="145" t="s">
        <v>260</v>
      </c>
    </row>
    <row r="139" spans="1:5" ht="17.25" x14ac:dyDescent="0.2">
      <c r="A139" s="59" t="s">
        <v>218</v>
      </c>
      <c r="B139" s="58" t="s">
        <v>219</v>
      </c>
      <c r="C139" s="34">
        <f>[13]С2!F42</f>
        <v>0.97</v>
      </c>
      <c r="D139" s="145" t="s">
        <v>260</v>
      </c>
    </row>
    <row r="140" spans="1:5" ht="15" thickBot="1" x14ac:dyDescent="0.25">
      <c r="A140" s="72" t="s">
        <v>220</v>
      </c>
      <c r="B140" s="73" t="s">
        <v>221</v>
      </c>
      <c r="C140" s="46">
        <f>[13]С2!F44</f>
        <v>0.36199999999999999</v>
      </c>
      <c r="D140" s="148" t="s">
        <v>276</v>
      </c>
    </row>
    <row r="141" spans="1:5" s="89" customFormat="1" ht="13.5" thickBot="1" x14ac:dyDescent="0.25">
      <c r="A141" s="47"/>
      <c r="B141" s="75"/>
      <c r="C141" s="15"/>
      <c r="D141" s="160"/>
    </row>
    <row r="142" spans="1:5" ht="409.5" x14ac:dyDescent="0.2">
      <c r="A142" s="84" t="s">
        <v>222</v>
      </c>
      <c r="B142" s="103" t="s">
        <v>258</v>
      </c>
      <c r="C142" s="128">
        <f>[13]С2!F37</f>
        <v>1.4976266307379205</v>
      </c>
      <c r="D142" s="157" t="str">
        <f>[13]С2.5!D15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2" s="89"/>
    </row>
    <row r="143" spans="1:5" ht="17.25" customHeight="1" thickBot="1" x14ac:dyDescent="0.25">
      <c r="A143" s="72" t="s">
        <v>224</v>
      </c>
      <c r="B143" s="161" t="s">
        <v>225</v>
      </c>
      <c r="C143" s="161"/>
      <c r="D143" s="168"/>
      <c r="E143" s="89"/>
    </row>
    <row r="144" spans="1:5" x14ac:dyDescent="0.2">
      <c r="A144" s="105"/>
      <c r="B144" s="129" t="s">
        <v>226</v>
      </c>
      <c r="C144" s="130"/>
      <c r="D144" s="9"/>
    </row>
    <row r="145" spans="1:4" x14ac:dyDescent="0.2">
      <c r="A145" s="105"/>
      <c r="B145" s="131">
        <v>2020</v>
      </c>
      <c r="C145" s="132">
        <f>[13]С2.5!$E$11</f>
        <v>-2.9000000000000026E-2</v>
      </c>
      <c r="D145" s="9"/>
    </row>
    <row r="146" spans="1:4" x14ac:dyDescent="0.2">
      <c r="B146" s="131">
        <f>B145+1</f>
        <v>2021</v>
      </c>
      <c r="C146" s="133">
        <f>[13]С2.5!$F$11</f>
        <v>0.245</v>
      </c>
    </row>
    <row r="147" spans="1:4" x14ac:dyDescent="0.2">
      <c r="B147" s="131">
        <f t="shared" ref="B147:B210" si="0">B146+1</f>
        <v>2022</v>
      </c>
      <c r="C147" s="134">
        <f>[13]С2.5!$G$11</f>
        <v>0.114</v>
      </c>
    </row>
    <row r="148" spans="1:4" x14ac:dyDescent="0.2">
      <c r="B148" s="110">
        <f t="shared" si="0"/>
        <v>2023</v>
      </c>
      <c r="C148" s="135">
        <f>[13]С2.5!$H$11</f>
        <v>2.4E-2</v>
      </c>
    </row>
    <row r="149" spans="1:4" ht="13.5" thickBot="1" x14ac:dyDescent="0.25">
      <c r="B149" s="110">
        <f t="shared" si="0"/>
        <v>2024</v>
      </c>
      <c r="C149" s="135">
        <f>[13]С2.5!$I$11</f>
        <v>8.5999999999999993E-2</v>
      </c>
    </row>
    <row r="150" spans="1:4" ht="13.5" hidden="1" thickBot="1" x14ac:dyDescent="0.25">
      <c r="B150" s="110">
        <f t="shared" si="0"/>
        <v>2025</v>
      </c>
      <c r="C150" s="135">
        <f>[13]С2.5!$J$11</f>
        <v>0</v>
      </c>
    </row>
    <row r="151" spans="1:4" ht="13.5" hidden="1" thickBot="1" x14ac:dyDescent="0.25">
      <c r="B151" s="110">
        <f t="shared" si="0"/>
        <v>2026</v>
      </c>
      <c r="C151" s="135">
        <f>[13]С2.5!$K$11</f>
        <v>0</v>
      </c>
    </row>
    <row r="152" spans="1:4" ht="13.5" hidden="1" thickBot="1" x14ac:dyDescent="0.25">
      <c r="B152" s="110">
        <f t="shared" si="0"/>
        <v>2027</v>
      </c>
      <c r="C152" s="135">
        <f>[13]С2.5!$L$11</f>
        <v>0</v>
      </c>
    </row>
    <row r="153" spans="1:4" ht="13.5" hidden="1" thickBot="1" x14ac:dyDescent="0.25">
      <c r="B153" s="110">
        <f t="shared" si="0"/>
        <v>2028</v>
      </c>
      <c r="C153" s="135">
        <f>[13]С2.5!$M$11</f>
        <v>0</v>
      </c>
    </row>
    <row r="154" spans="1:4" ht="13.5" hidden="1" thickBot="1" x14ac:dyDescent="0.25">
      <c r="B154" s="110">
        <f t="shared" si="0"/>
        <v>2029</v>
      </c>
      <c r="C154" s="135">
        <f>[13]С2.5!$N$11</f>
        <v>0</v>
      </c>
    </row>
    <row r="155" spans="1:4" ht="13.5" hidden="1" thickBot="1" x14ac:dyDescent="0.25">
      <c r="B155" s="110">
        <f t="shared" si="0"/>
        <v>2030</v>
      </c>
      <c r="C155" s="135">
        <f>[13]С2.5!$O$11</f>
        <v>0</v>
      </c>
    </row>
    <row r="156" spans="1:4" ht="13.5" hidden="1" thickBot="1" x14ac:dyDescent="0.25">
      <c r="B156" s="110">
        <f t="shared" si="0"/>
        <v>2031</v>
      </c>
      <c r="C156" s="135">
        <f>[13]С2.5!$P$11</f>
        <v>0</v>
      </c>
    </row>
    <row r="157" spans="1:4" ht="13.5" hidden="1" thickBot="1" x14ac:dyDescent="0.25">
      <c r="B157" s="110">
        <f t="shared" si="0"/>
        <v>2032</v>
      </c>
      <c r="C157" s="135">
        <f>[13]С2.5!$Q$11</f>
        <v>0</v>
      </c>
    </row>
    <row r="158" spans="1:4" ht="13.5" hidden="1" thickBot="1" x14ac:dyDescent="0.25">
      <c r="B158" s="110">
        <f t="shared" si="0"/>
        <v>2033</v>
      </c>
      <c r="C158" s="135">
        <f>[13]С2.5!$R$11</f>
        <v>0</v>
      </c>
    </row>
    <row r="159" spans="1:4" ht="13.5" hidden="1" thickBot="1" x14ac:dyDescent="0.25">
      <c r="B159" s="110">
        <f t="shared" si="0"/>
        <v>2034</v>
      </c>
      <c r="C159" s="135">
        <f>[13]С2.5!$S$11</f>
        <v>0</v>
      </c>
    </row>
    <row r="160" spans="1:4" ht="13.5" hidden="1" thickBot="1" x14ac:dyDescent="0.25">
      <c r="B160" s="110">
        <f t="shared" si="0"/>
        <v>2035</v>
      </c>
      <c r="C160" s="135">
        <f>[13]С2.5!$T$11</f>
        <v>0</v>
      </c>
    </row>
    <row r="161" spans="2:3" s="2" customFormat="1" ht="13.5" hidden="1" thickBot="1" x14ac:dyDescent="0.25">
      <c r="B161" s="110">
        <f t="shared" si="0"/>
        <v>2036</v>
      </c>
      <c r="C161" s="135">
        <f>[13]С2.5!$U$11</f>
        <v>0</v>
      </c>
    </row>
    <row r="162" spans="2:3" s="2" customFormat="1" ht="13.5" hidden="1" thickBot="1" x14ac:dyDescent="0.25">
      <c r="B162" s="110">
        <f t="shared" si="0"/>
        <v>2037</v>
      </c>
      <c r="C162" s="135">
        <f>[13]С2.5!$V$11</f>
        <v>0</v>
      </c>
    </row>
    <row r="163" spans="2:3" s="2" customFormat="1" ht="13.5" hidden="1" thickBot="1" x14ac:dyDescent="0.25">
      <c r="B163" s="110">
        <f t="shared" si="0"/>
        <v>2038</v>
      </c>
      <c r="C163" s="135">
        <f>[13]С2.5!$W$11</f>
        <v>0</v>
      </c>
    </row>
    <row r="164" spans="2:3" s="2" customFormat="1" ht="13.5" hidden="1" thickBot="1" x14ac:dyDescent="0.25">
      <c r="B164" s="110">
        <f t="shared" si="0"/>
        <v>2039</v>
      </c>
      <c r="C164" s="135">
        <f>[13]С2.5!$X$11</f>
        <v>0</v>
      </c>
    </row>
    <row r="165" spans="2:3" s="2" customFormat="1" ht="13.5" hidden="1" thickBot="1" x14ac:dyDescent="0.25">
      <c r="B165" s="110">
        <f t="shared" si="0"/>
        <v>2040</v>
      </c>
      <c r="C165" s="135">
        <f>[13]С2.5!$Y$11</f>
        <v>0</v>
      </c>
    </row>
    <row r="166" spans="2:3" s="2" customFormat="1" ht="13.5" hidden="1" thickBot="1" x14ac:dyDescent="0.25">
      <c r="B166" s="110">
        <f t="shared" si="0"/>
        <v>2041</v>
      </c>
      <c r="C166" s="135">
        <f>[13]С2.5!$Z$11</f>
        <v>0</v>
      </c>
    </row>
    <row r="167" spans="2:3" s="2" customFormat="1" ht="13.5" hidden="1" thickBot="1" x14ac:dyDescent="0.25">
      <c r="B167" s="110">
        <f t="shared" si="0"/>
        <v>2042</v>
      </c>
      <c r="C167" s="135">
        <f>[13]С2.5!$AA$11</f>
        <v>0</v>
      </c>
    </row>
    <row r="168" spans="2:3" s="2" customFormat="1" ht="13.5" hidden="1" thickBot="1" x14ac:dyDescent="0.25">
      <c r="B168" s="110">
        <f t="shared" si="0"/>
        <v>2043</v>
      </c>
      <c r="C168" s="135">
        <f>[13]С2.5!$AB$11</f>
        <v>0</v>
      </c>
    </row>
    <row r="169" spans="2:3" s="2" customFormat="1" ht="13.5" hidden="1" thickBot="1" x14ac:dyDescent="0.25">
      <c r="B169" s="110">
        <f t="shared" si="0"/>
        <v>2044</v>
      </c>
      <c r="C169" s="135">
        <f>[13]С2.5!$AC$11</f>
        <v>0</v>
      </c>
    </row>
    <row r="170" spans="2:3" s="2" customFormat="1" ht="13.5" hidden="1" thickBot="1" x14ac:dyDescent="0.25">
      <c r="B170" s="110">
        <f t="shared" si="0"/>
        <v>2045</v>
      </c>
      <c r="C170" s="135">
        <f>[13]С2.5!$AD$11</f>
        <v>0</v>
      </c>
    </row>
    <row r="171" spans="2:3" s="2" customFormat="1" ht="13.5" hidden="1" thickBot="1" x14ac:dyDescent="0.25">
      <c r="B171" s="110">
        <f t="shared" si="0"/>
        <v>2046</v>
      </c>
      <c r="C171" s="135">
        <f>[13]С2.5!$AE$11</f>
        <v>0</v>
      </c>
    </row>
    <row r="172" spans="2:3" s="2" customFormat="1" ht="13.5" hidden="1" thickBot="1" x14ac:dyDescent="0.25">
      <c r="B172" s="110">
        <f t="shared" si="0"/>
        <v>2047</v>
      </c>
      <c r="C172" s="135">
        <f>[13]С2.5!$AF$11</f>
        <v>0</v>
      </c>
    </row>
    <row r="173" spans="2:3" s="2" customFormat="1" ht="13.5" hidden="1" thickBot="1" x14ac:dyDescent="0.25">
      <c r="B173" s="110">
        <f t="shared" si="0"/>
        <v>2048</v>
      </c>
      <c r="C173" s="135">
        <f>[13]С2.5!$AG$11</f>
        <v>0</v>
      </c>
    </row>
    <row r="174" spans="2:3" s="2" customFormat="1" ht="13.5" hidden="1" thickBot="1" x14ac:dyDescent="0.25">
      <c r="B174" s="110">
        <f t="shared" si="0"/>
        <v>2049</v>
      </c>
      <c r="C174" s="135">
        <f>[13]С2.5!$AH$11</f>
        <v>0</v>
      </c>
    </row>
    <row r="175" spans="2:3" s="2" customFormat="1" ht="13.5" hidden="1" thickBot="1" x14ac:dyDescent="0.25">
      <c r="B175" s="110">
        <f t="shared" si="0"/>
        <v>2050</v>
      </c>
      <c r="C175" s="135">
        <f>[13]С2.5!$AI$11</f>
        <v>0</v>
      </c>
    </row>
    <row r="176" spans="2:3" s="2" customFormat="1" ht="13.5" hidden="1" thickBot="1" x14ac:dyDescent="0.25">
      <c r="B176" s="110">
        <f t="shared" si="0"/>
        <v>2051</v>
      </c>
      <c r="C176" s="135">
        <f>[13]С2.5!$AJ$11</f>
        <v>0</v>
      </c>
    </row>
    <row r="177" spans="2:3" s="2" customFormat="1" ht="13.5" hidden="1" thickBot="1" x14ac:dyDescent="0.25">
      <c r="B177" s="110">
        <f t="shared" si="0"/>
        <v>2052</v>
      </c>
      <c r="C177" s="135">
        <f>[13]С2.5!$AK$11</f>
        <v>0</v>
      </c>
    </row>
    <row r="178" spans="2:3" s="2" customFormat="1" ht="13.5" hidden="1" thickBot="1" x14ac:dyDescent="0.25">
      <c r="B178" s="110">
        <f t="shared" si="0"/>
        <v>2053</v>
      </c>
      <c r="C178" s="135">
        <f>[13]С2.5!$AL$11</f>
        <v>0</v>
      </c>
    </row>
    <row r="179" spans="2:3" s="2" customFormat="1" ht="13.5" hidden="1" thickBot="1" x14ac:dyDescent="0.25">
      <c r="B179" s="110">
        <f t="shared" si="0"/>
        <v>2054</v>
      </c>
      <c r="C179" s="135">
        <f>[13]С2.5!$AM$11</f>
        <v>0</v>
      </c>
    </row>
    <row r="180" spans="2:3" s="2" customFormat="1" ht="13.5" hidden="1" thickBot="1" x14ac:dyDescent="0.25">
      <c r="B180" s="110">
        <f t="shared" si="0"/>
        <v>2055</v>
      </c>
      <c r="C180" s="135">
        <f>[13]С2.5!$AN$11</f>
        <v>0</v>
      </c>
    </row>
    <row r="181" spans="2:3" s="2" customFormat="1" ht="13.5" hidden="1" thickBot="1" x14ac:dyDescent="0.25">
      <c r="B181" s="110">
        <f t="shared" si="0"/>
        <v>2056</v>
      </c>
      <c r="C181" s="135">
        <f>[13]С2.5!$AO$11</f>
        <v>0</v>
      </c>
    </row>
    <row r="182" spans="2:3" s="2" customFormat="1" ht="13.5" hidden="1" thickBot="1" x14ac:dyDescent="0.25">
      <c r="B182" s="110">
        <f t="shared" si="0"/>
        <v>2057</v>
      </c>
      <c r="C182" s="135">
        <f>[13]С2.5!$AP$11</f>
        <v>0</v>
      </c>
    </row>
    <row r="183" spans="2:3" s="2" customFormat="1" ht="13.5" hidden="1" thickBot="1" x14ac:dyDescent="0.25">
      <c r="B183" s="110">
        <f t="shared" si="0"/>
        <v>2058</v>
      </c>
      <c r="C183" s="135">
        <f>[13]С2.5!$AQ$11</f>
        <v>0</v>
      </c>
    </row>
    <row r="184" spans="2:3" s="2" customFormat="1" ht="13.5" hidden="1" thickBot="1" x14ac:dyDescent="0.25">
      <c r="B184" s="110">
        <f t="shared" si="0"/>
        <v>2059</v>
      </c>
      <c r="C184" s="135">
        <f>[13]С2.5!$AR$11</f>
        <v>0</v>
      </c>
    </row>
    <row r="185" spans="2:3" s="2" customFormat="1" ht="13.5" hidden="1" thickBot="1" x14ac:dyDescent="0.25">
      <c r="B185" s="110">
        <f t="shared" si="0"/>
        <v>2060</v>
      </c>
      <c r="C185" s="135">
        <f>[13]С2.5!$AS$11</f>
        <v>0</v>
      </c>
    </row>
    <row r="186" spans="2:3" s="2" customFormat="1" ht="13.5" hidden="1" thickBot="1" x14ac:dyDescent="0.25">
      <c r="B186" s="110">
        <f t="shared" si="0"/>
        <v>2061</v>
      </c>
      <c r="C186" s="135">
        <f>[13]С2.5!$AT$11</f>
        <v>0</v>
      </c>
    </row>
    <row r="187" spans="2:3" s="2" customFormat="1" ht="13.5" hidden="1" thickBot="1" x14ac:dyDescent="0.25">
      <c r="B187" s="110">
        <f t="shared" si="0"/>
        <v>2062</v>
      </c>
      <c r="C187" s="135">
        <f>[13]С2.5!$AU$11</f>
        <v>0</v>
      </c>
    </row>
    <row r="188" spans="2:3" s="2" customFormat="1" ht="13.5" hidden="1" thickBot="1" x14ac:dyDescent="0.25">
      <c r="B188" s="110">
        <f t="shared" si="0"/>
        <v>2063</v>
      </c>
      <c r="C188" s="135">
        <f>[13]С2.5!$AV$11</f>
        <v>0</v>
      </c>
    </row>
    <row r="189" spans="2:3" s="2" customFormat="1" ht="13.5" hidden="1" thickBot="1" x14ac:dyDescent="0.25">
      <c r="B189" s="110">
        <f t="shared" si="0"/>
        <v>2064</v>
      </c>
      <c r="C189" s="135">
        <f>[13]С2.5!$AW$11</f>
        <v>0</v>
      </c>
    </row>
    <row r="190" spans="2:3" s="2" customFormat="1" ht="13.5" hidden="1" thickBot="1" x14ac:dyDescent="0.25">
      <c r="B190" s="110">
        <f t="shared" si="0"/>
        <v>2065</v>
      </c>
      <c r="C190" s="135">
        <f>[13]С2.5!$AX$11</f>
        <v>0</v>
      </c>
    </row>
    <row r="191" spans="2:3" s="2" customFormat="1" ht="13.5" hidden="1" thickBot="1" x14ac:dyDescent="0.25">
      <c r="B191" s="110">
        <f t="shared" si="0"/>
        <v>2066</v>
      </c>
      <c r="C191" s="135">
        <f>[13]С2.5!$AY$11</f>
        <v>0</v>
      </c>
    </row>
    <row r="192" spans="2:3" s="2" customFormat="1" ht="13.5" hidden="1" thickBot="1" x14ac:dyDescent="0.25">
      <c r="B192" s="110">
        <f t="shared" si="0"/>
        <v>2067</v>
      </c>
      <c r="C192" s="135">
        <f>[13]С2.5!$AZ$11</f>
        <v>0</v>
      </c>
    </row>
    <row r="193" spans="2:3" s="2" customFormat="1" ht="13.5" hidden="1" thickBot="1" x14ac:dyDescent="0.25">
      <c r="B193" s="110">
        <f t="shared" si="0"/>
        <v>2068</v>
      </c>
      <c r="C193" s="135">
        <f>[13]С2.5!$BA$11</f>
        <v>0</v>
      </c>
    </row>
    <row r="194" spans="2:3" s="2" customFormat="1" ht="13.5" hidden="1" thickBot="1" x14ac:dyDescent="0.25">
      <c r="B194" s="110">
        <f t="shared" si="0"/>
        <v>2069</v>
      </c>
      <c r="C194" s="135">
        <f>[13]С2.5!$BB$11</f>
        <v>0</v>
      </c>
    </row>
    <row r="195" spans="2:3" s="2" customFormat="1" ht="13.5" hidden="1" thickBot="1" x14ac:dyDescent="0.25">
      <c r="B195" s="110">
        <f t="shared" si="0"/>
        <v>2070</v>
      </c>
      <c r="C195" s="135">
        <f>[13]С2.5!$BC$11</f>
        <v>0</v>
      </c>
    </row>
    <row r="196" spans="2:3" s="2" customFormat="1" ht="13.5" hidden="1" thickBot="1" x14ac:dyDescent="0.25">
      <c r="B196" s="110">
        <f t="shared" si="0"/>
        <v>2071</v>
      </c>
      <c r="C196" s="135">
        <f>[13]С2.5!$BD$11</f>
        <v>0</v>
      </c>
    </row>
    <row r="197" spans="2:3" s="2" customFormat="1" ht="13.5" hidden="1" thickBot="1" x14ac:dyDescent="0.25">
      <c r="B197" s="110">
        <f t="shared" si="0"/>
        <v>2072</v>
      </c>
      <c r="C197" s="135">
        <f>[13]С2.5!$BE$11</f>
        <v>0</v>
      </c>
    </row>
    <row r="198" spans="2:3" s="2" customFormat="1" ht="13.5" hidden="1" thickBot="1" x14ac:dyDescent="0.25">
      <c r="B198" s="110">
        <f t="shared" si="0"/>
        <v>2073</v>
      </c>
      <c r="C198" s="135">
        <f>[13]С2.5!$BF$11</f>
        <v>0</v>
      </c>
    </row>
    <row r="199" spans="2:3" s="2" customFormat="1" ht="13.5" hidden="1" thickBot="1" x14ac:dyDescent="0.25">
      <c r="B199" s="110">
        <f t="shared" si="0"/>
        <v>2074</v>
      </c>
      <c r="C199" s="135">
        <f>[13]С2.5!$BG$11</f>
        <v>0</v>
      </c>
    </row>
    <row r="200" spans="2:3" s="2" customFormat="1" ht="13.5" hidden="1" thickBot="1" x14ac:dyDescent="0.25">
      <c r="B200" s="110">
        <f t="shared" si="0"/>
        <v>2075</v>
      </c>
      <c r="C200" s="135">
        <f>[13]С2.5!$BH$11</f>
        <v>0</v>
      </c>
    </row>
    <row r="201" spans="2:3" s="2" customFormat="1" ht="13.5" hidden="1" thickBot="1" x14ac:dyDescent="0.25">
      <c r="B201" s="110">
        <f t="shared" si="0"/>
        <v>2076</v>
      </c>
      <c r="C201" s="135">
        <f>[13]С2.5!$BI$11</f>
        <v>0</v>
      </c>
    </row>
    <row r="202" spans="2:3" s="2" customFormat="1" ht="13.5" hidden="1" thickBot="1" x14ac:dyDescent="0.25">
      <c r="B202" s="110">
        <f t="shared" si="0"/>
        <v>2077</v>
      </c>
      <c r="C202" s="135">
        <f>[13]С2.5!$BJ$11</f>
        <v>0</v>
      </c>
    </row>
    <row r="203" spans="2:3" s="2" customFormat="1" ht="13.5" hidden="1" thickBot="1" x14ac:dyDescent="0.25">
      <c r="B203" s="110">
        <f t="shared" si="0"/>
        <v>2078</v>
      </c>
      <c r="C203" s="135">
        <f>[13]С2.5!$BK$11</f>
        <v>0</v>
      </c>
    </row>
    <row r="204" spans="2:3" s="2" customFormat="1" ht="13.5" hidden="1" thickBot="1" x14ac:dyDescent="0.25">
      <c r="B204" s="110">
        <f t="shared" si="0"/>
        <v>2079</v>
      </c>
      <c r="C204" s="135">
        <f>[13]С2.5!$BL$11</f>
        <v>0</v>
      </c>
    </row>
    <row r="205" spans="2:3" s="2" customFormat="1" ht="13.5" hidden="1" thickBot="1" x14ac:dyDescent="0.25">
      <c r="B205" s="110">
        <f t="shared" si="0"/>
        <v>2080</v>
      </c>
      <c r="C205" s="135">
        <f>[13]С2.5!$BM$11</f>
        <v>0</v>
      </c>
    </row>
    <row r="206" spans="2:3" s="2" customFormat="1" ht="13.5" hidden="1" thickBot="1" x14ac:dyDescent="0.25">
      <c r="B206" s="110">
        <f t="shared" si="0"/>
        <v>2081</v>
      </c>
      <c r="C206" s="135">
        <f>[13]С2.5!$BN$11</f>
        <v>0</v>
      </c>
    </row>
    <row r="207" spans="2:3" s="2" customFormat="1" ht="13.5" hidden="1" thickBot="1" x14ac:dyDescent="0.25">
      <c r="B207" s="110">
        <f t="shared" si="0"/>
        <v>2082</v>
      </c>
      <c r="C207" s="135">
        <f>[13]С2.5!$BO$11</f>
        <v>0</v>
      </c>
    </row>
    <row r="208" spans="2:3" s="2" customFormat="1" ht="13.5" hidden="1" thickBot="1" x14ac:dyDescent="0.25">
      <c r="B208" s="110">
        <f t="shared" si="0"/>
        <v>2083</v>
      </c>
      <c r="C208" s="135">
        <f>[13]С2.5!$BP$11</f>
        <v>0</v>
      </c>
    </row>
    <row r="209" spans="2:3" s="2" customFormat="1" ht="13.5" hidden="1" thickBot="1" x14ac:dyDescent="0.25">
      <c r="B209" s="110">
        <f t="shared" si="0"/>
        <v>2084</v>
      </c>
      <c r="C209" s="135">
        <f>[13]С2.5!$BQ$11</f>
        <v>0</v>
      </c>
    </row>
    <row r="210" spans="2:3" s="2" customFormat="1" ht="13.5" hidden="1" thickBot="1" x14ac:dyDescent="0.25">
      <c r="B210" s="110">
        <f t="shared" si="0"/>
        <v>2085</v>
      </c>
      <c r="C210" s="135">
        <f>[13]С2.5!$BR$11</f>
        <v>0</v>
      </c>
    </row>
    <row r="211" spans="2:3" s="2" customFormat="1" ht="13.5" hidden="1" thickBot="1" x14ac:dyDescent="0.25">
      <c r="B211" s="110">
        <f t="shared" ref="B211:B224" si="1">B210+1</f>
        <v>2086</v>
      </c>
      <c r="C211" s="135">
        <f>[13]С2.5!$BS$11</f>
        <v>0</v>
      </c>
    </row>
    <row r="212" spans="2:3" s="2" customFormat="1" ht="13.5" hidden="1" thickBot="1" x14ac:dyDescent="0.25">
      <c r="B212" s="110">
        <f t="shared" si="1"/>
        <v>2087</v>
      </c>
      <c r="C212" s="135">
        <f>[13]С2.5!$BT$11</f>
        <v>0</v>
      </c>
    </row>
    <row r="213" spans="2:3" s="2" customFormat="1" ht="13.5" hidden="1" thickBot="1" x14ac:dyDescent="0.25">
      <c r="B213" s="110">
        <f t="shared" si="1"/>
        <v>2088</v>
      </c>
      <c r="C213" s="135">
        <f>[13]С2.5!$BU$11</f>
        <v>0</v>
      </c>
    </row>
    <row r="214" spans="2:3" s="2" customFormat="1" ht="13.5" hidden="1" thickBot="1" x14ac:dyDescent="0.25">
      <c r="B214" s="110">
        <f t="shared" si="1"/>
        <v>2089</v>
      </c>
      <c r="C214" s="135">
        <f>[13]С2.5!$BV$11</f>
        <v>0</v>
      </c>
    </row>
    <row r="215" spans="2:3" s="2" customFormat="1" ht="13.5" hidden="1" thickBot="1" x14ac:dyDescent="0.25">
      <c r="B215" s="110">
        <f t="shared" si="1"/>
        <v>2090</v>
      </c>
      <c r="C215" s="135">
        <f>[13]С2.5!$BW$11</f>
        <v>0</v>
      </c>
    </row>
    <row r="216" spans="2:3" s="2" customFormat="1" ht="13.5" hidden="1" thickBot="1" x14ac:dyDescent="0.25">
      <c r="B216" s="110">
        <f t="shared" si="1"/>
        <v>2091</v>
      </c>
      <c r="C216" s="135">
        <f>[13]С2.5!$BX$11</f>
        <v>0</v>
      </c>
    </row>
    <row r="217" spans="2:3" s="2" customFormat="1" ht="13.5" hidden="1" thickBot="1" x14ac:dyDescent="0.25">
      <c r="B217" s="110">
        <f t="shared" si="1"/>
        <v>2092</v>
      </c>
      <c r="C217" s="135">
        <f>[13]С2.5!$BY$11</f>
        <v>0</v>
      </c>
    </row>
    <row r="218" spans="2:3" s="2" customFormat="1" ht="13.5" hidden="1" thickBot="1" x14ac:dyDescent="0.25">
      <c r="B218" s="110">
        <f t="shared" si="1"/>
        <v>2093</v>
      </c>
      <c r="C218" s="135">
        <f>[13]С2.5!$BZ$11</f>
        <v>0</v>
      </c>
    </row>
    <row r="219" spans="2:3" s="2" customFormat="1" ht="13.5" hidden="1" thickBot="1" x14ac:dyDescent="0.25">
      <c r="B219" s="110">
        <f t="shared" si="1"/>
        <v>2094</v>
      </c>
      <c r="C219" s="135">
        <f>[13]С2.5!$CA$11</f>
        <v>0</v>
      </c>
    </row>
    <row r="220" spans="2:3" s="2" customFormat="1" ht="13.5" hidden="1" thickBot="1" x14ac:dyDescent="0.25">
      <c r="B220" s="110">
        <f t="shared" si="1"/>
        <v>2095</v>
      </c>
      <c r="C220" s="135">
        <f>[13]С2.5!$CB$11</f>
        <v>0</v>
      </c>
    </row>
    <row r="221" spans="2:3" s="2" customFormat="1" ht="13.5" hidden="1" thickBot="1" x14ac:dyDescent="0.25">
      <c r="B221" s="110">
        <f t="shared" si="1"/>
        <v>2096</v>
      </c>
      <c r="C221" s="135">
        <f>[13]С2.5!$CC$11</f>
        <v>0</v>
      </c>
    </row>
    <row r="222" spans="2:3" s="2" customFormat="1" ht="13.5" hidden="1" thickBot="1" x14ac:dyDescent="0.25">
      <c r="B222" s="110">
        <f t="shared" si="1"/>
        <v>2097</v>
      </c>
      <c r="C222" s="135">
        <f>[13]С2.5!$CD$11</f>
        <v>0</v>
      </c>
    </row>
    <row r="223" spans="2:3" s="2" customFormat="1" ht="13.5" hidden="1" thickBot="1" x14ac:dyDescent="0.25">
      <c r="B223" s="110">
        <f t="shared" si="1"/>
        <v>2098</v>
      </c>
      <c r="C223" s="135">
        <f>[13]С2.5!$CE$11</f>
        <v>0</v>
      </c>
    </row>
    <row r="224" spans="2:3" s="2" customFormat="1" ht="13.5" hidden="1" thickBot="1" x14ac:dyDescent="0.25">
      <c r="B224" s="110">
        <f t="shared" si="1"/>
        <v>2099</v>
      </c>
      <c r="C224" s="135">
        <f>[13]С2.5!$CF$11</f>
        <v>0</v>
      </c>
    </row>
    <row r="225" spans="2:3" s="2" customFormat="1" ht="13.5" hidden="1" thickBot="1" x14ac:dyDescent="0.25">
      <c r="B225" s="112">
        <f>B162+1</f>
        <v>2038</v>
      </c>
      <c r="C225" s="136" t="e">
        <f>[13]С2.5!#REF!</f>
        <v>#REF!</v>
      </c>
    </row>
    <row r="226" spans="2:3" s="2" customFormat="1" x14ac:dyDescent="0.2">
      <c r="B226" s="137"/>
      <c r="C226" s="138"/>
    </row>
  </sheetData>
  <mergeCells count="9">
    <mergeCell ref="B143:D143"/>
    <mergeCell ref="A14:C14"/>
    <mergeCell ref="B1:D1"/>
    <mergeCell ref="B27:D27"/>
    <mergeCell ref="B45:D45"/>
    <mergeCell ref="B90:D90"/>
    <mergeCell ref="B101:D101"/>
    <mergeCell ref="B126:D126"/>
    <mergeCell ref="B129:D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8]!Лист29.PrintBlock">
                <anchor moveWithCells="1" sizeWithCells="1">
                  <from>
                    <xdr:col>3</xdr:col>
                    <xdr:colOff>47625</xdr:colOff>
                    <xdr:row>0</xdr:row>
                    <xdr:rowOff>104775</xdr:rowOff>
                  </from>
                  <to>
                    <xdr:col>5</xdr:col>
                    <xdr:colOff>0</xdr:colOff>
                    <xdr:row>0</xdr:row>
                    <xdr:rowOff>352425</xdr:rowOff>
                  </to>
                </anchor>
              </controlPr>
            </control>
          </mc:Choice>
        </mc:AlternateContent>
        <mc:AlternateContent xmlns:mc="http://schemas.openxmlformats.org/markup-compatibility/2006">
          <mc:Choice Requires="x14">
            <control shapeId="9218" r:id="rId4" name="Button 2">
              <controlPr defaultSize="0" print="0" autoFill="0" autoPict="0" macro="[13]!Лист29.PrintBlock">
                <anchor moveWithCells="1" sizeWithCells="1">
                  <from>
                    <xdr:col>4</xdr:col>
                    <xdr:colOff>47625</xdr:colOff>
                    <xdr:row>0</xdr:row>
                    <xdr:rowOff>104775</xdr:rowOff>
                  </from>
                  <to>
                    <xdr:col>5</xdr:col>
                    <xdr:colOff>1095375</xdr:colOff>
                    <xdr:row>0</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22.85546875" style="159" customWidth="1"/>
    <col min="5" max="5" width="5.140625" style="2" customWidth="1"/>
    <col min="6" max="6" width="17.5703125" style="2" customWidth="1"/>
    <col min="7" max="159" width="9.140625" style="2"/>
    <col min="160" max="241" width="0" style="2" hidden="1" customWidth="1"/>
    <col min="242" max="250" width="9.140625" style="2"/>
    <col min="251" max="251" width="3.710937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710937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710937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710937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710937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710937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710937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710937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710937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710937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710937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710937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710937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710937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710937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710937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710937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710937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710937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710937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710937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710937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710937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710937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710937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710937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710937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710937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710937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710937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710937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710937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710937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710937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710937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710937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710937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710937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710937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710937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710937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710937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710937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710937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710937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710937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710937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710937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710937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710937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710937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710937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710937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710937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710937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710937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710937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710937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710937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710937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710937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710937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710937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3"/>
      <c r="B1" s="163" t="s">
        <v>227</v>
      </c>
      <c r="C1" s="163"/>
      <c r="D1" s="163"/>
    </row>
    <row r="2" spans="1:4" x14ac:dyDescent="0.2">
      <c r="A2" s="3"/>
      <c r="B2" s="4" t="s">
        <v>1</v>
      </c>
      <c r="C2" s="5">
        <v>45317</v>
      </c>
    </row>
    <row r="3" spans="1:4" x14ac:dyDescent="0.2">
      <c r="A3" s="3"/>
      <c r="B3" s="117" t="s">
        <v>2</v>
      </c>
      <c r="C3" s="7"/>
    </row>
    <row r="4" spans="1:4" ht="25.5" x14ac:dyDescent="0.2">
      <c r="A4" s="8"/>
      <c r="B4" s="9" t="str">
        <f>[14]И1!D13</f>
        <v>Субъект Российской Федерации</v>
      </c>
      <c r="C4" s="10" t="str">
        <f>[14]И1!E13</f>
        <v>Новосибирская область</v>
      </c>
      <c r="D4" s="9"/>
    </row>
    <row r="5" spans="1:4" ht="48.6" customHeight="1" x14ac:dyDescent="0.2">
      <c r="A5" s="8"/>
      <c r="B5" s="9" t="str">
        <f>[14]И1!D14</f>
        <v>Тип муниципального образования (выберите из списка)</v>
      </c>
      <c r="C5" s="10" t="str">
        <f>[14]И1!E14</f>
        <v>село Морозово, Искитимский муниципальный район</v>
      </c>
      <c r="D5" s="9"/>
    </row>
    <row r="6" spans="1:4" x14ac:dyDescent="0.2">
      <c r="A6" s="8"/>
      <c r="B6" s="9" t="str">
        <f>IF([14]И1!E15="","",[14]И1!D15)</f>
        <v/>
      </c>
      <c r="C6" s="7" t="str">
        <f>IF([14]И1!E15="","",[14]И1!E15)</f>
        <v/>
      </c>
      <c r="D6" s="9"/>
    </row>
    <row r="7" spans="1:4" x14ac:dyDescent="0.2">
      <c r="A7" s="8"/>
      <c r="B7" s="9" t="str">
        <f>[14]И1!D16</f>
        <v>Код ОКТМО</v>
      </c>
      <c r="C7" s="11" t="str">
        <f>[14]И1!E16</f>
        <v xml:space="preserve"> (50615418101)</v>
      </c>
      <c r="D7" s="9"/>
    </row>
    <row r="8" spans="1:4" x14ac:dyDescent="0.2">
      <c r="A8" s="8"/>
      <c r="B8" s="12" t="str">
        <f>[14]И1!D17</f>
        <v>Система теплоснабжения</v>
      </c>
      <c r="C8" s="13">
        <f>[14]И1!E17</f>
        <v>0</v>
      </c>
      <c r="D8" s="9"/>
    </row>
    <row r="9" spans="1:4" x14ac:dyDescent="0.2">
      <c r="A9" s="8"/>
      <c r="B9" s="9" t="str">
        <f>[14]И1!D8</f>
        <v>Период регулирования (i)-й</v>
      </c>
      <c r="C9" s="14">
        <f>[14]И1!E8</f>
        <v>2024</v>
      </c>
      <c r="D9" s="9"/>
    </row>
    <row r="10" spans="1:4" x14ac:dyDescent="0.2">
      <c r="A10" s="8"/>
      <c r="B10" s="9" t="str">
        <f>[14]И1!D9</f>
        <v>Период регулирования (i-1)-й</v>
      </c>
      <c r="C10" s="14">
        <f>[14]И1!E9</f>
        <v>2023</v>
      </c>
      <c r="D10" s="9"/>
    </row>
    <row r="11" spans="1:4" x14ac:dyDescent="0.2">
      <c r="A11" s="8"/>
      <c r="B11" s="9" t="str">
        <f>[14]И1!D10</f>
        <v>Период регулирования (i-2)-й</v>
      </c>
      <c r="C11" s="14">
        <f>[14]И1!E10</f>
        <v>2022</v>
      </c>
      <c r="D11" s="9"/>
    </row>
    <row r="12" spans="1:4" x14ac:dyDescent="0.2">
      <c r="A12" s="8"/>
      <c r="B12" s="9" t="str">
        <f>[14]И1!D11</f>
        <v>Базовый год (б)</v>
      </c>
      <c r="C12" s="14">
        <f>[14]И1!E11</f>
        <v>2019</v>
      </c>
      <c r="D12" s="9"/>
    </row>
    <row r="13" spans="1:4" x14ac:dyDescent="0.2">
      <c r="A13" s="8"/>
      <c r="B13" s="9" t="str">
        <f>[14]И1!D18</f>
        <v>Вид топлива, использование которого преобладает в системе теплоснабжения</v>
      </c>
      <c r="C13" s="15" t="str">
        <f>[14]И1!E18</f>
        <v>Газ</v>
      </c>
      <c r="D13" s="9"/>
    </row>
    <row r="14" spans="1:4" ht="26.25" customHeight="1" thickBot="1" x14ac:dyDescent="0.25">
      <c r="A14" s="167" t="s">
        <v>3</v>
      </c>
      <c r="B14" s="167"/>
      <c r="C14" s="167"/>
    </row>
    <row r="15" spans="1:4" x14ac:dyDescent="0.2">
      <c r="A15" s="16" t="s">
        <v>4</v>
      </c>
      <c r="B15" s="30" t="s">
        <v>5</v>
      </c>
      <c r="C15" s="118" t="s">
        <v>6</v>
      </c>
    </row>
    <row r="16" spans="1:4" x14ac:dyDescent="0.2">
      <c r="A16" s="19">
        <v>1</v>
      </c>
      <c r="B16" s="119">
        <v>2</v>
      </c>
      <c r="C16" s="120">
        <v>3</v>
      </c>
    </row>
    <row r="17" spans="1:4" x14ac:dyDescent="0.2">
      <c r="A17" s="22">
        <v>1</v>
      </c>
      <c r="B17" s="23" t="s">
        <v>7</v>
      </c>
      <c r="C17" s="24">
        <f>SUM(C18:C23)</f>
        <v>2939.204068798766</v>
      </c>
    </row>
    <row r="18" spans="1:4" ht="42.75" x14ac:dyDescent="0.2">
      <c r="A18" s="22" t="s">
        <v>8</v>
      </c>
      <c r="B18" s="25" t="s">
        <v>9</v>
      </c>
      <c r="C18" s="26">
        <f>[14]С1!F12</f>
        <v>994.35037159416254</v>
      </c>
    </row>
    <row r="19" spans="1:4" ht="42.75" x14ac:dyDescent="0.2">
      <c r="A19" s="22" t="s">
        <v>10</v>
      </c>
      <c r="B19" s="25" t="s">
        <v>11</v>
      </c>
      <c r="C19" s="26">
        <f>[14]С2!F12</f>
        <v>1338.5714783459885</v>
      </c>
    </row>
    <row r="20" spans="1:4" ht="30" x14ac:dyDescent="0.2">
      <c r="A20" s="22" t="s">
        <v>12</v>
      </c>
      <c r="B20" s="25" t="s">
        <v>13</v>
      </c>
      <c r="C20" s="26">
        <f>[14]С3!F12</f>
        <v>317.98065232680995</v>
      </c>
    </row>
    <row r="21" spans="1:4" ht="42.75" x14ac:dyDescent="0.2">
      <c r="A21" s="22" t="s">
        <v>14</v>
      </c>
      <c r="B21" s="25" t="s">
        <v>228</v>
      </c>
      <c r="C21" s="26">
        <f>[14]С4!F12</f>
        <v>230.67011420241766</v>
      </c>
    </row>
    <row r="22" spans="1:4" ht="33" customHeight="1" x14ac:dyDescent="0.2">
      <c r="A22" s="22" t="s">
        <v>16</v>
      </c>
      <c r="B22" s="25" t="s">
        <v>229</v>
      </c>
      <c r="C22" s="26">
        <f>[14]С5!F12</f>
        <v>57.631452329387571</v>
      </c>
    </row>
    <row r="23" spans="1:4" ht="45.75" customHeight="1" thickBot="1" x14ac:dyDescent="0.25">
      <c r="A23" s="27" t="s">
        <v>18</v>
      </c>
      <c r="B23" s="140" t="s">
        <v>230</v>
      </c>
      <c r="C23" s="28">
        <f>[14]С6!F12</f>
        <v>0</v>
      </c>
    </row>
    <row r="24" spans="1:4" ht="13.5" thickBot="1" x14ac:dyDescent="0.25">
      <c r="A24" s="3"/>
      <c r="C24" s="7"/>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ht="25.5" x14ac:dyDescent="0.2">
      <c r="A28" s="22" t="s">
        <v>8</v>
      </c>
      <c r="B28" s="33" t="s">
        <v>231</v>
      </c>
      <c r="C28" s="34">
        <f>[14]С1.1!E16</f>
        <v>7900</v>
      </c>
      <c r="D28" s="145" t="str">
        <f>[14]С1.1!F16</f>
        <v>Приказ ФАС России от 02.06.2021 №545/21</v>
      </c>
    </row>
    <row r="29" spans="1:4" ht="102" x14ac:dyDescent="0.2">
      <c r="A29" s="22" t="s">
        <v>10</v>
      </c>
      <c r="B29" s="33" t="s">
        <v>232</v>
      </c>
      <c r="C29" s="34">
        <f>[14]С1.1!E32</f>
        <v>5751.37</v>
      </c>
      <c r="D29" s="145" t="str">
        <f>IF([14]С1.1!E24=[14]С1.1!I9,[14]С1.1!I9,IF([14]С1.1!E24=[14]С1.1!I10,[14]С1.1!I10,IF([14]С1.1!E24=[14]С1.1!I11,[14]С1.3!G9,IF([14]С1.1!E24=[14]С1.1!I12,[14]С1.1!F30,IF([14]С1.1!E24=[14]С1.1!I13,[14]С1.1!F31,"")))))</f>
        <v>цены (тарифы), подлежащие государственному регулированию, действовавшие на день окончания (i-2)-го расчетного периода в системе теплоснабжения</v>
      </c>
    </row>
    <row r="30" spans="1:4" ht="38.25" x14ac:dyDescent="0.2">
      <c r="A30" s="22" t="s">
        <v>233</v>
      </c>
      <c r="B30" s="33" t="s">
        <v>234</v>
      </c>
      <c r="C30" s="85" t="str">
        <f>[14]С1.1!E25</f>
        <v>ООО "Газпром газораспределение Томск"</v>
      </c>
      <c r="D30" s="145">
        <f>[14]С1.1!F25</f>
        <v>0</v>
      </c>
    </row>
    <row r="31" spans="1:4" ht="38.25" x14ac:dyDescent="0.2">
      <c r="A31" s="22" t="s">
        <v>235</v>
      </c>
      <c r="B31" s="33" t="str">
        <f>[14]С1.1!D26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[14]С1.1!E26</f>
        <v>4699.5</v>
      </c>
      <c r="D31" s="145" t="str">
        <f>[14]С1.1!F26</f>
        <v>Приказ ФАС России от 02.06.2021 №545/21</v>
      </c>
    </row>
    <row r="32" spans="1:4" ht="25.5" x14ac:dyDescent="0.2">
      <c r="A32" s="22" t="s">
        <v>236</v>
      </c>
      <c r="B32" s="33" t="str">
        <f>[14]С1.1!D27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[14]С1.1!E27</f>
        <v>795.43</v>
      </c>
      <c r="D32" s="145" t="str">
        <f>[14]С1.1!F27</f>
        <v>Приказ ФАС России от 13.01.2020 №15/20</v>
      </c>
    </row>
    <row r="33" spans="1:4" ht="25.5" x14ac:dyDescent="0.2">
      <c r="A33" s="22" t="s">
        <v>237</v>
      </c>
      <c r="B33" s="33" t="str">
        <f>[14]С1.1!D28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[14]С1.1!E28</f>
        <v>136.54</v>
      </c>
      <c r="D33" s="145" t="str">
        <f>[14]С1.1!F28</f>
        <v>Приказ ФАС России от 27.05.2016 №682/16</v>
      </c>
    </row>
    <row r="34" spans="1:4" ht="51" x14ac:dyDescent="0.2">
      <c r="A34" s="22" t="s">
        <v>238</v>
      </c>
      <c r="B34" s="33" t="str">
        <f>[14]С1.1!D29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[14]С1.1!E29</f>
        <v>119.9</v>
      </c>
      <c r="D34" s="145" t="str">
        <f>[14]С1.1!F29</f>
        <v>Приказ департамента по тарифам Новосибирской области от 22.12.2020 №650-Г</v>
      </c>
    </row>
    <row r="35" spans="1:4" ht="369.75" x14ac:dyDescent="0.2">
      <c r="A35" s="22" t="s">
        <v>12</v>
      </c>
      <c r="B35" s="33" t="s">
        <v>23</v>
      </c>
      <c r="C35" s="35">
        <f>[14]С1.1!E20</f>
        <v>8.5000000000000006E-2</v>
      </c>
      <c r="D35" s="145" t="str">
        <f>[14]С1.1!F20</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
    </row>
    <row r="36" spans="1:4" ht="306" x14ac:dyDescent="0.2">
      <c r="A36" s="22" t="s">
        <v>14</v>
      </c>
      <c r="B36" s="33" t="s">
        <v>24</v>
      </c>
      <c r="C36" s="35">
        <f>[14]С1.1!E21</f>
        <v>0.112</v>
      </c>
      <c r="D36" s="145" t="str">
        <f>[14]С1.1!F21</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
    </row>
    <row r="37" spans="1:4" ht="30" x14ac:dyDescent="0.2">
      <c r="A37" s="22" t="s">
        <v>16</v>
      </c>
      <c r="B37" s="36" t="s">
        <v>239</v>
      </c>
      <c r="C37" s="121">
        <f>[14]С1!F13</f>
        <v>156.1</v>
      </c>
      <c r="D37" s="145" t="s">
        <v>260</v>
      </c>
    </row>
    <row r="38" spans="1:4" x14ac:dyDescent="0.2">
      <c r="A38" s="22" t="s">
        <v>18</v>
      </c>
      <c r="B38" s="36" t="s">
        <v>26</v>
      </c>
      <c r="C38" s="38">
        <f>[14]С1!F16</f>
        <v>7000</v>
      </c>
      <c r="D38" s="147" t="s">
        <v>261</v>
      </c>
    </row>
    <row r="39" spans="1:4" ht="14.25" x14ac:dyDescent="0.2">
      <c r="A39" s="122" t="s">
        <v>27</v>
      </c>
      <c r="B39" s="39" t="s">
        <v>240</v>
      </c>
      <c r="C39" s="40">
        <f>[14]С1!F17</f>
        <v>1.1285714285714286</v>
      </c>
      <c r="D39" s="145"/>
    </row>
    <row r="40" spans="1:4" ht="15.75" x14ac:dyDescent="0.2">
      <c r="A40" s="123" t="s">
        <v>29</v>
      </c>
      <c r="B40" s="42" t="s">
        <v>30</v>
      </c>
      <c r="C40" s="40">
        <f>[14]С1!F20</f>
        <v>22.307053372799995</v>
      </c>
      <c r="D40" s="145"/>
    </row>
    <row r="41" spans="1:4" ht="15.75" x14ac:dyDescent="0.2">
      <c r="A41" s="123" t="s">
        <v>31</v>
      </c>
      <c r="B41" s="43" t="s">
        <v>32</v>
      </c>
      <c r="C41" s="40">
        <f>[14]С1!F21</f>
        <v>21.531904799999996</v>
      </c>
      <c r="D41" s="145"/>
    </row>
    <row r="42" spans="1:4" ht="14.25" x14ac:dyDescent="0.2">
      <c r="A42" s="123" t="s">
        <v>33</v>
      </c>
      <c r="B42" s="44" t="s">
        <v>34</v>
      </c>
      <c r="C42" s="40">
        <f>[14]С1!F22</f>
        <v>1.036</v>
      </c>
      <c r="D42" s="145" t="s">
        <v>262</v>
      </c>
    </row>
    <row r="43" spans="1:4" ht="53.25" thickBot="1" x14ac:dyDescent="0.25">
      <c r="A43" s="27" t="s">
        <v>35</v>
      </c>
      <c r="B43" s="45" t="s">
        <v>36</v>
      </c>
      <c r="C43" s="46" t="str">
        <f>[14]С1!F23</f>
        <v>-</v>
      </c>
      <c r="D43" s="148" t="s">
        <v>263</v>
      </c>
    </row>
    <row r="44" spans="1:4" ht="13.5" thickBot="1" x14ac:dyDescent="0.25">
      <c r="A44" s="47"/>
      <c r="B44" s="75"/>
      <c r="C44" s="15"/>
      <c r="D44" s="160"/>
    </row>
    <row r="45" spans="1:4" ht="30" customHeight="1" x14ac:dyDescent="0.2">
      <c r="A45" s="50" t="s">
        <v>37</v>
      </c>
      <c r="B45" s="165" t="s">
        <v>38</v>
      </c>
      <c r="C45" s="165"/>
      <c r="D45" s="170"/>
    </row>
    <row r="46" spans="1:4" ht="25.5" x14ac:dyDescent="0.2">
      <c r="A46" s="22" t="s">
        <v>39</v>
      </c>
      <c r="B46" s="36" t="s">
        <v>40</v>
      </c>
      <c r="C46" s="51" t="str">
        <f>[14]С2.1!E12</f>
        <v>V</v>
      </c>
      <c r="D46" s="145" t="s">
        <v>264</v>
      </c>
    </row>
    <row r="47" spans="1:4" ht="331.5" x14ac:dyDescent="0.2">
      <c r="A47" s="22" t="s">
        <v>41</v>
      </c>
      <c r="B47" s="33" t="s">
        <v>42</v>
      </c>
      <c r="C47" s="51" t="str">
        <f>[14]С2.1!E13</f>
        <v>6 и менее баллов</v>
      </c>
      <c r="D47" s="145" t="str">
        <f>[14]С2.1!F13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04" x14ac:dyDescent="0.2">
      <c r="A48" s="22" t="s">
        <v>43</v>
      </c>
      <c r="B48" s="33" t="s">
        <v>241</v>
      </c>
      <c r="C48" s="51" t="str">
        <f>[14]С2.1!E14</f>
        <v>от 200 до 500</v>
      </c>
      <c r="D48" s="145" t="str">
        <f>[14]С2.1!F14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5.5" x14ac:dyDescent="0.2">
      <c r="A49" s="22" t="s">
        <v>45</v>
      </c>
      <c r="B49" s="33" t="s">
        <v>242</v>
      </c>
      <c r="C49" s="52" t="str">
        <f>[14]С2.1!E15</f>
        <v>нет</v>
      </c>
      <c r="D49" s="145">
        <f>[14]С2.1!F15</f>
        <v>0</v>
      </c>
    </row>
    <row r="50" spans="1:4" ht="30" x14ac:dyDescent="0.2">
      <c r="A50" s="22" t="s">
        <v>47</v>
      </c>
      <c r="B50" s="33" t="s">
        <v>48</v>
      </c>
      <c r="C50" s="34">
        <f>[14]С2!F18</f>
        <v>35106.652004551666</v>
      </c>
      <c r="D50" s="145"/>
    </row>
    <row r="51" spans="1:4" ht="30" x14ac:dyDescent="0.2">
      <c r="A51" s="22" t="s">
        <v>49</v>
      </c>
      <c r="B51" s="53" t="s">
        <v>50</v>
      </c>
      <c r="C51" s="34">
        <f>IF([14]С2!F19&gt;0,[14]С2!F19,[14]С2!F20)</f>
        <v>23441.524932855718</v>
      </c>
      <c r="D51" s="145"/>
    </row>
    <row r="52" spans="1:4" ht="140.25" x14ac:dyDescent="0.2">
      <c r="A52" s="22" t="s">
        <v>51</v>
      </c>
      <c r="B52" s="54" t="s">
        <v>52</v>
      </c>
      <c r="C52" s="34">
        <f>[14]С2.1!E20</f>
        <v>-38</v>
      </c>
      <c r="D52" s="145" t="str">
        <f>CONCATENATE([14]С2.1!F20,"  ",[14]С2.1!F21)</f>
        <v>Свод правил СП 131.13330.2020 "СНиП 23-01-99* Строительная климатология" "Температура воздуха наиболее холодной пятидневки с обеспеченностью 0,92"  Значение принято по ближайшему населенному пункту</v>
      </c>
    </row>
    <row r="53" spans="1:4" ht="25.5" x14ac:dyDescent="0.2">
      <c r="A53" s="22" t="s">
        <v>53</v>
      </c>
      <c r="B53" s="54" t="s">
        <v>54</v>
      </c>
      <c r="C53" s="34" t="str">
        <f>[14]С2.1!E23</f>
        <v>нет</v>
      </c>
      <c r="D53" s="150" t="str">
        <f>IF([14]С2.1!F23="","",[14]С2.1!F23)</f>
        <v/>
      </c>
    </row>
    <row r="54" spans="1:4" ht="38.25" x14ac:dyDescent="0.2">
      <c r="A54" s="22" t="s">
        <v>55</v>
      </c>
      <c r="B54" s="55" t="s">
        <v>56</v>
      </c>
      <c r="C54" s="34">
        <f>[14]С2.2!E10</f>
        <v>1287</v>
      </c>
      <c r="D54" s="145" t="s">
        <v>265</v>
      </c>
    </row>
    <row r="55" spans="1:4" ht="25.5" x14ac:dyDescent="0.2">
      <c r="A55" s="22" t="s">
        <v>57</v>
      </c>
      <c r="B55" s="56" t="s">
        <v>58</v>
      </c>
      <c r="C55" s="34">
        <f>[14]С2.2!E12</f>
        <v>5.97</v>
      </c>
      <c r="D55" s="145" t="s">
        <v>266</v>
      </c>
    </row>
    <row r="56" spans="1:4" ht="52.5" x14ac:dyDescent="0.2">
      <c r="A56" s="22" t="s">
        <v>59</v>
      </c>
      <c r="B56" s="57" t="s">
        <v>60</v>
      </c>
      <c r="C56" s="34">
        <f>[14]С2.2!E13</f>
        <v>1</v>
      </c>
      <c r="D56" s="147" t="s">
        <v>261</v>
      </c>
    </row>
    <row r="57" spans="1:4" ht="27.75" x14ac:dyDescent="0.2">
      <c r="A57" s="22" t="s">
        <v>61</v>
      </c>
      <c r="B57" s="56" t="s">
        <v>62</v>
      </c>
      <c r="C57" s="34">
        <f>[14]С2.2!E14</f>
        <v>12104</v>
      </c>
      <c r="D57" s="145" t="s">
        <v>265</v>
      </c>
    </row>
    <row r="58" spans="1:4" ht="89.25" x14ac:dyDescent="0.2">
      <c r="A58" s="22" t="s">
        <v>63</v>
      </c>
      <c r="B58" s="57" t="s">
        <v>64</v>
      </c>
      <c r="C58" s="35">
        <f>[14]С2.2!E15</f>
        <v>4.8000000000000001E-2</v>
      </c>
      <c r="D58" s="145" t="s">
        <v>267</v>
      </c>
    </row>
    <row r="59" spans="1:4" ht="89.25" x14ac:dyDescent="0.2">
      <c r="A59" s="22" t="s">
        <v>65</v>
      </c>
      <c r="B59" s="57" t="s">
        <v>66</v>
      </c>
      <c r="C59" s="124">
        <f>[14]С2.2!E16</f>
        <v>1</v>
      </c>
      <c r="D59" s="145" t="s">
        <v>268</v>
      </c>
    </row>
    <row r="60" spans="1:4" ht="15.75" x14ac:dyDescent="0.2">
      <c r="A60" s="22" t="s">
        <v>67</v>
      </c>
      <c r="B60" s="58" t="s">
        <v>68</v>
      </c>
      <c r="C60" s="34">
        <f>[14]С2!F21</f>
        <v>1</v>
      </c>
      <c r="D60" s="145" t="s">
        <v>269</v>
      </c>
    </row>
    <row r="61" spans="1:4" ht="30" x14ac:dyDescent="0.2">
      <c r="A61" s="59" t="s">
        <v>69</v>
      </c>
      <c r="B61" s="33" t="s">
        <v>243</v>
      </c>
      <c r="C61" s="34">
        <f>[14]С2!F13</f>
        <v>105136.23090983224</v>
      </c>
      <c r="D61" s="145"/>
    </row>
    <row r="62" spans="1:4" ht="30" x14ac:dyDescent="0.2">
      <c r="A62" s="59" t="s">
        <v>71</v>
      </c>
      <c r="B62" s="60" t="s">
        <v>244</v>
      </c>
      <c r="C62" s="34">
        <f>[14]С2!F14</f>
        <v>64899</v>
      </c>
      <c r="D62" s="145" t="s">
        <v>260</v>
      </c>
    </row>
    <row r="63" spans="1:4" ht="15.75" x14ac:dyDescent="0.2">
      <c r="A63" s="59" t="s">
        <v>73</v>
      </c>
      <c r="B63" s="60" t="s">
        <v>74</v>
      </c>
      <c r="C63" s="40">
        <f>[14]С2!F15</f>
        <v>1.071</v>
      </c>
      <c r="D63" s="145" t="s">
        <v>270</v>
      </c>
    </row>
    <row r="64" spans="1:4" ht="15.75" x14ac:dyDescent="0.2">
      <c r="A64" s="59" t="s">
        <v>75</v>
      </c>
      <c r="B64" s="60" t="s">
        <v>76</v>
      </c>
      <c r="C64" s="125">
        <f>[14]С2!F16</f>
        <v>1</v>
      </c>
      <c r="D64" s="145" t="s">
        <v>269</v>
      </c>
    </row>
    <row r="65" spans="1:4" ht="17.25" x14ac:dyDescent="0.2">
      <c r="A65" s="59" t="s">
        <v>77</v>
      </c>
      <c r="B65" s="60" t="s">
        <v>78</v>
      </c>
      <c r="C65" s="126">
        <f>[14]С2!F17</f>
        <v>1.01</v>
      </c>
      <c r="D65" s="145" t="s">
        <v>271</v>
      </c>
    </row>
    <row r="66" spans="1:4" s="63" customFormat="1" ht="14.25" x14ac:dyDescent="0.2">
      <c r="A66" s="59" t="s">
        <v>79</v>
      </c>
      <c r="B66" s="61" t="s">
        <v>80</v>
      </c>
      <c r="C66" s="62">
        <f>[14]С2!F35</f>
        <v>10</v>
      </c>
      <c r="D66" s="145" t="s">
        <v>272</v>
      </c>
    </row>
    <row r="67" spans="1:4" ht="30" x14ac:dyDescent="0.2">
      <c r="A67" s="59" t="s">
        <v>81</v>
      </c>
      <c r="B67" s="64" t="s">
        <v>82</v>
      </c>
      <c r="C67" s="34">
        <f>[14]С2!F28</f>
        <v>331.04604307653443</v>
      </c>
      <c r="D67" s="145"/>
    </row>
    <row r="68" spans="1:4" ht="242.25" x14ac:dyDescent="0.2">
      <c r="A68" s="59" t="s">
        <v>83</v>
      </c>
      <c r="B68" s="53" t="s">
        <v>245</v>
      </c>
      <c r="C68" s="40">
        <f>[14]С2!F29</f>
        <v>0.44209422600000003</v>
      </c>
      <c r="D68" s="145" t="str">
        <f>[14]С2.4!F12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9" spans="1:4" ht="17.25" x14ac:dyDescent="0.2">
      <c r="A69" s="59" t="s">
        <v>85</v>
      </c>
      <c r="B69" s="58" t="s">
        <v>246</v>
      </c>
      <c r="C69" s="62">
        <f>[14]С2!F30</f>
        <v>500</v>
      </c>
      <c r="D69" s="145" t="s">
        <v>260</v>
      </c>
    </row>
    <row r="70" spans="1:4" ht="42.75" x14ac:dyDescent="0.2">
      <c r="A70" s="59" t="s">
        <v>87</v>
      </c>
      <c r="B70" s="33" t="s">
        <v>247</v>
      </c>
      <c r="C70" s="34">
        <f>[14]С2!F22</f>
        <v>39638.324046481182</v>
      </c>
      <c r="D70" s="145"/>
    </row>
    <row r="71" spans="1:4" ht="30" x14ac:dyDescent="0.2">
      <c r="A71" s="59" t="s">
        <v>89</v>
      </c>
      <c r="B71" s="60" t="s">
        <v>248</v>
      </c>
      <c r="C71" s="34">
        <f>[14]С2!F23</f>
        <v>21</v>
      </c>
      <c r="D71" s="145" t="s">
        <v>273</v>
      </c>
    </row>
    <row r="72" spans="1:4" ht="30" x14ac:dyDescent="0.2">
      <c r="A72" s="59" t="s">
        <v>91</v>
      </c>
      <c r="B72" s="53" t="s">
        <v>92</v>
      </c>
      <c r="C72" s="34">
        <f>[14]С2.1!E28</f>
        <v>14036.09995</v>
      </c>
      <c r="D72" s="145"/>
    </row>
    <row r="73" spans="1:4" ht="38.25" x14ac:dyDescent="0.2">
      <c r="A73" s="59" t="s">
        <v>93</v>
      </c>
      <c r="B73" s="65" t="s">
        <v>94</v>
      </c>
      <c r="C73" s="52">
        <f>[14]С2.3!E21</f>
        <v>0</v>
      </c>
      <c r="D73" s="145">
        <f>[14]С2.3!F21</f>
        <v>0</v>
      </c>
    </row>
    <row r="74" spans="1:4" ht="25.5" x14ac:dyDescent="0.2">
      <c r="A74" s="59" t="s">
        <v>95</v>
      </c>
      <c r="B74" s="66" t="s">
        <v>96</v>
      </c>
      <c r="C74" s="67">
        <f>[14]С2.3!E11</f>
        <v>5.45</v>
      </c>
      <c r="D74" s="145" t="s">
        <v>274</v>
      </c>
    </row>
    <row r="75" spans="1:4" ht="25.5" x14ac:dyDescent="0.2">
      <c r="A75" s="59" t="s">
        <v>97</v>
      </c>
      <c r="B75" s="66" t="s">
        <v>98</v>
      </c>
      <c r="C75" s="62">
        <f>[14]С2.3!E13</f>
        <v>300</v>
      </c>
      <c r="D75" s="145" t="s">
        <v>274</v>
      </c>
    </row>
    <row r="76" spans="1:4" ht="25.5" x14ac:dyDescent="0.2">
      <c r="A76" s="59" t="s">
        <v>99</v>
      </c>
      <c r="B76" s="65" t="s">
        <v>100</v>
      </c>
      <c r="C76" s="68">
        <f>IF([14]С2.3!E22&gt;0,[14]С2.3!E22,[14]С2.3!E14)</f>
        <v>61211</v>
      </c>
      <c r="D76" s="145" t="str">
        <f>IF(C76=[14]С2.3!E14,"Таблица ТЭП (IV)",[14]С2.3!F22)</f>
        <v>Таблица ТЭП (IV)</v>
      </c>
    </row>
    <row r="77" spans="1:4" ht="38.25" x14ac:dyDescent="0.2">
      <c r="A77" s="59" t="s">
        <v>101</v>
      </c>
      <c r="B77" s="65" t="s">
        <v>102</v>
      </c>
      <c r="C77" s="68">
        <f>IF([14]С2.3!E23&gt;0,[14]С2.3!E23,[14]С2.3!E15)</f>
        <v>45675</v>
      </c>
      <c r="D77" s="145" t="str">
        <f>IF(C77=[14]С2.3!E15,"Таблица ТЭП (IV)",[14]С2.3!F23)</f>
        <v>Таблица ТЭП (IV)</v>
      </c>
    </row>
    <row r="78" spans="1:4" ht="30" x14ac:dyDescent="0.2">
      <c r="A78" s="59" t="s">
        <v>103</v>
      </c>
      <c r="B78" s="53" t="s">
        <v>104</v>
      </c>
      <c r="C78" s="34">
        <f>[14]С2.1!E29</f>
        <v>9518.3274000000001</v>
      </c>
      <c r="D78" s="145"/>
    </row>
    <row r="79" spans="1:4" ht="38.25" x14ac:dyDescent="0.2">
      <c r="A79" s="59" t="s">
        <v>105</v>
      </c>
      <c r="B79" s="65" t="s">
        <v>106</v>
      </c>
      <c r="C79" s="52">
        <f>[14]С2.3!E25</f>
        <v>0</v>
      </c>
      <c r="D79" s="145">
        <f>[14]С2.3!F25</f>
        <v>0</v>
      </c>
    </row>
    <row r="80" spans="1:4" ht="25.5" x14ac:dyDescent="0.2">
      <c r="A80" s="59" t="s">
        <v>107</v>
      </c>
      <c r="B80" s="66" t="s">
        <v>108</v>
      </c>
      <c r="C80" s="67">
        <f>[14]С2.3!E12</f>
        <v>0.2</v>
      </c>
      <c r="D80" s="145" t="s">
        <v>274</v>
      </c>
    </row>
    <row r="81" spans="1:4" ht="25.5" x14ac:dyDescent="0.2">
      <c r="A81" s="59" t="s">
        <v>109</v>
      </c>
      <c r="B81" s="66" t="s">
        <v>98</v>
      </c>
      <c r="C81" s="62">
        <f>[14]С2.3!E13</f>
        <v>300</v>
      </c>
      <c r="D81" s="145" t="s">
        <v>274</v>
      </c>
    </row>
    <row r="82" spans="1:4" ht="25.5" x14ac:dyDescent="0.2">
      <c r="A82" s="59" t="s">
        <v>110</v>
      </c>
      <c r="B82" s="69" t="s">
        <v>111</v>
      </c>
      <c r="C82" s="68">
        <f>IF([14]С2.3!E26&gt;0,[14]С2.3!E26,[14]С2.3!E16)</f>
        <v>65637</v>
      </c>
      <c r="D82" s="145" t="str">
        <f>IF(C82=[14]С2.3!E16,"Таблица ТЭП (IV)",[14]С2.3!F26)</f>
        <v>Таблица ТЭП (IV)</v>
      </c>
    </row>
    <row r="83" spans="1:4" ht="38.25" x14ac:dyDescent="0.2">
      <c r="A83" s="59" t="s">
        <v>112</v>
      </c>
      <c r="B83" s="69" t="s">
        <v>113</v>
      </c>
      <c r="C83" s="68">
        <f>IF([14]С2.3!E27&gt;0,[14]С2.3!E27,[14]С2.3!E17)</f>
        <v>31684</v>
      </c>
      <c r="D83" s="145" t="str">
        <f>IF(C83=[14]С2.3!E17,"Таблица ТЭП (IV)",[14]С2.3!F27)</f>
        <v>Таблица ТЭП (IV)</v>
      </c>
    </row>
    <row r="84" spans="1:4" ht="30" x14ac:dyDescent="0.2">
      <c r="A84" s="59" t="s">
        <v>249</v>
      </c>
      <c r="B84" s="60" t="s">
        <v>250</v>
      </c>
      <c r="C84" s="68">
        <f>IF([14]С2.1!E19&gt;0,[14]С2.1!E19,[14]С2!F26)</f>
        <v>2892</v>
      </c>
      <c r="D84" s="145" t="str">
        <f>IF([14]С2.1!E19&gt;0,[14]С2.1!F19,"Таблица ТЭП (V)")</f>
        <v>Таблица ТЭП (V)</v>
      </c>
    </row>
    <row r="85" spans="1:4" ht="17.25" x14ac:dyDescent="0.2">
      <c r="A85" s="59" t="s">
        <v>114</v>
      </c>
      <c r="B85" s="33" t="s">
        <v>115</v>
      </c>
      <c r="C85" s="35">
        <f>[14]С2!F31</f>
        <v>9.5962865259740182E-2</v>
      </c>
      <c r="D85" s="151"/>
    </row>
    <row r="86" spans="1:4" ht="38.25" x14ac:dyDescent="0.2">
      <c r="A86" s="59" t="s">
        <v>116</v>
      </c>
      <c r="B86" s="53" t="s">
        <v>117</v>
      </c>
      <c r="C86" s="70">
        <f>[14]С2!F32</f>
        <v>8.4029304029304031E-2</v>
      </c>
      <c r="D86" s="145" t="str">
        <f>[14]С2.6!G11</f>
        <v>Информация с официального сайта Банка России</v>
      </c>
    </row>
    <row r="87" spans="1:4" ht="17.25" x14ac:dyDescent="0.2">
      <c r="A87" s="59" t="s">
        <v>118</v>
      </c>
      <c r="B87" s="71" t="s">
        <v>119</v>
      </c>
      <c r="C87" s="35">
        <f>[14]С2!F33</f>
        <v>0.13880000000000001</v>
      </c>
      <c r="D87" s="145" t="s">
        <v>272</v>
      </c>
    </row>
    <row r="88" spans="1:4" s="63" customFormat="1" ht="18" thickBot="1" x14ac:dyDescent="0.25">
      <c r="A88" s="72" t="s">
        <v>120</v>
      </c>
      <c r="B88" s="73" t="s">
        <v>121</v>
      </c>
      <c r="C88" s="74">
        <f>[14]С2!F34</f>
        <v>0.12640000000000001</v>
      </c>
      <c r="D88" s="148" t="s">
        <v>272</v>
      </c>
    </row>
    <row r="89" spans="1:4" ht="13.5" thickBot="1" x14ac:dyDescent="0.25">
      <c r="A89" s="47"/>
      <c r="B89" s="75"/>
      <c r="C89" s="15"/>
      <c r="D89" s="160"/>
    </row>
    <row r="90" spans="1:4" s="63" customFormat="1" ht="30" customHeight="1" x14ac:dyDescent="0.2">
      <c r="A90" s="76" t="s">
        <v>122</v>
      </c>
      <c r="B90" s="165" t="s">
        <v>123</v>
      </c>
      <c r="C90" s="165"/>
      <c r="D90" s="170"/>
    </row>
    <row r="91" spans="1:4" s="63" customFormat="1" ht="30" x14ac:dyDescent="0.2">
      <c r="A91" s="77" t="s">
        <v>124</v>
      </c>
      <c r="B91" s="33" t="s">
        <v>125</v>
      </c>
      <c r="C91" s="34">
        <f>[14]С3!F14</f>
        <v>4207.4782939208517</v>
      </c>
      <c r="D91" s="145"/>
    </row>
    <row r="92" spans="1:4" s="63" customFormat="1" ht="42.75" x14ac:dyDescent="0.2">
      <c r="A92" s="77" t="s">
        <v>126</v>
      </c>
      <c r="B92" s="53" t="s">
        <v>127</v>
      </c>
      <c r="C92" s="78">
        <f>[14]С3!F15</f>
        <v>0.2</v>
      </c>
      <c r="D92" s="145" t="str">
        <f>[14]С3.1!F12</f>
        <v xml:space="preserve">Налоговый кодекс Российской Федерации </v>
      </c>
    </row>
    <row r="93" spans="1:4" s="63" customFormat="1" ht="14.25" x14ac:dyDescent="0.2">
      <c r="A93" s="77" t="s">
        <v>128</v>
      </c>
      <c r="B93" s="79" t="s">
        <v>129</v>
      </c>
      <c r="C93" s="62">
        <f>[14]С3!F18</f>
        <v>15</v>
      </c>
      <c r="D93" s="145" t="s">
        <v>272</v>
      </c>
    </row>
    <row r="94" spans="1:4" s="63" customFormat="1" ht="17.25" x14ac:dyDescent="0.2">
      <c r="A94" s="77" t="s">
        <v>130</v>
      </c>
      <c r="B94" s="33" t="s">
        <v>131</v>
      </c>
      <c r="C94" s="34">
        <f>[14]С3!F19</f>
        <v>2638.2577020926874</v>
      </c>
      <c r="D94" s="145"/>
    </row>
    <row r="95" spans="1:4" s="63" customFormat="1" ht="55.5" x14ac:dyDescent="0.2">
      <c r="A95" s="77" t="s">
        <v>132</v>
      </c>
      <c r="B95" s="53" t="s">
        <v>133</v>
      </c>
      <c r="C95" s="80">
        <f>[14]С3!F20</f>
        <v>2.1999999999999999E-2</v>
      </c>
      <c r="D95" s="145" t="str">
        <f>[14]С3.1!F13</f>
        <v xml:space="preserve">Налоговый кодекс Российской Федерации </v>
      </c>
    </row>
    <row r="96" spans="1:4" s="63" customFormat="1" ht="14.25" x14ac:dyDescent="0.2">
      <c r="A96" s="77" t="s">
        <v>134</v>
      </c>
      <c r="B96" s="58" t="s">
        <v>80</v>
      </c>
      <c r="C96" s="62">
        <f>[14]С3!F21</f>
        <v>10</v>
      </c>
      <c r="D96" s="145" t="s">
        <v>272</v>
      </c>
    </row>
    <row r="97" spans="1:4" s="63" customFormat="1" ht="17.25" x14ac:dyDescent="0.2">
      <c r="A97" s="77" t="s">
        <v>135</v>
      </c>
      <c r="B97" s="33" t="s">
        <v>136</v>
      </c>
      <c r="C97" s="34">
        <f>[14]С3!F22</f>
        <v>0.99313812922960332</v>
      </c>
      <c r="D97" s="145"/>
    </row>
    <row r="98" spans="1:4" s="63" customFormat="1" ht="55.5" x14ac:dyDescent="0.2">
      <c r="A98" s="77" t="s">
        <v>137</v>
      </c>
      <c r="B98" s="53" t="s">
        <v>138</v>
      </c>
      <c r="C98" s="80">
        <f>[14]С3!F23</f>
        <v>3.0000000000000001E-3</v>
      </c>
      <c r="D98" s="145">
        <f>[14]С3.1!F14</f>
        <v>0</v>
      </c>
    </row>
    <row r="99" spans="1:4" s="63" customFormat="1" ht="30.75" thickBot="1" x14ac:dyDescent="0.25">
      <c r="A99" s="81" t="s">
        <v>139</v>
      </c>
      <c r="B99" s="82" t="s">
        <v>82</v>
      </c>
      <c r="C99" s="83">
        <f>[14]С3!F24</f>
        <v>331.04604307653443</v>
      </c>
      <c r="D99" s="148"/>
    </row>
    <row r="100" spans="1:4" ht="13.5" thickBot="1" x14ac:dyDescent="0.25">
      <c r="A100" s="47"/>
      <c r="B100" s="75"/>
      <c r="C100" s="15"/>
      <c r="D100" s="160"/>
    </row>
    <row r="101" spans="1:4" ht="30" customHeight="1" x14ac:dyDescent="0.2">
      <c r="A101" s="84" t="s">
        <v>141</v>
      </c>
      <c r="B101" s="165" t="s">
        <v>142</v>
      </c>
      <c r="C101" s="165"/>
      <c r="D101" s="170"/>
    </row>
    <row r="102" spans="1:4" ht="30" x14ac:dyDescent="0.2">
      <c r="A102" s="59" t="s">
        <v>143</v>
      </c>
      <c r="B102" s="33" t="s">
        <v>251</v>
      </c>
      <c r="C102" s="34">
        <f>[14]С4!F16</f>
        <v>832.33500000000004</v>
      </c>
      <c r="D102" s="145"/>
    </row>
    <row r="103" spans="1:4" ht="30" x14ac:dyDescent="0.2">
      <c r="A103" s="59" t="s">
        <v>145</v>
      </c>
      <c r="B103" s="58" t="s">
        <v>252</v>
      </c>
      <c r="C103" s="34">
        <f>[14]С4!F17</f>
        <v>43385</v>
      </c>
      <c r="D103" s="145" t="s">
        <v>260</v>
      </c>
    </row>
    <row r="104" spans="1:4" ht="17.25" x14ac:dyDescent="0.2">
      <c r="A104" s="59" t="s">
        <v>147</v>
      </c>
      <c r="B104" s="58" t="s">
        <v>148</v>
      </c>
      <c r="C104" s="40">
        <f>[14]С4!F18</f>
        <v>1.4999999999999999E-2</v>
      </c>
      <c r="D104" s="145" t="s">
        <v>260</v>
      </c>
    </row>
    <row r="105" spans="1:4" ht="30" x14ac:dyDescent="0.2">
      <c r="A105" s="59" t="s">
        <v>149</v>
      </c>
      <c r="B105" s="58" t="s">
        <v>150</v>
      </c>
      <c r="C105" s="34">
        <f>[14]С4!F19</f>
        <v>12104</v>
      </c>
      <c r="D105" s="145" t="s">
        <v>275</v>
      </c>
    </row>
    <row r="106" spans="1:4" ht="31.5" x14ac:dyDescent="0.2">
      <c r="A106" s="59" t="s">
        <v>151</v>
      </c>
      <c r="B106" s="58" t="s">
        <v>152</v>
      </c>
      <c r="C106" s="40">
        <f>[14]С4!F20</f>
        <v>1.4999999999999999E-2</v>
      </c>
      <c r="D106" s="145" t="s">
        <v>275</v>
      </c>
    </row>
    <row r="107" spans="1:4" ht="30" x14ac:dyDescent="0.2">
      <c r="A107" s="59" t="s">
        <v>153</v>
      </c>
      <c r="B107" s="33" t="s">
        <v>253</v>
      </c>
      <c r="C107" s="34">
        <f>[14]С4!F21</f>
        <v>1221.9019409821399</v>
      </c>
      <c r="D107" s="145"/>
    </row>
    <row r="108" spans="1:4" ht="45.6" customHeight="1" x14ac:dyDescent="0.2">
      <c r="A108" s="59" t="s">
        <v>155</v>
      </c>
      <c r="B108" s="53" t="s">
        <v>156</v>
      </c>
      <c r="C108" s="85" t="str">
        <f>IF([14]С4.2!F8="да",[14]С4.2!D21,[14]С4.2!D15)</f>
        <v>АО "Новосибирскэнергосбыт"</v>
      </c>
      <c r="D108" s="145"/>
    </row>
    <row r="109" spans="1:4" ht="68.25" customHeight="1" x14ac:dyDescent="0.2">
      <c r="A109" s="59" t="s">
        <v>157</v>
      </c>
      <c r="B109" s="53" t="s">
        <v>158</v>
      </c>
      <c r="C109" s="34">
        <f>[14]С4!F22</f>
        <v>3.6112641666666665</v>
      </c>
      <c r="D109" s="145" t="str">
        <f>IF([14]С4.2!F8="да",[14]С4.2!E21,[14]С4.2!E15)</f>
        <v>https://www.nskes.ru/dlya-biznesa/tarify-i-oplata/nereguliruemye-tseny/</v>
      </c>
    </row>
    <row r="110" spans="1:4" ht="30" x14ac:dyDescent="0.2">
      <c r="A110" s="59" t="s">
        <v>159</v>
      </c>
      <c r="B110" s="58" t="s">
        <v>254</v>
      </c>
      <c r="C110" s="62">
        <f>[14]С4!F23</f>
        <v>110</v>
      </c>
      <c r="D110" s="145" t="s">
        <v>273</v>
      </c>
    </row>
    <row r="111" spans="1:4" ht="14.25" x14ac:dyDescent="0.2">
      <c r="A111" s="59" t="s">
        <v>161</v>
      </c>
      <c r="B111" s="53" t="s">
        <v>162</v>
      </c>
      <c r="C111" s="34">
        <f>[14]С4!F24</f>
        <v>8497.1999999999989</v>
      </c>
      <c r="D111" s="145" t="s">
        <v>260</v>
      </c>
    </row>
    <row r="112" spans="1:4" ht="14.25" x14ac:dyDescent="0.2">
      <c r="A112" s="59" t="s">
        <v>163</v>
      </c>
      <c r="B112" s="58" t="s">
        <v>164</v>
      </c>
      <c r="C112" s="40">
        <f>[14]С4!F25</f>
        <v>0.36199999999999999</v>
      </c>
      <c r="D112" s="145" t="s">
        <v>276</v>
      </c>
    </row>
    <row r="113" spans="1:4" ht="17.25" x14ac:dyDescent="0.2">
      <c r="A113" s="59" t="s">
        <v>165</v>
      </c>
      <c r="B113" s="33" t="s">
        <v>166</v>
      </c>
      <c r="C113" s="34">
        <f>[14]С4!F26</f>
        <v>40.123830000000005</v>
      </c>
      <c r="D113" s="145"/>
    </row>
    <row r="114" spans="1:4" ht="25.5" x14ac:dyDescent="0.2">
      <c r="A114" s="59" t="s">
        <v>167</v>
      </c>
      <c r="B114" s="53" t="s">
        <v>94</v>
      </c>
      <c r="C114" s="85">
        <f>[14]С4.3!E16</f>
        <v>0</v>
      </c>
      <c r="D114" s="145">
        <f>[14]С4.3!F16</f>
        <v>0</v>
      </c>
    </row>
    <row r="115" spans="1:4" ht="25.5" x14ac:dyDescent="0.2">
      <c r="A115" s="59" t="s">
        <v>168</v>
      </c>
      <c r="B115" s="53" t="s">
        <v>169</v>
      </c>
      <c r="C115" s="34">
        <f>[14]С4.3!E17</f>
        <v>18.059999999999999</v>
      </c>
      <c r="D115" s="150">
        <f>[14]С4.3!F17</f>
        <v>0</v>
      </c>
    </row>
    <row r="116" spans="1:4" ht="38.25" x14ac:dyDescent="0.2">
      <c r="A116" s="59" t="s">
        <v>170</v>
      </c>
      <c r="B116" s="53" t="s">
        <v>106</v>
      </c>
      <c r="C116" s="85">
        <f>[14]С4.3!E18</f>
        <v>0</v>
      </c>
      <c r="D116" s="145">
        <f>[14]С4.3!F18</f>
        <v>0</v>
      </c>
    </row>
    <row r="117" spans="1:4" x14ac:dyDescent="0.2">
      <c r="A117" s="59" t="s">
        <v>171</v>
      </c>
      <c r="B117" s="53" t="s">
        <v>172</v>
      </c>
      <c r="C117" s="34">
        <f>[14]С4.3!E19</f>
        <v>71.67</v>
      </c>
      <c r="D117" s="150">
        <f>[14]С4.3!F19</f>
        <v>0</v>
      </c>
    </row>
    <row r="118" spans="1:4" x14ac:dyDescent="0.2">
      <c r="A118" s="59" t="s">
        <v>173</v>
      </c>
      <c r="B118" s="58" t="s">
        <v>174</v>
      </c>
      <c r="C118" s="62">
        <f>[14]С4.3!E11</f>
        <v>1871</v>
      </c>
      <c r="D118" s="145" t="s">
        <v>260</v>
      </c>
    </row>
    <row r="119" spans="1:4" x14ac:dyDescent="0.2">
      <c r="A119" s="59" t="s">
        <v>175</v>
      </c>
      <c r="B119" s="58" t="s">
        <v>176</v>
      </c>
      <c r="C119" s="52">
        <f>[14]С4.3!E12</f>
        <v>61</v>
      </c>
      <c r="D119" s="145" t="s">
        <v>260</v>
      </c>
    </row>
    <row r="120" spans="1:4" x14ac:dyDescent="0.2">
      <c r="A120" s="59" t="s">
        <v>177</v>
      </c>
      <c r="B120" s="58" t="s">
        <v>178</v>
      </c>
      <c r="C120" s="52">
        <f>[14]С4.3!E13</f>
        <v>73</v>
      </c>
      <c r="D120" s="145" t="s">
        <v>260</v>
      </c>
    </row>
    <row r="121" spans="1:4" ht="30" x14ac:dyDescent="0.2">
      <c r="A121" s="59" t="s">
        <v>179</v>
      </c>
      <c r="B121" s="33" t="s">
        <v>255</v>
      </c>
      <c r="C121" s="34">
        <f>[14]С4!F27</f>
        <v>904.62444244124072</v>
      </c>
      <c r="D121" s="145"/>
    </row>
    <row r="122" spans="1:4" ht="25.5" x14ac:dyDescent="0.2">
      <c r="A122" s="59" t="s">
        <v>181</v>
      </c>
      <c r="B122" s="53" t="s">
        <v>256</v>
      </c>
      <c r="C122" s="34">
        <f>[14]С4!F28</f>
        <v>694.79603874135228</v>
      </c>
      <c r="D122" s="150"/>
    </row>
    <row r="123" spans="1:4" ht="42.75" x14ac:dyDescent="0.2">
      <c r="A123" s="59" t="s">
        <v>183</v>
      </c>
      <c r="B123" s="53" t="s">
        <v>184</v>
      </c>
      <c r="C123" s="34">
        <f>[14]С4!F29</f>
        <v>209.82840369988838</v>
      </c>
      <c r="D123" s="145"/>
    </row>
    <row r="124" spans="1:4" ht="30.75" thickBot="1" x14ac:dyDescent="0.25">
      <c r="A124" s="72" t="s">
        <v>185</v>
      </c>
      <c r="B124" s="90" t="s">
        <v>186</v>
      </c>
      <c r="C124" s="83">
        <f>[14]С4!F30</f>
        <v>475.40681839948314</v>
      </c>
      <c r="D124" s="148"/>
    </row>
    <row r="125" spans="1:4" s="89" customFormat="1" ht="13.5" thickBot="1" x14ac:dyDescent="0.25">
      <c r="A125" s="47"/>
      <c r="B125" s="75"/>
      <c r="C125" s="15"/>
      <c r="D125" s="160"/>
    </row>
    <row r="126" spans="1:4" s="63" customFormat="1" ht="30" customHeight="1" x14ac:dyDescent="0.2">
      <c r="A126" s="76" t="s">
        <v>195</v>
      </c>
      <c r="B126" s="165" t="s">
        <v>196</v>
      </c>
      <c r="C126" s="165"/>
      <c r="D126" s="170"/>
    </row>
    <row r="127" spans="1:4" ht="30.6" customHeight="1" thickBot="1" x14ac:dyDescent="0.25">
      <c r="A127" s="27" t="s">
        <v>197</v>
      </c>
      <c r="B127" s="90" t="s">
        <v>198</v>
      </c>
      <c r="C127" s="83">
        <f>[14]С5!F17</f>
        <v>0.02</v>
      </c>
      <c r="D127" s="155" t="s">
        <v>261</v>
      </c>
    </row>
    <row r="128" spans="1:4" s="89" customFormat="1" ht="13.5" thickBot="1" x14ac:dyDescent="0.25">
      <c r="A128" s="47"/>
      <c r="B128" s="75"/>
      <c r="C128" s="15"/>
      <c r="D128" s="160"/>
    </row>
    <row r="129" spans="1:5" ht="42.75" customHeight="1" x14ac:dyDescent="0.2">
      <c r="A129" s="84" t="s">
        <v>199</v>
      </c>
      <c r="B129" s="165" t="s">
        <v>200</v>
      </c>
      <c r="C129" s="165"/>
      <c r="D129" s="170"/>
    </row>
    <row r="130" spans="1:5" ht="68.25" x14ac:dyDescent="0.2">
      <c r="A130" s="59" t="s">
        <v>201</v>
      </c>
      <c r="B130" s="91" t="s">
        <v>202</v>
      </c>
      <c r="C130" s="34" t="str">
        <f>IF([14]С6.1!E11="нет",[14]С6!F13,"")</f>
        <v/>
      </c>
      <c r="D130" s="145"/>
    </row>
    <row r="131" spans="1:5" ht="42.75" x14ac:dyDescent="0.2">
      <c r="A131" s="59" t="s">
        <v>204</v>
      </c>
      <c r="B131" s="86" t="s">
        <v>205</v>
      </c>
      <c r="C131" s="92" t="str">
        <f>IF([14]С6.1!E12="нет",[14]С6.1!E17,"")</f>
        <v/>
      </c>
      <c r="D131" s="145" t="str">
        <f>IF([14]С6.1!E12="нет",[14]С6.1!F17,"")</f>
        <v/>
      </c>
    </row>
    <row r="132" spans="1:5" ht="68.25" x14ac:dyDescent="0.2">
      <c r="A132" s="59" t="s">
        <v>206</v>
      </c>
      <c r="B132" s="91" t="s">
        <v>207</v>
      </c>
      <c r="C132" s="127" t="str">
        <f>IF([14]С6.1!E18="нет",[14]С6!F19,"")</f>
        <v/>
      </c>
      <c r="D132" s="147"/>
    </row>
    <row r="133" spans="1:5" ht="55.5" x14ac:dyDescent="0.2">
      <c r="A133" s="59" t="s">
        <v>208</v>
      </c>
      <c r="B133" s="86" t="s">
        <v>209</v>
      </c>
      <c r="C133" s="35" t="str">
        <f>IF([14]С6.1!E18="нет",[14]С6.1!E19,"")</f>
        <v/>
      </c>
      <c r="D133" s="145" t="str">
        <f>IF([14]С6.1!E18="нет",[14]С6.1!F19,"")</f>
        <v/>
      </c>
    </row>
    <row r="134" spans="1:5" ht="61.5" customHeight="1" x14ac:dyDescent="0.2">
      <c r="A134" s="59" t="s">
        <v>210</v>
      </c>
      <c r="B134" s="86" t="s">
        <v>257</v>
      </c>
      <c r="C134" s="35" t="str">
        <f>IF([14]С6.1!E18="нет",[14]С6.1!E22,"")</f>
        <v/>
      </c>
      <c r="D134" s="145" t="str">
        <f>IF([14]С6.1!E18="нет",[14]С6.1!F22,"")</f>
        <v/>
      </c>
    </row>
    <row r="135" spans="1:5" ht="69" thickBot="1" x14ac:dyDescent="0.25">
      <c r="A135" s="72" t="s">
        <v>212</v>
      </c>
      <c r="B135" s="98" t="s">
        <v>213</v>
      </c>
      <c r="C135" s="74" t="str">
        <f>IF([14]С6.1!E18="нет",[14]С6.1!E23,"")</f>
        <v/>
      </c>
      <c r="D135" s="148" t="str">
        <f>IF([14]С6.1!E18="нет",[14]С6.1!F23,"")</f>
        <v/>
      </c>
    </row>
    <row r="136" spans="1:5" s="89" customFormat="1" ht="13.5" thickBot="1" x14ac:dyDescent="0.25">
      <c r="A136" s="47"/>
      <c r="B136" s="75"/>
      <c r="C136" s="15"/>
      <c r="D136" s="160"/>
    </row>
    <row r="137" spans="1:5" ht="15.75" x14ac:dyDescent="0.2">
      <c r="A137" s="84" t="s">
        <v>214</v>
      </c>
      <c r="B137" s="99" t="s">
        <v>215</v>
      </c>
      <c r="C137" s="100">
        <f>[14]С2!F39</f>
        <v>21.531904799999996</v>
      </c>
      <c r="D137" s="157"/>
    </row>
    <row r="138" spans="1:5" ht="14.25" x14ac:dyDescent="0.2">
      <c r="A138" s="59" t="s">
        <v>216</v>
      </c>
      <c r="B138" s="58" t="s">
        <v>217</v>
      </c>
      <c r="C138" s="34">
        <f>[14]С2!F40</f>
        <v>7</v>
      </c>
      <c r="D138" s="145" t="s">
        <v>260</v>
      </c>
    </row>
    <row r="139" spans="1:5" ht="17.25" x14ac:dyDescent="0.2">
      <c r="A139" s="59" t="s">
        <v>218</v>
      </c>
      <c r="B139" s="58" t="s">
        <v>219</v>
      </c>
      <c r="C139" s="34">
        <f>[14]С2!F42</f>
        <v>0.97</v>
      </c>
      <c r="D139" s="145" t="s">
        <v>260</v>
      </c>
    </row>
    <row r="140" spans="1:5" ht="15" thickBot="1" x14ac:dyDescent="0.25">
      <c r="A140" s="72" t="s">
        <v>220</v>
      </c>
      <c r="B140" s="73" t="s">
        <v>221</v>
      </c>
      <c r="C140" s="46">
        <f>[14]С2!F44</f>
        <v>0.36199999999999999</v>
      </c>
      <c r="D140" s="148" t="s">
        <v>276</v>
      </c>
    </row>
    <row r="141" spans="1:5" s="89" customFormat="1" ht="13.5" thickBot="1" x14ac:dyDescent="0.25">
      <c r="A141" s="47"/>
      <c r="B141" s="75"/>
      <c r="C141" s="15"/>
      <c r="D141" s="160"/>
    </row>
    <row r="142" spans="1:5" ht="409.5" x14ac:dyDescent="0.2">
      <c r="A142" s="84" t="s">
        <v>222</v>
      </c>
      <c r="B142" s="103" t="s">
        <v>258</v>
      </c>
      <c r="C142" s="128">
        <f>[14]С2!F37</f>
        <v>1.4976266307379205</v>
      </c>
      <c r="D142" s="157" t="str">
        <f>[14]С2.5!D15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2" s="89"/>
    </row>
    <row r="143" spans="1:5" ht="17.25" customHeight="1" thickBot="1" x14ac:dyDescent="0.25">
      <c r="A143" s="72" t="s">
        <v>224</v>
      </c>
      <c r="B143" s="161" t="s">
        <v>225</v>
      </c>
      <c r="C143" s="161"/>
      <c r="D143" s="168"/>
      <c r="E143" s="89"/>
    </row>
    <row r="144" spans="1:5" x14ac:dyDescent="0.2">
      <c r="A144" s="105"/>
      <c r="B144" s="129" t="s">
        <v>226</v>
      </c>
      <c r="C144" s="130"/>
      <c r="D144" s="9"/>
    </row>
    <row r="145" spans="1:4" x14ac:dyDescent="0.2">
      <c r="A145" s="105"/>
      <c r="B145" s="131">
        <v>2020</v>
      </c>
      <c r="C145" s="132">
        <f>[14]С2.5!$E$11</f>
        <v>-2.9000000000000026E-2</v>
      </c>
      <c r="D145" s="9"/>
    </row>
    <row r="146" spans="1:4" x14ac:dyDescent="0.2">
      <c r="B146" s="131">
        <f>B145+1</f>
        <v>2021</v>
      </c>
      <c r="C146" s="133">
        <f>[14]С2.5!$F$11</f>
        <v>0.245</v>
      </c>
    </row>
    <row r="147" spans="1:4" x14ac:dyDescent="0.2">
      <c r="B147" s="131">
        <f t="shared" ref="B147:B210" si="0">B146+1</f>
        <v>2022</v>
      </c>
      <c r="C147" s="134">
        <f>[14]С2.5!$G$11</f>
        <v>0.114</v>
      </c>
    </row>
    <row r="148" spans="1:4" x14ac:dyDescent="0.2">
      <c r="B148" s="110">
        <f t="shared" si="0"/>
        <v>2023</v>
      </c>
      <c r="C148" s="135">
        <f>[14]С2.5!$H$11</f>
        <v>2.4E-2</v>
      </c>
    </row>
    <row r="149" spans="1:4" ht="13.5" thickBot="1" x14ac:dyDescent="0.25">
      <c r="B149" s="110">
        <f t="shared" si="0"/>
        <v>2024</v>
      </c>
      <c r="C149" s="135">
        <f>[14]С2.5!$I$11</f>
        <v>8.5999999999999993E-2</v>
      </c>
    </row>
    <row r="150" spans="1:4" ht="13.5" hidden="1" thickBot="1" x14ac:dyDescent="0.25">
      <c r="B150" s="110">
        <f t="shared" si="0"/>
        <v>2025</v>
      </c>
      <c r="C150" s="135">
        <f>[14]С2.5!$J$11</f>
        <v>0</v>
      </c>
    </row>
    <row r="151" spans="1:4" ht="13.5" hidden="1" thickBot="1" x14ac:dyDescent="0.25">
      <c r="B151" s="110">
        <f t="shared" si="0"/>
        <v>2026</v>
      </c>
      <c r="C151" s="135">
        <f>[14]С2.5!$K$11</f>
        <v>0</v>
      </c>
    </row>
    <row r="152" spans="1:4" ht="13.5" hidden="1" thickBot="1" x14ac:dyDescent="0.25">
      <c r="B152" s="110">
        <f t="shared" si="0"/>
        <v>2027</v>
      </c>
      <c r="C152" s="135">
        <f>[14]С2.5!$L$11</f>
        <v>0</v>
      </c>
    </row>
    <row r="153" spans="1:4" ht="13.5" hidden="1" thickBot="1" x14ac:dyDescent="0.25">
      <c r="B153" s="110">
        <f t="shared" si="0"/>
        <v>2028</v>
      </c>
      <c r="C153" s="135">
        <f>[14]С2.5!$M$11</f>
        <v>0</v>
      </c>
    </row>
    <row r="154" spans="1:4" ht="13.5" hidden="1" thickBot="1" x14ac:dyDescent="0.25">
      <c r="B154" s="110">
        <f t="shared" si="0"/>
        <v>2029</v>
      </c>
      <c r="C154" s="135">
        <f>[14]С2.5!$N$11</f>
        <v>0</v>
      </c>
    </row>
    <row r="155" spans="1:4" ht="13.5" hidden="1" thickBot="1" x14ac:dyDescent="0.25">
      <c r="B155" s="110">
        <f t="shared" si="0"/>
        <v>2030</v>
      </c>
      <c r="C155" s="135">
        <f>[14]С2.5!$O$11</f>
        <v>0</v>
      </c>
    </row>
    <row r="156" spans="1:4" ht="13.5" hidden="1" thickBot="1" x14ac:dyDescent="0.25">
      <c r="B156" s="110">
        <f t="shared" si="0"/>
        <v>2031</v>
      </c>
      <c r="C156" s="135">
        <f>[14]С2.5!$P$11</f>
        <v>0</v>
      </c>
    </row>
    <row r="157" spans="1:4" ht="13.5" hidden="1" thickBot="1" x14ac:dyDescent="0.25">
      <c r="B157" s="110">
        <f t="shared" si="0"/>
        <v>2032</v>
      </c>
      <c r="C157" s="135">
        <f>[14]С2.5!$Q$11</f>
        <v>0</v>
      </c>
    </row>
    <row r="158" spans="1:4" ht="13.5" hidden="1" thickBot="1" x14ac:dyDescent="0.25">
      <c r="B158" s="110">
        <f t="shared" si="0"/>
        <v>2033</v>
      </c>
      <c r="C158" s="135">
        <f>[14]С2.5!$R$11</f>
        <v>0</v>
      </c>
    </row>
    <row r="159" spans="1:4" ht="13.5" hidden="1" thickBot="1" x14ac:dyDescent="0.25">
      <c r="B159" s="110">
        <f t="shared" si="0"/>
        <v>2034</v>
      </c>
      <c r="C159" s="135">
        <f>[14]С2.5!$S$11</f>
        <v>0</v>
      </c>
    </row>
    <row r="160" spans="1:4" ht="13.5" hidden="1" thickBot="1" x14ac:dyDescent="0.25">
      <c r="B160" s="110">
        <f t="shared" si="0"/>
        <v>2035</v>
      </c>
      <c r="C160" s="135">
        <f>[14]С2.5!$T$11</f>
        <v>0</v>
      </c>
    </row>
    <row r="161" spans="2:3" s="2" customFormat="1" ht="13.5" hidden="1" thickBot="1" x14ac:dyDescent="0.25">
      <c r="B161" s="110">
        <f t="shared" si="0"/>
        <v>2036</v>
      </c>
      <c r="C161" s="135">
        <f>[14]С2.5!$U$11</f>
        <v>0</v>
      </c>
    </row>
    <row r="162" spans="2:3" s="2" customFormat="1" ht="13.5" hidden="1" thickBot="1" x14ac:dyDescent="0.25">
      <c r="B162" s="110">
        <f t="shared" si="0"/>
        <v>2037</v>
      </c>
      <c r="C162" s="135">
        <f>[14]С2.5!$V$11</f>
        <v>0</v>
      </c>
    </row>
    <row r="163" spans="2:3" s="2" customFormat="1" ht="13.5" hidden="1" thickBot="1" x14ac:dyDescent="0.25">
      <c r="B163" s="110">
        <f t="shared" si="0"/>
        <v>2038</v>
      </c>
      <c r="C163" s="135">
        <f>[14]С2.5!$W$11</f>
        <v>0</v>
      </c>
    </row>
    <row r="164" spans="2:3" s="2" customFormat="1" ht="13.5" hidden="1" thickBot="1" x14ac:dyDescent="0.25">
      <c r="B164" s="110">
        <f t="shared" si="0"/>
        <v>2039</v>
      </c>
      <c r="C164" s="135">
        <f>[14]С2.5!$X$11</f>
        <v>0</v>
      </c>
    </row>
    <row r="165" spans="2:3" s="2" customFormat="1" ht="13.5" hidden="1" thickBot="1" x14ac:dyDescent="0.25">
      <c r="B165" s="110">
        <f t="shared" si="0"/>
        <v>2040</v>
      </c>
      <c r="C165" s="135">
        <f>[14]С2.5!$Y$11</f>
        <v>0</v>
      </c>
    </row>
    <row r="166" spans="2:3" s="2" customFormat="1" ht="13.5" hidden="1" thickBot="1" x14ac:dyDescent="0.25">
      <c r="B166" s="110">
        <f t="shared" si="0"/>
        <v>2041</v>
      </c>
      <c r="C166" s="135">
        <f>[14]С2.5!$Z$11</f>
        <v>0</v>
      </c>
    </row>
    <row r="167" spans="2:3" s="2" customFormat="1" ht="13.5" hidden="1" thickBot="1" x14ac:dyDescent="0.25">
      <c r="B167" s="110">
        <f t="shared" si="0"/>
        <v>2042</v>
      </c>
      <c r="C167" s="135">
        <f>[14]С2.5!$AA$11</f>
        <v>0</v>
      </c>
    </row>
    <row r="168" spans="2:3" s="2" customFormat="1" ht="13.5" hidden="1" thickBot="1" x14ac:dyDescent="0.25">
      <c r="B168" s="110">
        <f t="shared" si="0"/>
        <v>2043</v>
      </c>
      <c r="C168" s="135">
        <f>[14]С2.5!$AB$11</f>
        <v>0</v>
      </c>
    </row>
    <row r="169" spans="2:3" s="2" customFormat="1" ht="13.5" hidden="1" thickBot="1" x14ac:dyDescent="0.25">
      <c r="B169" s="110">
        <f t="shared" si="0"/>
        <v>2044</v>
      </c>
      <c r="C169" s="135">
        <f>[14]С2.5!$AC$11</f>
        <v>0</v>
      </c>
    </row>
    <row r="170" spans="2:3" s="2" customFormat="1" ht="13.5" hidden="1" thickBot="1" x14ac:dyDescent="0.25">
      <c r="B170" s="110">
        <f t="shared" si="0"/>
        <v>2045</v>
      </c>
      <c r="C170" s="135">
        <f>[14]С2.5!$AD$11</f>
        <v>0</v>
      </c>
    </row>
    <row r="171" spans="2:3" s="2" customFormat="1" ht="13.5" hidden="1" thickBot="1" x14ac:dyDescent="0.25">
      <c r="B171" s="110">
        <f t="shared" si="0"/>
        <v>2046</v>
      </c>
      <c r="C171" s="135">
        <f>[14]С2.5!$AE$11</f>
        <v>0</v>
      </c>
    </row>
    <row r="172" spans="2:3" s="2" customFormat="1" ht="13.5" hidden="1" thickBot="1" x14ac:dyDescent="0.25">
      <c r="B172" s="110">
        <f t="shared" si="0"/>
        <v>2047</v>
      </c>
      <c r="C172" s="135">
        <f>[14]С2.5!$AF$11</f>
        <v>0</v>
      </c>
    </row>
    <row r="173" spans="2:3" s="2" customFormat="1" ht="13.5" hidden="1" thickBot="1" x14ac:dyDescent="0.25">
      <c r="B173" s="110">
        <f t="shared" si="0"/>
        <v>2048</v>
      </c>
      <c r="C173" s="135">
        <f>[14]С2.5!$AG$11</f>
        <v>0</v>
      </c>
    </row>
    <row r="174" spans="2:3" s="2" customFormat="1" ht="13.5" hidden="1" thickBot="1" x14ac:dyDescent="0.25">
      <c r="B174" s="110">
        <f t="shared" si="0"/>
        <v>2049</v>
      </c>
      <c r="C174" s="135">
        <f>[14]С2.5!$AH$11</f>
        <v>0</v>
      </c>
    </row>
    <row r="175" spans="2:3" s="2" customFormat="1" ht="13.5" hidden="1" thickBot="1" x14ac:dyDescent="0.25">
      <c r="B175" s="110">
        <f t="shared" si="0"/>
        <v>2050</v>
      </c>
      <c r="C175" s="135">
        <f>[14]С2.5!$AI$11</f>
        <v>0</v>
      </c>
    </row>
    <row r="176" spans="2:3" s="2" customFormat="1" ht="13.5" hidden="1" thickBot="1" x14ac:dyDescent="0.25">
      <c r="B176" s="110">
        <f t="shared" si="0"/>
        <v>2051</v>
      </c>
      <c r="C176" s="135">
        <f>[14]С2.5!$AJ$11</f>
        <v>0</v>
      </c>
    </row>
    <row r="177" spans="2:3" s="2" customFormat="1" ht="13.5" hidden="1" thickBot="1" x14ac:dyDescent="0.25">
      <c r="B177" s="110">
        <f t="shared" si="0"/>
        <v>2052</v>
      </c>
      <c r="C177" s="135">
        <f>[14]С2.5!$AK$11</f>
        <v>0</v>
      </c>
    </row>
    <row r="178" spans="2:3" s="2" customFormat="1" ht="13.5" hidden="1" thickBot="1" x14ac:dyDescent="0.25">
      <c r="B178" s="110">
        <f t="shared" si="0"/>
        <v>2053</v>
      </c>
      <c r="C178" s="135">
        <f>[14]С2.5!$AL$11</f>
        <v>0</v>
      </c>
    </row>
    <row r="179" spans="2:3" s="2" customFormat="1" ht="13.5" hidden="1" thickBot="1" x14ac:dyDescent="0.25">
      <c r="B179" s="110">
        <f t="shared" si="0"/>
        <v>2054</v>
      </c>
      <c r="C179" s="135">
        <f>[14]С2.5!$AM$11</f>
        <v>0</v>
      </c>
    </row>
    <row r="180" spans="2:3" s="2" customFormat="1" ht="13.5" hidden="1" thickBot="1" x14ac:dyDescent="0.25">
      <c r="B180" s="110">
        <f t="shared" si="0"/>
        <v>2055</v>
      </c>
      <c r="C180" s="135">
        <f>[14]С2.5!$AN$11</f>
        <v>0</v>
      </c>
    </row>
    <row r="181" spans="2:3" s="2" customFormat="1" ht="13.5" hidden="1" thickBot="1" x14ac:dyDescent="0.25">
      <c r="B181" s="110">
        <f t="shared" si="0"/>
        <v>2056</v>
      </c>
      <c r="C181" s="135">
        <f>[14]С2.5!$AO$11</f>
        <v>0</v>
      </c>
    </row>
    <row r="182" spans="2:3" s="2" customFormat="1" ht="13.5" hidden="1" thickBot="1" x14ac:dyDescent="0.25">
      <c r="B182" s="110">
        <f t="shared" si="0"/>
        <v>2057</v>
      </c>
      <c r="C182" s="135">
        <f>[14]С2.5!$AP$11</f>
        <v>0</v>
      </c>
    </row>
    <row r="183" spans="2:3" s="2" customFormat="1" ht="13.5" hidden="1" thickBot="1" x14ac:dyDescent="0.25">
      <c r="B183" s="110">
        <f t="shared" si="0"/>
        <v>2058</v>
      </c>
      <c r="C183" s="135">
        <f>[14]С2.5!$AQ$11</f>
        <v>0</v>
      </c>
    </row>
    <row r="184" spans="2:3" s="2" customFormat="1" ht="13.5" hidden="1" thickBot="1" x14ac:dyDescent="0.25">
      <c r="B184" s="110">
        <f t="shared" si="0"/>
        <v>2059</v>
      </c>
      <c r="C184" s="135">
        <f>[14]С2.5!$AR$11</f>
        <v>0</v>
      </c>
    </row>
    <row r="185" spans="2:3" s="2" customFormat="1" ht="13.5" hidden="1" thickBot="1" x14ac:dyDescent="0.25">
      <c r="B185" s="110">
        <f t="shared" si="0"/>
        <v>2060</v>
      </c>
      <c r="C185" s="135">
        <f>[14]С2.5!$AS$11</f>
        <v>0</v>
      </c>
    </row>
    <row r="186" spans="2:3" s="2" customFormat="1" ht="13.5" hidden="1" thickBot="1" x14ac:dyDescent="0.25">
      <c r="B186" s="110">
        <f t="shared" si="0"/>
        <v>2061</v>
      </c>
      <c r="C186" s="135">
        <f>[14]С2.5!$AT$11</f>
        <v>0</v>
      </c>
    </row>
    <row r="187" spans="2:3" s="2" customFormat="1" ht="13.5" hidden="1" thickBot="1" x14ac:dyDescent="0.25">
      <c r="B187" s="110">
        <f t="shared" si="0"/>
        <v>2062</v>
      </c>
      <c r="C187" s="135">
        <f>[14]С2.5!$AU$11</f>
        <v>0</v>
      </c>
    </row>
    <row r="188" spans="2:3" s="2" customFormat="1" ht="13.5" hidden="1" thickBot="1" x14ac:dyDescent="0.25">
      <c r="B188" s="110">
        <f t="shared" si="0"/>
        <v>2063</v>
      </c>
      <c r="C188" s="135">
        <f>[14]С2.5!$AV$11</f>
        <v>0</v>
      </c>
    </row>
    <row r="189" spans="2:3" s="2" customFormat="1" ht="13.5" hidden="1" thickBot="1" x14ac:dyDescent="0.25">
      <c r="B189" s="110">
        <f t="shared" si="0"/>
        <v>2064</v>
      </c>
      <c r="C189" s="135">
        <f>[14]С2.5!$AW$11</f>
        <v>0</v>
      </c>
    </row>
    <row r="190" spans="2:3" s="2" customFormat="1" ht="13.5" hidden="1" thickBot="1" x14ac:dyDescent="0.25">
      <c r="B190" s="110">
        <f t="shared" si="0"/>
        <v>2065</v>
      </c>
      <c r="C190" s="135">
        <f>[14]С2.5!$AX$11</f>
        <v>0</v>
      </c>
    </row>
    <row r="191" spans="2:3" s="2" customFormat="1" ht="13.5" hidden="1" thickBot="1" x14ac:dyDescent="0.25">
      <c r="B191" s="110">
        <f t="shared" si="0"/>
        <v>2066</v>
      </c>
      <c r="C191" s="135">
        <f>[14]С2.5!$AY$11</f>
        <v>0</v>
      </c>
    </row>
    <row r="192" spans="2:3" s="2" customFormat="1" ht="13.5" hidden="1" thickBot="1" x14ac:dyDescent="0.25">
      <c r="B192" s="110">
        <f t="shared" si="0"/>
        <v>2067</v>
      </c>
      <c r="C192" s="135">
        <f>[14]С2.5!$AZ$11</f>
        <v>0</v>
      </c>
    </row>
    <row r="193" spans="2:3" s="2" customFormat="1" ht="13.5" hidden="1" thickBot="1" x14ac:dyDescent="0.25">
      <c r="B193" s="110">
        <f t="shared" si="0"/>
        <v>2068</v>
      </c>
      <c r="C193" s="135">
        <f>[14]С2.5!$BA$11</f>
        <v>0</v>
      </c>
    </row>
    <row r="194" spans="2:3" s="2" customFormat="1" ht="13.5" hidden="1" thickBot="1" x14ac:dyDescent="0.25">
      <c r="B194" s="110">
        <f t="shared" si="0"/>
        <v>2069</v>
      </c>
      <c r="C194" s="135">
        <f>[14]С2.5!$BB$11</f>
        <v>0</v>
      </c>
    </row>
    <row r="195" spans="2:3" s="2" customFormat="1" ht="13.5" hidden="1" thickBot="1" x14ac:dyDescent="0.25">
      <c r="B195" s="110">
        <f t="shared" si="0"/>
        <v>2070</v>
      </c>
      <c r="C195" s="135">
        <f>[14]С2.5!$BC$11</f>
        <v>0</v>
      </c>
    </row>
    <row r="196" spans="2:3" s="2" customFormat="1" ht="13.5" hidden="1" thickBot="1" x14ac:dyDescent="0.25">
      <c r="B196" s="110">
        <f t="shared" si="0"/>
        <v>2071</v>
      </c>
      <c r="C196" s="135">
        <f>[14]С2.5!$BD$11</f>
        <v>0</v>
      </c>
    </row>
    <row r="197" spans="2:3" s="2" customFormat="1" ht="13.5" hidden="1" thickBot="1" x14ac:dyDescent="0.25">
      <c r="B197" s="110">
        <f t="shared" si="0"/>
        <v>2072</v>
      </c>
      <c r="C197" s="135">
        <f>[14]С2.5!$BE$11</f>
        <v>0</v>
      </c>
    </row>
    <row r="198" spans="2:3" s="2" customFormat="1" ht="13.5" hidden="1" thickBot="1" x14ac:dyDescent="0.25">
      <c r="B198" s="110">
        <f t="shared" si="0"/>
        <v>2073</v>
      </c>
      <c r="C198" s="135">
        <f>[14]С2.5!$BF$11</f>
        <v>0</v>
      </c>
    </row>
    <row r="199" spans="2:3" s="2" customFormat="1" ht="13.5" hidden="1" thickBot="1" x14ac:dyDescent="0.25">
      <c r="B199" s="110">
        <f t="shared" si="0"/>
        <v>2074</v>
      </c>
      <c r="C199" s="135">
        <f>[14]С2.5!$BG$11</f>
        <v>0</v>
      </c>
    </row>
    <row r="200" spans="2:3" s="2" customFormat="1" ht="13.5" hidden="1" thickBot="1" x14ac:dyDescent="0.25">
      <c r="B200" s="110">
        <f t="shared" si="0"/>
        <v>2075</v>
      </c>
      <c r="C200" s="135">
        <f>[14]С2.5!$BH$11</f>
        <v>0</v>
      </c>
    </row>
    <row r="201" spans="2:3" s="2" customFormat="1" ht="13.5" hidden="1" thickBot="1" x14ac:dyDescent="0.25">
      <c r="B201" s="110">
        <f t="shared" si="0"/>
        <v>2076</v>
      </c>
      <c r="C201" s="135">
        <f>[14]С2.5!$BI$11</f>
        <v>0</v>
      </c>
    </row>
    <row r="202" spans="2:3" s="2" customFormat="1" ht="13.5" hidden="1" thickBot="1" x14ac:dyDescent="0.25">
      <c r="B202" s="110">
        <f t="shared" si="0"/>
        <v>2077</v>
      </c>
      <c r="C202" s="135">
        <f>[14]С2.5!$BJ$11</f>
        <v>0</v>
      </c>
    </row>
    <row r="203" spans="2:3" s="2" customFormat="1" ht="13.5" hidden="1" thickBot="1" x14ac:dyDescent="0.25">
      <c r="B203" s="110">
        <f t="shared" si="0"/>
        <v>2078</v>
      </c>
      <c r="C203" s="135">
        <f>[14]С2.5!$BK$11</f>
        <v>0</v>
      </c>
    </row>
    <row r="204" spans="2:3" s="2" customFormat="1" ht="13.5" hidden="1" thickBot="1" x14ac:dyDescent="0.25">
      <c r="B204" s="110">
        <f t="shared" si="0"/>
        <v>2079</v>
      </c>
      <c r="C204" s="135">
        <f>[14]С2.5!$BL$11</f>
        <v>0</v>
      </c>
    </row>
    <row r="205" spans="2:3" s="2" customFormat="1" ht="13.5" hidden="1" thickBot="1" x14ac:dyDescent="0.25">
      <c r="B205" s="110">
        <f t="shared" si="0"/>
        <v>2080</v>
      </c>
      <c r="C205" s="135">
        <f>[14]С2.5!$BM$11</f>
        <v>0</v>
      </c>
    </row>
    <row r="206" spans="2:3" s="2" customFormat="1" ht="13.5" hidden="1" thickBot="1" x14ac:dyDescent="0.25">
      <c r="B206" s="110">
        <f t="shared" si="0"/>
        <v>2081</v>
      </c>
      <c r="C206" s="135">
        <f>[14]С2.5!$BN$11</f>
        <v>0</v>
      </c>
    </row>
    <row r="207" spans="2:3" s="2" customFormat="1" ht="13.5" hidden="1" thickBot="1" x14ac:dyDescent="0.25">
      <c r="B207" s="110">
        <f t="shared" si="0"/>
        <v>2082</v>
      </c>
      <c r="C207" s="135">
        <f>[14]С2.5!$BO$11</f>
        <v>0</v>
      </c>
    </row>
    <row r="208" spans="2:3" s="2" customFormat="1" ht="13.5" hidden="1" thickBot="1" x14ac:dyDescent="0.25">
      <c r="B208" s="110">
        <f t="shared" si="0"/>
        <v>2083</v>
      </c>
      <c r="C208" s="135">
        <f>[14]С2.5!$BP$11</f>
        <v>0</v>
      </c>
    </row>
    <row r="209" spans="2:3" s="2" customFormat="1" ht="13.5" hidden="1" thickBot="1" x14ac:dyDescent="0.25">
      <c r="B209" s="110">
        <f t="shared" si="0"/>
        <v>2084</v>
      </c>
      <c r="C209" s="135">
        <f>[14]С2.5!$BQ$11</f>
        <v>0</v>
      </c>
    </row>
    <row r="210" spans="2:3" s="2" customFormat="1" ht="13.5" hidden="1" thickBot="1" x14ac:dyDescent="0.25">
      <c r="B210" s="110">
        <f t="shared" si="0"/>
        <v>2085</v>
      </c>
      <c r="C210" s="135">
        <f>[14]С2.5!$BR$11</f>
        <v>0</v>
      </c>
    </row>
    <row r="211" spans="2:3" s="2" customFormat="1" ht="13.5" hidden="1" thickBot="1" x14ac:dyDescent="0.25">
      <c r="B211" s="110">
        <f t="shared" ref="B211:B224" si="1">B210+1</f>
        <v>2086</v>
      </c>
      <c r="C211" s="135">
        <f>[14]С2.5!$BS$11</f>
        <v>0</v>
      </c>
    </row>
    <row r="212" spans="2:3" s="2" customFormat="1" ht="13.5" hidden="1" thickBot="1" x14ac:dyDescent="0.25">
      <c r="B212" s="110">
        <f t="shared" si="1"/>
        <v>2087</v>
      </c>
      <c r="C212" s="135">
        <f>[14]С2.5!$BT$11</f>
        <v>0</v>
      </c>
    </row>
    <row r="213" spans="2:3" s="2" customFormat="1" ht="13.5" hidden="1" thickBot="1" x14ac:dyDescent="0.25">
      <c r="B213" s="110">
        <f t="shared" si="1"/>
        <v>2088</v>
      </c>
      <c r="C213" s="135">
        <f>[14]С2.5!$BU$11</f>
        <v>0</v>
      </c>
    </row>
    <row r="214" spans="2:3" s="2" customFormat="1" ht="13.5" hidden="1" thickBot="1" x14ac:dyDescent="0.25">
      <c r="B214" s="110">
        <f t="shared" si="1"/>
        <v>2089</v>
      </c>
      <c r="C214" s="135">
        <f>[14]С2.5!$BV$11</f>
        <v>0</v>
      </c>
    </row>
    <row r="215" spans="2:3" s="2" customFormat="1" ht="13.5" hidden="1" thickBot="1" x14ac:dyDescent="0.25">
      <c r="B215" s="110">
        <f t="shared" si="1"/>
        <v>2090</v>
      </c>
      <c r="C215" s="135">
        <f>[14]С2.5!$BW$11</f>
        <v>0</v>
      </c>
    </row>
    <row r="216" spans="2:3" s="2" customFormat="1" ht="13.5" hidden="1" thickBot="1" x14ac:dyDescent="0.25">
      <c r="B216" s="110">
        <f t="shared" si="1"/>
        <v>2091</v>
      </c>
      <c r="C216" s="135">
        <f>[14]С2.5!$BX$11</f>
        <v>0</v>
      </c>
    </row>
    <row r="217" spans="2:3" s="2" customFormat="1" ht="13.5" hidden="1" thickBot="1" x14ac:dyDescent="0.25">
      <c r="B217" s="110">
        <f t="shared" si="1"/>
        <v>2092</v>
      </c>
      <c r="C217" s="135">
        <f>[14]С2.5!$BY$11</f>
        <v>0</v>
      </c>
    </row>
    <row r="218" spans="2:3" s="2" customFormat="1" ht="13.5" hidden="1" thickBot="1" x14ac:dyDescent="0.25">
      <c r="B218" s="110">
        <f t="shared" si="1"/>
        <v>2093</v>
      </c>
      <c r="C218" s="135">
        <f>[14]С2.5!$BZ$11</f>
        <v>0</v>
      </c>
    </row>
    <row r="219" spans="2:3" s="2" customFormat="1" ht="13.5" hidden="1" thickBot="1" x14ac:dyDescent="0.25">
      <c r="B219" s="110">
        <f t="shared" si="1"/>
        <v>2094</v>
      </c>
      <c r="C219" s="135">
        <f>[14]С2.5!$CA$11</f>
        <v>0</v>
      </c>
    </row>
    <row r="220" spans="2:3" s="2" customFormat="1" ht="13.5" hidden="1" thickBot="1" x14ac:dyDescent="0.25">
      <c r="B220" s="110">
        <f t="shared" si="1"/>
        <v>2095</v>
      </c>
      <c r="C220" s="135">
        <f>[14]С2.5!$CB$11</f>
        <v>0</v>
      </c>
    </row>
    <row r="221" spans="2:3" s="2" customFormat="1" ht="13.5" hidden="1" thickBot="1" x14ac:dyDescent="0.25">
      <c r="B221" s="110">
        <f t="shared" si="1"/>
        <v>2096</v>
      </c>
      <c r="C221" s="135">
        <f>[14]С2.5!$CC$11</f>
        <v>0</v>
      </c>
    </row>
    <row r="222" spans="2:3" s="2" customFormat="1" ht="13.5" hidden="1" thickBot="1" x14ac:dyDescent="0.25">
      <c r="B222" s="110">
        <f t="shared" si="1"/>
        <v>2097</v>
      </c>
      <c r="C222" s="135">
        <f>[14]С2.5!$CD$11</f>
        <v>0</v>
      </c>
    </row>
    <row r="223" spans="2:3" s="2" customFormat="1" ht="13.5" hidden="1" thickBot="1" x14ac:dyDescent="0.25">
      <c r="B223" s="110">
        <f t="shared" si="1"/>
        <v>2098</v>
      </c>
      <c r="C223" s="135">
        <f>[14]С2.5!$CE$11</f>
        <v>0</v>
      </c>
    </row>
    <row r="224" spans="2:3" s="2" customFormat="1" ht="13.5" hidden="1" thickBot="1" x14ac:dyDescent="0.25">
      <c r="B224" s="110">
        <f t="shared" si="1"/>
        <v>2099</v>
      </c>
      <c r="C224" s="135">
        <f>[14]С2.5!$CF$11</f>
        <v>0</v>
      </c>
    </row>
    <row r="225" spans="2:3" s="2" customFormat="1" ht="13.5" hidden="1" thickBot="1" x14ac:dyDescent="0.25">
      <c r="B225" s="112">
        <f>B162+1</f>
        <v>2038</v>
      </c>
      <c r="C225" s="136" t="e">
        <f>[14]С2.5!#REF!</f>
        <v>#REF!</v>
      </c>
    </row>
    <row r="226" spans="2:3" s="2" customFormat="1" x14ac:dyDescent="0.2">
      <c r="B226" s="137"/>
      <c r="C226" s="138"/>
    </row>
  </sheetData>
  <mergeCells count="9">
    <mergeCell ref="B143:D143"/>
    <mergeCell ref="A14:C14"/>
    <mergeCell ref="B1:D1"/>
    <mergeCell ref="B27:D27"/>
    <mergeCell ref="B45:D45"/>
    <mergeCell ref="B90:D90"/>
    <mergeCell ref="B101:D101"/>
    <mergeCell ref="B126:D126"/>
    <mergeCell ref="B129:D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8]!Лист29.PrintBlock">
                <anchor moveWithCells="1" sizeWithCells="1">
                  <from>
                    <xdr:col>3</xdr:col>
                    <xdr:colOff>47625</xdr:colOff>
                    <xdr:row>0</xdr:row>
                    <xdr:rowOff>104775</xdr:rowOff>
                  </from>
                  <to>
                    <xdr:col>5</xdr:col>
                    <xdr:colOff>0</xdr:colOff>
                    <xdr:row>0</xdr:row>
                    <xdr:rowOff>352425</xdr:rowOff>
                  </to>
                </anchor>
              </controlPr>
            </control>
          </mc:Choice>
        </mc:AlternateContent>
        <mc:AlternateContent xmlns:mc="http://schemas.openxmlformats.org/markup-compatibility/2006">
          <mc:Choice Requires="x14">
            <control shapeId="10242" r:id="rId4" name="Button 2">
              <controlPr defaultSize="0" print="0" autoFill="0" autoPict="0" macro="[14]!Лист29.PrintBlock">
                <anchor moveWithCells="1" sizeWithCells="1">
                  <from>
                    <xdr:col>4</xdr:col>
                    <xdr:colOff>47625</xdr:colOff>
                    <xdr:row>0</xdr:row>
                    <xdr:rowOff>104775</xdr:rowOff>
                  </from>
                  <to>
                    <xdr:col>5</xdr:col>
                    <xdr:colOff>1095375</xdr:colOff>
                    <xdr:row>0</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[15]И1!D13</f>
        <v>Субъект Российской Федерации</v>
      </c>
      <c r="C4" s="10" t="str">
        <f>[15]И1!E13</f>
        <v>Новосибирская область</v>
      </c>
    </row>
    <row r="5" spans="1:3" ht="46.9" customHeight="1" x14ac:dyDescent="0.2">
      <c r="A5" s="8"/>
      <c r="B5" s="9" t="str">
        <f>[15]И1!D14</f>
        <v>Тип муниципального образования (выберите из списка)</v>
      </c>
      <c r="C5" s="10" t="str">
        <f>[15]И1!E14</f>
        <v>село Преображенка, Искитимский муниципальный район</v>
      </c>
    </row>
    <row r="6" spans="1:3" x14ac:dyDescent="0.2">
      <c r="A6" s="8"/>
      <c r="B6" s="9" t="str">
        <f>IF([15]И1!E15="","",[15]И1!D15)</f>
        <v/>
      </c>
      <c r="C6" s="10" t="str">
        <f>IF([15]И1!E15="","",[15]И1!E15)</f>
        <v/>
      </c>
    </row>
    <row r="7" spans="1:3" x14ac:dyDescent="0.2">
      <c r="A7" s="8"/>
      <c r="B7" s="9" t="str">
        <f>[15]И1!D16</f>
        <v>Код ОКТМО</v>
      </c>
      <c r="C7" s="11" t="str">
        <f>[15]И1!E16</f>
        <v xml:space="preserve"> (50615419101)</v>
      </c>
    </row>
    <row r="8" spans="1:3" x14ac:dyDescent="0.2">
      <c r="A8" s="8"/>
      <c r="B8" s="12" t="str">
        <f>[15]И1!D17</f>
        <v>Система теплоснабжения</v>
      </c>
      <c r="C8" s="13">
        <f>[15]И1!E17</f>
        <v>0</v>
      </c>
    </row>
    <row r="9" spans="1:3" x14ac:dyDescent="0.2">
      <c r="A9" s="8"/>
      <c r="B9" s="9" t="str">
        <f>[15]И1!D8</f>
        <v>Период регулирования (i)-й</v>
      </c>
      <c r="C9" s="14">
        <f>[15]И1!E8</f>
        <v>2024</v>
      </c>
    </row>
    <row r="10" spans="1:3" x14ac:dyDescent="0.2">
      <c r="A10" s="8"/>
      <c r="B10" s="9" t="str">
        <f>[15]И1!D9</f>
        <v>Период регулирования (i-1)-й</v>
      </c>
      <c r="C10" s="14">
        <f>[15]И1!E9</f>
        <v>2023</v>
      </c>
    </row>
    <row r="11" spans="1:3" x14ac:dyDescent="0.2">
      <c r="A11" s="8"/>
      <c r="B11" s="9" t="str">
        <f>[15]И1!D10</f>
        <v>Период регулирования (i-2)-й</v>
      </c>
      <c r="C11" s="14">
        <f>[15]И1!E10</f>
        <v>2022</v>
      </c>
    </row>
    <row r="12" spans="1:3" x14ac:dyDescent="0.2">
      <c r="A12" s="8"/>
      <c r="B12" s="9" t="str">
        <f>[15]И1!D11</f>
        <v>Базовый год (б)</v>
      </c>
      <c r="C12" s="14">
        <f>[15]И1!E11</f>
        <v>2019</v>
      </c>
    </row>
    <row r="13" spans="1:3" ht="38.25" x14ac:dyDescent="0.2">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3727.1519198280189</v>
      </c>
    </row>
    <row r="18" spans="1:3" ht="42.75" x14ac:dyDescent="0.2">
      <c r="A18" s="22" t="s">
        <v>8</v>
      </c>
      <c r="B18" s="25" t="s">
        <v>9</v>
      </c>
      <c r="C18" s="26">
        <f>[15]С1!F12</f>
        <v>734.04217101653171</v>
      </c>
    </row>
    <row r="19" spans="1:3" ht="42.75" x14ac:dyDescent="0.2">
      <c r="A19" s="22" t="s">
        <v>10</v>
      </c>
      <c r="B19" s="25" t="s">
        <v>11</v>
      </c>
      <c r="C19" s="26">
        <f>[15]С2!F12</f>
        <v>2000.3680279558928</v>
      </c>
    </row>
    <row r="20" spans="1:3" ht="30" x14ac:dyDescent="0.2">
      <c r="A20" s="22" t="s">
        <v>12</v>
      </c>
      <c r="B20" s="25" t="s">
        <v>13</v>
      </c>
      <c r="C20" s="26">
        <f>[15]С3!F12</f>
        <v>475.74490066496389</v>
      </c>
    </row>
    <row r="21" spans="1:3" ht="42.75" x14ac:dyDescent="0.2">
      <c r="A21" s="22" t="s">
        <v>14</v>
      </c>
      <c r="B21" s="25" t="s">
        <v>15</v>
      </c>
      <c r="C21" s="26">
        <f>[15]С4!F12</f>
        <v>443.91540999792414</v>
      </c>
    </row>
    <row r="22" spans="1:3" ht="30" x14ac:dyDescent="0.2">
      <c r="A22" s="22" t="s">
        <v>16</v>
      </c>
      <c r="B22" s="25" t="s">
        <v>17</v>
      </c>
      <c r="C22" s="26">
        <f>[15]С5!F12</f>
        <v>73.081410192706258</v>
      </c>
    </row>
    <row r="23" spans="1:3" ht="43.5" thickBot="1" x14ac:dyDescent="0.25">
      <c r="A23" s="27" t="s">
        <v>18</v>
      </c>
      <c r="B23" s="140" t="s">
        <v>19</v>
      </c>
      <c r="C23" s="28" t="str">
        <f>[15]С6!F12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[15]С1.1!E16</f>
        <v>5100</v>
      </c>
    </row>
    <row r="29" spans="1:3" ht="42.75" x14ac:dyDescent="0.2">
      <c r="A29" s="22" t="s">
        <v>10</v>
      </c>
      <c r="B29" s="33" t="s">
        <v>22</v>
      </c>
      <c r="C29" s="34">
        <f>[15]С1.1!E27</f>
        <v>3298.0833333333335</v>
      </c>
    </row>
    <row r="30" spans="1:3" ht="17.25" x14ac:dyDescent="0.2">
      <c r="A30" s="22" t="s">
        <v>12</v>
      </c>
      <c r="B30" s="33" t="s">
        <v>23</v>
      </c>
      <c r="C30" s="35">
        <f>[15]С1.1!E19</f>
        <v>-0.19900000000000001</v>
      </c>
    </row>
    <row r="31" spans="1:3" ht="17.25" x14ac:dyDescent="0.2">
      <c r="A31" s="22" t="s">
        <v>14</v>
      </c>
      <c r="B31" s="33" t="s">
        <v>24</v>
      </c>
      <c r="C31" s="35">
        <f>[15]С1.1!E20</f>
        <v>5.7000000000000002E-2</v>
      </c>
    </row>
    <row r="32" spans="1:3" ht="30" x14ac:dyDescent="0.2">
      <c r="A32" s="22" t="s">
        <v>16</v>
      </c>
      <c r="B32" s="36" t="s">
        <v>25</v>
      </c>
      <c r="C32" s="37">
        <f>[15]С1!F13</f>
        <v>176.4</v>
      </c>
    </row>
    <row r="33" spans="1:3" x14ac:dyDescent="0.2">
      <c r="A33" s="22" t="s">
        <v>18</v>
      </c>
      <c r="B33" s="36" t="s">
        <v>26</v>
      </c>
      <c r="C33" s="38">
        <f>[15]С1!F16</f>
        <v>7000</v>
      </c>
    </row>
    <row r="34" spans="1:3" ht="14.25" x14ac:dyDescent="0.2">
      <c r="A34" s="22" t="s">
        <v>27</v>
      </c>
      <c r="B34" s="39" t="s">
        <v>28</v>
      </c>
      <c r="C34" s="40">
        <f>[15]С1!F17</f>
        <v>0.72857142857142854</v>
      </c>
    </row>
    <row r="35" spans="1:3" ht="15.75" x14ac:dyDescent="0.2">
      <c r="A35" s="41" t="s">
        <v>29</v>
      </c>
      <c r="B35" s="42" t="s">
        <v>30</v>
      </c>
      <c r="C35" s="40">
        <f>[15]С1!F20</f>
        <v>21.588411179999994</v>
      </c>
    </row>
    <row r="36" spans="1:3" ht="15.75" x14ac:dyDescent="0.2">
      <c r="A36" s="41" t="s">
        <v>31</v>
      </c>
      <c r="B36" s="43" t="s">
        <v>32</v>
      </c>
      <c r="C36" s="40">
        <f>[15]С1!F21</f>
        <v>20.818139999999996</v>
      </c>
    </row>
    <row r="37" spans="1:3" ht="14.25" x14ac:dyDescent="0.2">
      <c r="A37" s="41" t="s">
        <v>33</v>
      </c>
      <c r="B37" s="44" t="s">
        <v>34</v>
      </c>
      <c r="C37" s="40">
        <f>[15]С1!F22</f>
        <v>1.0369999999999999</v>
      </c>
    </row>
    <row r="38" spans="1:3" ht="53.25" thickBot="1" x14ac:dyDescent="0.25">
      <c r="A38" s="27" t="s">
        <v>35</v>
      </c>
      <c r="B38" s="45" t="s">
        <v>36</v>
      </c>
      <c r="C38" s="46">
        <f>[15]С1!F23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[15]С2.1!E12</f>
        <v>V</v>
      </c>
    </row>
    <row r="42" spans="1:3" ht="25.5" x14ac:dyDescent="0.2">
      <c r="A42" s="22" t="s">
        <v>41</v>
      </c>
      <c r="B42" s="33" t="s">
        <v>42</v>
      </c>
      <c r="C42" s="51" t="str">
        <f>[15]С2.1!E13</f>
        <v>6 и менее баллов</v>
      </c>
    </row>
    <row r="43" spans="1:3" ht="25.5" x14ac:dyDescent="0.2">
      <c r="A43" s="22" t="s">
        <v>43</v>
      </c>
      <c r="B43" s="33" t="s">
        <v>44</v>
      </c>
      <c r="C43" s="51" t="str">
        <f>[15]С2.1!E14</f>
        <v>от 200 до 500</v>
      </c>
    </row>
    <row r="44" spans="1:3" ht="25.5" x14ac:dyDescent="0.2">
      <c r="A44" s="22" t="s">
        <v>45</v>
      </c>
      <c r="B44" s="33" t="s">
        <v>46</v>
      </c>
      <c r="C44" s="52" t="str">
        <f>[15]С2.1!E15</f>
        <v>нет</v>
      </c>
    </row>
    <row r="45" spans="1:3" ht="30" x14ac:dyDescent="0.2">
      <c r="A45" s="22" t="s">
        <v>47</v>
      </c>
      <c r="B45" s="33" t="s">
        <v>48</v>
      </c>
      <c r="C45" s="34">
        <f>[15]С2!F18</f>
        <v>35106.652004551666</v>
      </c>
    </row>
    <row r="46" spans="1:3" ht="30" x14ac:dyDescent="0.2">
      <c r="A46" s="22" t="s">
        <v>49</v>
      </c>
      <c r="B46" s="53" t="s">
        <v>50</v>
      </c>
      <c r="C46" s="34">
        <f>IF([15]С2!F19&gt;0,[15]С2!F19,[15]С2!F20)</f>
        <v>23441.524932855718</v>
      </c>
    </row>
    <row r="47" spans="1:3" ht="25.5" x14ac:dyDescent="0.2">
      <c r="A47" s="22" t="s">
        <v>51</v>
      </c>
      <c r="B47" s="54" t="s">
        <v>52</v>
      </c>
      <c r="C47" s="34">
        <f>[15]С2.1!E19</f>
        <v>-38</v>
      </c>
    </row>
    <row r="48" spans="1:3" ht="25.5" x14ac:dyDescent="0.2">
      <c r="A48" s="22" t="s">
        <v>53</v>
      </c>
      <c r="B48" s="54" t="s">
        <v>54</v>
      </c>
      <c r="C48" s="34" t="str">
        <f>[15]С2.1!E22</f>
        <v>нет</v>
      </c>
    </row>
    <row r="49" spans="1:3" ht="38.25" x14ac:dyDescent="0.2">
      <c r="A49" s="22" t="s">
        <v>55</v>
      </c>
      <c r="B49" s="55" t="s">
        <v>56</v>
      </c>
      <c r="C49" s="34">
        <f>[15]С2.2!E10</f>
        <v>1287</v>
      </c>
    </row>
    <row r="50" spans="1:3" ht="25.5" x14ac:dyDescent="0.2">
      <c r="A50" s="22" t="s">
        <v>57</v>
      </c>
      <c r="B50" s="56" t="s">
        <v>58</v>
      </c>
      <c r="C50" s="34">
        <f>[15]С2.2!E12</f>
        <v>5.97</v>
      </c>
    </row>
    <row r="51" spans="1:3" ht="52.5" x14ac:dyDescent="0.2">
      <c r="A51" s="22" t="s">
        <v>59</v>
      </c>
      <c r="B51" s="57" t="s">
        <v>60</v>
      </c>
      <c r="C51" s="34">
        <f>[15]С2.2!E13</f>
        <v>1</v>
      </c>
    </row>
    <row r="52" spans="1:3" ht="27.75" x14ac:dyDescent="0.2">
      <c r="A52" s="22" t="s">
        <v>61</v>
      </c>
      <c r="B52" s="56" t="s">
        <v>62</v>
      </c>
      <c r="C52" s="34">
        <f>[15]С2.2!E14</f>
        <v>12104</v>
      </c>
    </row>
    <row r="53" spans="1:3" ht="25.5" x14ac:dyDescent="0.2">
      <c r="A53" s="22" t="s">
        <v>63</v>
      </c>
      <c r="B53" s="57" t="s">
        <v>64</v>
      </c>
      <c r="C53" s="35">
        <f>[15]С2.2!E15</f>
        <v>4.8000000000000001E-2</v>
      </c>
    </row>
    <row r="54" spans="1:3" x14ac:dyDescent="0.2">
      <c r="A54" s="22" t="s">
        <v>65</v>
      </c>
      <c r="B54" s="57" t="s">
        <v>66</v>
      </c>
      <c r="C54" s="34">
        <f>[15]С2.2!E16</f>
        <v>1</v>
      </c>
    </row>
    <row r="55" spans="1:3" ht="15.75" x14ac:dyDescent="0.2">
      <c r="A55" s="22" t="s">
        <v>67</v>
      </c>
      <c r="B55" s="58" t="s">
        <v>68</v>
      </c>
      <c r="C55" s="34">
        <f>[15]С2!F21</f>
        <v>1</v>
      </c>
    </row>
    <row r="56" spans="1:3" ht="30" x14ac:dyDescent="0.2">
      <c r="A56" s="59" t="s">
        <v>69</v>
      </c>
      <c r="B56" s="33" t="s">
        <v>70</v>
      </c>
      <c r="C56" s="34">
        <f>[15]С2!F13</f>
        <v>183796.83936385796</v>
      </c>
    </row>
    <row r="57" spans="1:3" ht="30" x14ac:dyDescent="0.2">
      <c r="A57" s="59" t="s">
        <v>71</v>
      </c>
      <c r="B57" s="58" t="s">
        <v>72</v>
      </c>
      <c r="C57" s="34">
        <f>[15]С2!F14</f>
        <v>113455</v>
      </c>
    </row>
    <row r="58" spans="1:3" ht="15.75" x14ac:dyDescent="0.2">
      <c r="A58" s="59" t="s">
        <v>73</v>
      </c>
      <c r="B58" s="60" t="s">
        <v>74</v>
      </c>
      <c r="C58" s="40">
        <f>[15]С2!F15</f>
        <v>1.071</v>
      </c>
    </row>
    <row r="59" spans="1:3" ht="15.75" x14ac:dyDescent="0.2">
      <c r="A59" s="59" t="s">
        <v>75</v>
      </c>
      <c r="B59" s="60" t="s">
        <v>76</v>
      </c>
      <c r="C59" s="40">
        <f>[15]С2!F16</f>
        <v>1</v>
      </c>
    </row>
    <row r="60" spans="1:3" ht="17.25" x14ac:dyDescent="0.2">
      <c r="A60" s="59" t="s">
        <v>77</v>
      </c>
      <c r="B60" s="58" t="s">
        <v>78</v>
      </c>
      <c r="C60" s="34">
        <f>[15]С2!F17</f>
        <v>1.01</v>
      </c>
    </row>
    <row r="61" spans="1:3" s="63" customFormat="1" ht="14.25" x14ac:dyDescent="0.2">
      <c r="A61" s="59" t="s">
        <v>79</v>
      </c>
      <c r="B61" s="61" t="s">
        <v>80</v>
      </c>
      <c r="C61" s="62">
        <f>[15]С2!F33</f>
        <v>10</v>
      </c>
    </row>
    <row r="62" spans="1:3" ht="30" x14ac:dyDescent="0.2">
      <c r="A62" s="59" t="s">
        <v>81</v>
      </c>
      <c r="B62" s="64" t="s">
        <v>82</v>
      </c>
      <c r="C62" s="34">
        <f>[15]С2!F26</f>
        <v>2780.7867618428891</v>
      </c>
    </row>
    <row r="63" spans="1:3" ht="17.25" x14ac:dyDescent="0.2">
      <c r="A63" s="59" t="s">
        <v>83</v>
      </c>
      <c r="B63" s="53" t="s">
        <v>84</v>
      </c>
      <c r="C63" s="34">
        <f>[15]С2!F27</f>
        <v>0.44209422600000003</v>
      </c>
    </row>
    <row r="64" spans="1:3" ht="17.25" x14ac:dyDescent="0.2">
      <c r="A64" s="59" t="s">
        <v>85</v>
      </c>
      <c r="B64" s="58" t="s">
        <v>86</v>
      </c>
      <c r="C64" s="62">
        <f>[15]С2!F28</f>
        <v>4200</v>
      </c>
    </row>
    <row r="65" spans="1:3" ht="42.75" x14ac:dyDescent="0.2">
      <c r="A65" s="59" t="s">
        <v>87</v>
      </c>
      <c r="B65" s="33" t="s">
        <v>88</v>
      </c>
      <c r="C65" s="34">
        <f>[15]С2!F22</f>
        <v>38698.422798410109</v>
      </c>
    </row>
    <row r="66" spans="1:3" ht="30" x14ac:dyDescent="0.2">
      <c r="A66" s="59" t="s">
        <v>89</v>
      </c>
      <c r="B66" s="60" t="s">
        <v>90</v>
      </c>
      <c r="C66" s="34">
        <f>[15]С2!F23</f>
        <v>1990</v>
      </c>
    </row>
    <row r="67" spans="1:3" ht="30" x14ac:dyDescent="0.2">
      <c r="A67" s="59" t="s">
        <v>91</v>
      </c>
      <c r="B67" s="53" t="s">
        <v>92</v>
      </c>
      <c r="C67" s="34">
        <f>[15]С2.1!E27</f>
        <v>14307.876789999998</v>
      </c>
    </row>
    <row r="68" spans="1:3" ht="38.25" x14ac:dyDescent="0.2">
      <c r="A68" s="59" t="s">
        <v>93</v>
      </c>
      <c r="B68" s="65" t="s">
        <v>94</v>
      </c>
      <c r="C68" s="52">
        <f>[15]С2.3!E21</f>
        <v>0</v>
      </c>
    </row>
    <row r="69" spans="1:3" ht="25.5" x14ac:dyDescent="0.2">
      <c r="A69" s="59" t="s">
        <v>95</v>
      </c>
      <c r="B69" s="66" t="s">
        <v>96</v>
      </c>
      <c r="C69" s="67">
        <f>[15]С2.3!E11</f>
        <v>9.89</v>
      </c>
    </row>
    <row r="70" spans="1:3" ht="25.5" x14ac:dyDescent="0.2">
      <c r="A70" s="59" t="s">
        <v>97</v>
      </c>
      <c r="B70" s="66" t="s">
        <v>98</v>
      </c>
      <c r="C70" s="62">
        <f>[15]С2.3!E13</f>
        <v>300</v>
      </c>
    </row>
    <row r="71" spans="1:3" ht="25.5" x14ac:dyDescent="0.2">
      <c r="A71" s="59" t="s">
        <v>99</v>
      </c>
      <c r="B71" s="65" t="s">
        <v>100</v>
      </c>
      <c r="C71" s="68">
        <f>IF([15]С2.3!E22&gt;0,[15]С2.3!E22,[15]С2.3!E14)</f>
        <v>61211</v>
      </c>
    </row>
    <row r="72" spans="1:3" ht="38.25" x14ac:dyDescent="0.2">
      <c r="A72" s="59" t="s">
        <v>101</v>
      </c>
      <c r="B72" s="65" t="s">
        <v>102</v>
      </c>
      <c r="C72" s="68">
        <f>IF([15]С2.3!E23&gt;0,[15]С2.3!E23,[15]С2.3!E15)</f>
        <v>45675</v>
      </c>
    </row>
    <row r="73" spans="1:3" ht="30" x14ac:dyDescent="0.2">
      <c r="A73" s="59" t="s">
        <v>103</v>
      </c>
      <c r="B73" s="53" t="s">
        <v>104</v>
      </c>
      <c r="C73" s="34">
        <f>[15]С2.1!E28</f>
        <v>9541.9567200000001</v>
      </c>
    </row>
    <row r="74" spans="1:3" ht="38.25" x14ac:dyDescent="0.2">
      <c r="A74" s="59" t="s">
        <v>105</v>
      </c>
      <c r="B74" s="65" t="s">
        <v>106</v>
      </c>
      <c r="C74" s="52">
        <f>[15]С2.3!E25</f>
        <v>0</v>
      </c>
    </row>
    <row r="75" spans="1:3" ht="25.5" x14ac:dyDescent="0.2">
      <c r="A75" s="59" t="s">
        <v>107</v>
      </c>
      <c r="B75" s="66" t="s">
        <v>108</v>
      </c>
      <c r="C75" s="67">
        <f>[15]С2.3!E12</f>
        <v>0.56000000000000005</v>
      </c>
    </row>
    <row r="76" spans="1:3" ht="25.5" x14ac:dyDescent="0.2">
      <c r="A76" s="59" t="s">
        <v>109</v>
      </c>
      <c r="B76" s="66" t="s">
        <v>98</v>
      </c>
      <c r="C76" s="62">
        <f>[15]С2.3!E13</f>
        <v>300</v>
      </c>
    </row>
    <row r="77" spans="1:3" ht="25.5" x14ac:dyDescent="0.2">
      <c r="A77" s="59" t="s">
        <v>110</v>
      </c>
      <c r="B77" s="69" t="s">
        <v>111</v>
      </c>
      <c r="C77" s="68">
        <f>IF([15]С2.3!E26&gt;0,[15]С2.3!E26,[15]С2.3!E16)</f>
        <v>65637</v>
      </c>
    </row>
    <row r="78" spans="1:3" ht="38.25" x14ac:dyDescent="0.2">
      <c r="A78" s="59" t="s">
        <v>112</v>
      </c>
      <c r="B78" s="69" t="s">
        <v>113</v>
      </c>
      <c r="C78" s="68">
        <f>IF([15]С2.3!E27&gt;0,[15]С2.3!E27,[15]С2.3!E17)</f>
        <v>31684</v>
      </c>
    </row>
    <row r="79" spans="1:3" ht="17.25" x14ac:dyDescent="0.2">
      <c r="A79" s="59" t="s">
        <v>114</v>
      </c>
      <c r="B79" s="33" t="s">
        <v>115</v>
      </c>
      <c r="C79" s="35">
        <f>[15]С2!F29</f>
        <v>9.5962865259740182E-2</v>
      </c>
    </row>
    <row r="80" spans="1:3" ht="30" x14ac:dyDescent="0.2">
      <c r="A80" s="59" t="s">
        <v>116</v>
      </c>
      <c r="B80" s="53" t="s">
        <v>117</v>
      </c>
      <c r="C80" s="70">
        <f>[15]С2!F30</f>
        <v>8.4029304029304031E-2</v>
      </c>
    </row>
    <row r="81" spans="1:3" ht="17.25" x14ac:dyDescent="0.2">
      <c r="A81" s="59" t="s">
        <v>118</v>
      </c>
      <c r="B81" s="71" t="s">
        <v>119</v>
      </c>
      <c r="C81" s="35">
        <f>[15]С2!F31</f>
        <v>0.13880000000000001</v>
      </c>
    </row>
    <row r="82" spans="1:3" s="63" customFormat="1" ht="18" thickBot="1" x14ac:dyDescent="0.25">
      <c r="A82" s="72" t="s">
        <v>120</v>
      </c>
      <c r="B82" s="73" t="s">
        <v>121</v>
      </c>
      <c r="C82" s="74">
        <f>[15]С2!F32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[15]С3!F14</f>
        <v>6117.6201782637581</v>
      </c>
    </row>
    <row r="86" spans="1:3" s="63" customFormat="1" ht="42.75" x14ac:dyDescent="0.2">
      <c r="A86" s="77" t="s">
        <v>126</v>
      </c>
      <c r="B86" s="53" t="s">
        <v>127</v>
      </c>
      <c r="C86" s="78">
        <f>[15]С3!F15</f>
        <v>0.2</v>
      </c>
    </row>
    <row r="87" spans="1:3" s="63" customFormat="1" ht="14.25" x14ac:dyDescent="0.2">
      <c r="A87" s="77" t="s">
        <v>128</v>
      </c>
      <c r="B87" s="79" t="s">
        <v>129</v>
      </c>
      <c r="C87" s="62">
        <f>[15]С3!F18</f>
        <v>15</v>
      </c>
    </row>
    <row r="88" spans="1:3" s="63" customFormat="1" ht="17.25" x14ac:dyDescent="0.2">
      <c r="A88" s="77" t="s">
        <v>130</v>
      </c>
      <c r="B88" s="33" t="s">
        <v>131</v>
      </c>
      <c r="C88" s="34">
        <f>[15]С3!F19</f>
        <v>3778.1614077800232</v>
      </c>
    </row>
    <row r="89" spans="1:3" s="63" customFormat="1" ht="55.5" x14ac:dyDescent="0.2">
      <c r="A89" s="77" t="s">
        <v>132</v>
      </c>
      <c r="B89" s="53" t="s">
        <v>133</v>
      </c>
      <c r="C89" s="80">
        <f>[15]С3!F20</f>
        <v>2.1999999999999999E-2</v>
      </c>
    </row>
    <row r="90" spans="1:3" s="63" customFormat="1" ht="14.25" x14ac:dyDescent="0.2">
      <c r="A90" s="77" t="s">
        <v>134</v>
      </c>
      <c r="B90" s="58" t="s">
        <v>80</v>
      </c>
      <c r="C90" s="62">
        <f>[15]С3!F21</f>
        <v>10</v>
      </c>
    </row>
    <row r="91" spans="1:3" s="63" customFormat="1" ht="17.25" x14ac:dyDescent="0.2">
      <c r="A91" s="77" t="s">
        <v>135</v>
      </c>
      <c r="B91" s="33" t="s">
        <v>136</v>
      </c>
      <c r="C91" s="34">
        <f>[15]С3!F22</f>
        <v>8.3423602855286667</v>
      </c>
    </row>
    <row r="92" spans="1:3" s="63" customFormat="1" ht="55.5" x14ac:dyDescent="0.2">
      <c r="A92" s="77" t="s">
        <v>137</v>
      </c>
      <c r="B92" s="53" t="s">
        <v>138</v>
      </c>
      <c r="C92" s="80">
        <f>[15]С3!F23</f>
        <v>3.0000000000000001E-3</v>
      </c>
    </row>
    <row r="93" spans="1:3" s="63" customFormat="1" ht="27.75" thickBot="1" x14ac:dyDescent="0.25">
      <c r="A93" s="81" t="s">
        <v>139</v>
      </c>
      <c r="B93" s="82" t="s">
        <v>140</v>
      </c>
      <c r="C93" s="83">
        <f>[15]С3!F24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[15]С4!F16</f>
        <v>1652.5</v>
      </c>
    </row>
    <row r="97" spans="1:3" ht="30" x14ac:dyDescent="0.2">
      <c r="A97" s="59" t="s">
        <v>145</v>
      </c>
      <c r="B97" s="58" t="s">
        <v>146</v>
      </c>
      <c r="C97" s="34">
        <f>[15]С4!F17</f>
        <v>73547</v>
      </c>
    </row>
    <row r="98" spans="1:3" ht="17.25" x14ac:dyDescent="0.2">
      <c r="A98" s="59" t="s">
        <v>147</v>
      </c>
      <c r="B98" s="58" t="s">
        <v>148</v>
      </c>
      <c r="C98" s="40">
        <f>[15]С4!F18</f>
        <v>0.02</v>
      </c>
    </row>
    <row r="99" spans="1:3" ht="30" x14ac:dyDescent="0.2">
      <c r="A99" s="59" t="s">
        <v>149</v>
      </c>
      <c r="B99" s="58" t="s">
        <v>150</v>
      </c>
      <c r="C99" s="34">
        <f>[15]С4!F19</f>
        <v>12104</v>
      </c>
    </row>
    <row r="100" spans="1:3" ht="31.5" x14ac:dyDescent="0.2">
      <c r="A100" s="59" t="s">
        <v>151</v>
      </c>
      <c r="B100" s="58" t="s">
        <v>152</v>
      </c>
      <c r="C100" s="40">
        <f>[15]С4!F20</f>
        <v>1.4999999999999999E-2</v>
      </c>
    </row>
    <row r="101" spans="1:3" ht="30" x14ac:dyDescent="0.2">
      <c r="A101" s="59" t="s">
        <v>153</v>
      </c>
      <c r="B101" s="33" t="s">
        <v>154</v>
      </c>
      <c r="C101" s="34">
        <f>[15]С4!F21</f>
        <v>1933.1949342509995</v>
      </c>
    </row>
    <row r="102" spans="1:3" ht="24" customHeight="1" x14ac:dyDescent="0.2">
      <c r="A102" s="59" t="s">
        <v>155</v>
      </c>
      <c r="B102" s="53" t="s">
        <v>156</v>
      </c>
      <c r="C102" s="85">
        <f>IF([15]С4.2!F8="да",[15]С4.2!D21,[15]С4.2!D15)</f>
        <v>0</v>
      </c>
    </row>
    <row r="103" spans="1:3" ht="68.25" x14ac:dyDescent="0.2">
      <c r="A103" s="59" t="s">
        <v>157</v>
      </c>
      <c r="B103" s="53" t="s">
        <v>158</v>
      </c>
      <c r="C103" s="34">
        <f>[15]С4!F22</f>
        <v>3.6112641666666665</v>
      </c>
    </row>
    <row r="104" spans="1:3" ht="30" x14ac:dyDescent="0.2">
      <c r="A104" s="59" t="s">
        <v>159</v>
      </c>
      <c r="B104" s="58" t="s">
        <v>160</v>
      </c>
      <c r="C104" s="34">
        <f>[15]С4!F23</f>
        <v>180</v>
      </c>
    </row>
    <row r="105" spans="1:3" ht="14.25" x14ac:dyDescent="0.2">
      <c r="A105" s="59" t="s">
        <v>161</v>
      </c>
      <c r="B105" s="53" t="s">
        <v>162</v>
      </c>
      <c r="C105" s="34">
        <f>[15]С4!F24</f>
        <v>8497.1999999999989</v>
      </c>
    </row>
    <row r="106" spans="1:3" ht="14.25" x14ac:dyDescent="0.2">
      <c r="A106" s="59" t="s">
        <v>163</v>
      </c>
      <c r="B106" s="58" t="s">
        <v>164</v>
      </c>
      <c r="C106" s="40">
        <f>[15]С4!F25</f>
        <v>0.35</v>
      </c>
    </row>
    <row r="107" spans="1:3" ht="17.25" x14ac:dyDescent="0.2">
      <c r="A107" s="59" t="s">
        <v>165</v>
      </c>
      <c r="B107" s="33" t="s">
        <v>166</v>
      </c>
      <c r="C107" s="34">
        <f>[15]С4!F26</f>
        <v>85.988129999999998</v>
      </c>
    </row>
    <row r="108" spans="1:3" ht="25.5" x14ac:dyDescent="0.2">
      <c r="A108" s="59" t="s">
        <v>167</v>
      </c>
      <c r="B108" s="53" t="s">
        <v>94</v>
      </c>
      <c r="C108" s="85">
        <f>[15]С4.3!E16</f>
        <v>0</v>
      </c>
    </row>
    <row r="109" spans="1:3" ht="25.5" x14ac:dyDescent="0.2">
      <c r="A109" s="59" t="s">
        <v>168</v>
      </c>
      <c r="B109" s="53" t="s">
        <v>169</v>
      </c>
      <c r="C109" s="34">
        <f>[15]С4.3!E17</f>
        <v>20.350000000000001</v>
      </c>
    </row>
    <row r="110" spans="1:3" ht="38.25" x14ac:dyDescent="0.2">
      <c r="A110" s="59" t="s">
        <v>170</v>
      </c>
      <c r="B110" s="53" t="s">
        <v>106</v>
      </c>
      <c r="C110" s="85">
        <f>[15]С4.3!E18</f>
        <v>0</v>
      </c>
    </row>
    <row r="111" spans="1:3" x14ac:dyDescent="0.2">
      <c r="A111" s="59" t="s">
        <v>171</v>
      </c>
      <c r="B111" s="53" t="s">
        <v>172</v>
      </c>
      <c r="C111" s="34">
        <f>[15]С4.3!E19</f>
        <v>71.67</v>
      </c>
    </row>
    <row r="112" spans="1:3" x14ac:dyDescent="0.2">
      <c r="A112" s="59" t="s">
        <v>173</v>
      </c>
      <c r="B112" s="58" t="s">
        <v>174</v>
      </c>
      <c r="C112" s="34">
        <f>[15]С4.3!E11</f>
        <v>1871</v>
      </c>
    </row>
    <row r="113" spans="1:3" x14ac:dyDescent="0.2">
      <c r="A113" s="59" t="s">
        <v>175</v>
      </c>
      <c r="B113" s="58" t="s">
        <v>176</v>
      </c>
      <c r="C113" s="52">
        <f>[15]С4.3!E12</f>
        <v>1636</v>
      </c>
    </row>
    <row r="114" spans="1:3" x14ac:dyDescent="0.2">
      <c r="A114" s="59" t="s">
        <v>177</v>
      </c>
      <c r="B114" s="58" t="s">
        <v>178</v>
      </c>
      <c r="C114" s="52">
        <f>[15]С4.3!E13</f>
        <v>204</v>
      </c>
    </row>
    <row r="115" spans="1:3" ht="30" x14ac:dyDescent="0.2">
      <c r="A115" s="59" t="s">
        <v>179</v>
      </c>
      <c r="B115" s="33" t="s">
        <v>180</v>
      </c>
      <c r="C115" s="34">
        <f>[15]С4!F27</f>
        <v>1291.2863994686898</v>
      </c>
    </row>
    <row r="116" spans="1:3" ht="25.5" x14ac:dyDescent="0.2">
      <c r="A116" s="59" t="s">
        <v>181</v>
      </c>
      <c r="B116" s="53" t="s">
        <v>182</v>
      </c>
      <c r="C116" s="34">
        <f>[15]С4!F28</f>
        <v>991.77142816335618</v>
      </c>
    </row>
    <row r="117" spans="1:3" ht="42.75" x14ac:dyDescent="0.2">
      <c r="A117" s="59" t="s">
        <v>183</v>
      </c>
      <c r="B117" s="53" t="s">
        <v>184</v>
      </c>
      <c r="C117" s="34">
        <f>[15]С4!F29</f>
        <v>299.51497130533357</v>
      </c>
    </row>
    <row r="118" spans="1:3" ht="30" x14ac:dyDescent="0.2">
      <c r="A118" s="59" t="s">
        <v>185</v>
      </c>
      <c r="B118" s="39" t="s">
        <v>186</v>
      </c>
      <c r="C118" s="34">
        <f>[15]С4!F30</f>
        <v>1808.8179170884805</v>
      </c>
    </row>
    <row r="119" spans="1:3" ht="42.75" x14ac:dyDescent="0.2">
      <c r="A119" s="59" t="s">
        <v>187</v>
      </c>
      <c r="B119" s="86" t="s">
        <v>188</v>
      </c>
      <c r="C119" s="34">
        <f>[15]С4!F33</f>
        <v>1086.7381687488269</v>
      </c>
    </row>
    <row r="120" spans="1:3" ht="30" x14ac:dyDescent="0.2">
      <c r="A120" s="59" t="s">
        <v>189</v>
      </c>
      <c r="B120" s="87" t="s">
        <v>190</v>
      </c>
      <c r="C120" s="34">
        <f>[15]С4!F35</f>
        <v>17.040680999999999</v>
      </c>
    </row>
    <row r="121" spans="1:3" ht="14.25" x14ac:dyDescent="0.2">
      <c r="A121" s="59" t="s">
        <v>191</v>
      </c>
      <c r="B121" s="56" t="s">
        <v>192</v>
      </c>
      <c r="C121" s="34">
        <f>[15]С4!F36</f>
        <v>14319.9</v>
      </c>
    </row>
    <row r="122" spans="1:3" ht="28.5" thickBot="1" x14ac:dyDescent="0.25">
      <c r="A122" s="72" t="s">
        <v>193</v>
      </c>
      <c r="B122" s="88" t="s">
        <v>194</v>
      </c>
      <c r="C122" s="83">
        <f>[15]С4!F37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[15]С5!F17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[15]С2!F37</f>
        <v>20.818139999999996</v>
      </c>
    </row>
    <row r="136" spans="1:4" ht="14.25" x14ac:dyDescent="0.2">
      <c r="A136" s="59" t="s">
        <v>216</v>
      </c>
      <c r="B136" s="101" t="s">
        <v>217</v>
      </c>
      <c r="C136" s="34">
        <f>[15]С2!F38</f>
        <v>7</v>
      </c>
    </row>
    <row r="137" spans="1:4" ht="17.25" x14ac:dyDescent="0.2">
      <c r="A137" s="59" t="s">
        <v>218</v>
      </c>
      <c r="B137" s="101" t="s">
        <v>219</v>
      </c>
      <c r="C137" s="34">
        <f>[15]С2!F40</f>
        <v>0.97</v>
      </c>
    </row>
    <row r="138" spans="1:4" ht="15" thickBot="1" x14ac:dyDescent="0.25">
      <c r="A138" s="72" t="s">
        <v>220</v>
      </c>
      <c r="B138" s="102" t="s">
        <v>221</v>
      </c>
      <c r="C138" s="46">
        <f>[15]С2!F42</f>
        <v>0.35</v>
      </c>
    </row>
    <row r="139" spans="1:4" s="89" customFormat="1" ht="13.5" thickBot="1" x14ac:dyDescent="0.25">
      <c r="A139" s="47"/>
      <c r="B139" s="75"/>
      <c r="C139" s="15"/>
    </row>
    <row r="140" spans="1:4" ht="30" x14ac:dyDescent="0.2">
      <c r="A140" s="84" t="s">
        <v>222</v>
      </c>
      <c r="B140" s="103" t="s">
        <v>223</v>
      </c>
      <c r="C140" s="104">
        <f>[15]С2!F35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[15]С2.5!$E$11</f>
        <v>-2.9000000000000026E-2</v>
      </c>
      <c r="D143" s="89"/>
    </row>
    <row r="144" spans="1:4" x14ac:dyDescent="0.2">
      <c r="A144" s="105"/>
      <c r="B144" s="110">
        <f>B143+1</f>
        <v>2021</v>
      </c>
      <c r="C144" s="111">
        <f>[15]С2.5!$F$11</f>
        <v>0.245</v>
      </c>
      <c r="D144" s="89"/>
    </row>
    <row r="145" spans="1:4" x14ac:dyDescent="0.2">
      <c r="A145" s="105"/>
      <c r="B145" s="110">
        <f t="shared" ref="B145:B208" si="0">B144+1</f>
        <v>2022</v>
      </c>
      <c r="C145" s="111">
        <f>[15]С2.5!$G$11</f>
        <v>0.114</v>
      </c>
      <c r="D145" s="89"/>
    </row>
    <row r="146" spans="1:4" ht="13.5" thickBot="1" x14ac:dyDescent="0.25">
      <c r="A146" s="105"/>
      <c r="B146" s="112">
        <f t="shared" si="0"/>
        <v>2023</v>
      </c>
      <c r="C146" s="113">
        <f>[15]С2.5!$H$11</f>
        <v>2.4E-2</v>
      </c>
      <c r="D146" s="89"/>
    </row>
    <row r="147" spans="1:4" x14ac:dyDescent="0.2">
      <c r="A147" s="105"/>
      <c r="B147" s="114">
        <f t="shared" si="0"/>
        <v>2024</v>
      </c>
      <c r="C147" s="115">
        <f>[15]С2.5!$I$11</f>
        <v>8.5999999999999993E-2</v>
      </c>
      <c r="D147" s="89"/>
    </row>
    <row r="148" spans="1:4" hidden="1" x14ac:dyDescent="0.2">
      <c r="A148" s="105"/>
      <c r="B148" s="110">
        <f t="shared" si="0"/>
        <v>2025</v>
      </c>
      <c r="C148" s="111">
        <f>[15]С2.5!$J$11</f>
        <v>0.21215960863291</v>
      </c>
      <c r="D148" s="89"/>
    </row>
    <row r="149" spans="1:4" hidden="1" x14ac:dyDescent="0.2">
      <c r="A149" s="105"/>
      <c r="B149" s="110">
        <f t="shared" si="0"/>
        <v>2026</v>
      </c>
      <c r="C149" s="111">
        <f>[15]С2.5!$K$11</f>
        <v>3.5813361771260002E-2</v>
      </c>
      <c r="D149" s="89"/>
    </row>
    <row r="150" spans="1:4" hidden="1" x14ac:dyDescent="0.2">
      <c r="A150" s="105"/>
      <c r="B150" s="110">
        <f t="shared" si="0"/>
        <v>2027</v>
      </c>
      <c r="C150" s="111">
        <f>[15]С2.5!$L$11</f>
        <v>3.2682303599220003E-2</v>
      </c>
      <c r="D150" s="89"/>
    </row>
    <row r="151" spans="1:4" hidden="1" x14ac:dyDescent="0.2">
      <c r="A151" s="105"/>
      <c r="B151" s="110">
        <f t="shared" si="0"/>
        <v>2028</v>
      </c>
      <c r="C151" s="111">
        <f>[15]С2.5!$M$11</f>
        <v>0</v>
      </c>
      <c r="D151" s="89"/>
    </row>
    <row r="152" spans="1:4" hidden="1" x14ac:dyDescent="0.2">
      <c r="A152" s="105"/>
      <c r="B152" s="110">
        <f t="shared" si="0"/>
        <v>2029</v>
      </c>
      <c r="C152" s="111">
        <f>[15]С2.5!$N$11</f>
        <v>0</v>
      </c>
      <c r="D152" s="89"/>
    </row>
    <row r="153" spans="1:4" hidden="1" x14ac:dyDescent="0.2">
      <c r="A153" s="105"/>
      <c r="B153" s="110">
        <f t="shared" si="0"/>
        <v>2030</v>
      </c>
      <c r="C153" s="111">
        <f>[15]С2.5!$O$11</f>
        <v>0</v>
      </c>
      <c r="D153" s="89"/>
    </row>
    <row r="154" spans="1:4" hidden="1" x14ac:dyDescent="0.2">
      <c r="A154" s="105"/>
      <c r="B154" s="110">
        <f t="shared" si="0"/>
        <v>2031</v>
      </c>
      <c r="C154" s="111">
        <f>[15]С2.5!$P$11</f>
        <v>0</v>
      </c>
      <c r="D154" s="89"/>
    </row>
    <row r="155" spans="1:4" hidden="1" x14ac:dyDescent="0.2">
      <c r="A155" s="89"/>
      <c r="B155" s="110">
        <f t="shared" si="0"/>
        <v>2032</v>
      </c>
      <c r="C155" s="111">
        <f>[15]С2.5!$Q$11</f>
        <v>0</v>
      </c>
      <c r="D155" s="89"/>
    </row>
    <row r="156" spans="1:4" hidden="1" x14ac:dyDescent="0.2">
      <c r="A156" s="89"/>
      <c r="B156" s="110">
        <f t="shared" si="0"/>
        <v>2033</v>
      </c>
      <c r="C156" s="111">
        <f>[15]С2.5!$R$11</f>
        <v>0</v>
      </c>
      <c r="D156" s="89"/>
    </row>
    <row r="157" spans="1:4" hidden="1" x14ac:dyDescent="0.2">
      <c r="B157" s="110">
        <f t="shared" si="0"/>
        <v>2034</v>
      </c>
      <c r="C157" s="111">
        <f>[15]С2.5!$S$11</f>
        <v>0</v>
      </c>
    </row>
    <row r="158" spans="1:4" hidden="1" x14ac:dyDescent="0.2">
      <c r="B158" s="110">
        <f t="shared" si="0"/>
        <v>2035</v>
      </c>
      <c r="C158" s="111">
        <f>[15]С2.5!$T$11</f>
        <v>0</v>
      </c>
    </row>
    <row r="159" spans="1:4" hidden="1" x14ac:dyDescent="0.2">
      <c r="B159" s="110">
        <f t="shared" si="0"/>
        <v>2036</v>
      </c>
      <c r="C159" s="111">
        <f>[15]С2.5!$U$11</f>
        <v>0</v>
      </c>
    </row>
    <row r="160" spans="1:4" hidden="1" x14ac:dyDescent="0.2">
      <c r="B160" s="110">
        <f t="shared" si="0"/>
        <v>2037</v>
      </c>
      <c r="C160" s="111">
        <f>[15]С2.5!$V$11</f>
        <v>0</v>
      </c>
    </row>
    <row r="161" spans="2:3" hidden="1" x14ac:dyDescent="0.2">
      <c r="B161" s="110">
        <f t="shared" si="0"/>
        <v>2038</v>
      </c>
      <c r="C161" s="111">
        <f>[15]С2.5!$W$11</f>
        <v>0</v>
      </c>
    </row>
    <row r="162" spans="2:3" hidden="1" x14ac:dyDescent="0.2">
      <c r="B162" s="110">
        <f t="shared" si="0"/>
        <v>2039</v>
      </c>
      <c r="C162" s="111">
        <f>[15]С2.5!$X$11</f>
        <v>0</v>
      </c>
    </row>
    <row r="163" spans="2:3" hidden="1" x14ac:dyDescent="0.2">
      <c r="B163" s="110">
        <f t="shared" si="0"/>
        <v>2040</v>
      </c>
      <c r="C163" s="111">
        <f>[15]С2.5!$Y$11</f>
        <v>0</v>
      </c>
    </row>
    <row r="164" spans="2:3" hidden="1" x14ac:dyDescent="0.2">
      <c r="B164" s="110">
        <f t="shared" si="0"/>
        <v>2041</v>
      </c>
      <c r="C164" s="111">
        <f>[15]С2.5!$Z$11</f>
        <v>0</v>
      </c>
    </row>
    <row r="165" spans="2:3" hidden="1" x14ac:dyDescent="0.2">
      <c r="B165" s="110">
        <f t="shared" si="0"/>
        <v>2042</v>
      </c>
      <c r="C165" s="111">
        <f>[15]С2.5!$AA$11</f>
        <v>0</v>
      </c>
    </row>
    <row r="166" spans="2:3" hidden="1" x14ac:dyDescent="0.2">
      <c r="B166" s="110">
        <f t="shared" si="0"/>
        <v>2043</v>
      </c>
      <c r="C166" s="111">
        <f>[15]С2.5!$AB$11</f>
        <v>0</v>
      </c>
    </row>
    <row r="167" spans="2:3" hidden="1" x14ac:dyDescent="0.2">
      <c r="B167" s="110">
        <f t="shared" si="0"/>
        <v>2044</v>
      </c>
      <c r="C167" s="111">
        <f>[15]С2.5!$AC$11</f>
        <v>0</v>
      </c>
    </row>
    <row r="168" spans="2:3" hidden="1" x14ac:dyDescent="0.2">
      <c r="B168" s="110">
        <f t="shared" si="0"/>
        <v>2045</v>
      </c>
      <c r="C168" s="111">
        <f>[15]С2.5!$AD$11</f>
        <v>0</v>
      </c>
    </row>
    <row r="169" spans="2:3" hidden="1" x14ac:dyDescent="0.2">
      <c r="B169" s="110">
        <f t="shared" si="0"/>
        <v>2046</v>
      </c>
      <c r="C169" s="111">
        <f>[15]С2.5!$AE$11</f>
        <v>0</v>
      </c>
    </row>
    <row r="170" spans="2:3" hidden="1" x14ac:dyDescent="0.2">
      <c r="B170" s="110">
        <f t="shared" si="0"/>
        <v>2047</v>
      </c>
      <c r="C170" s="111">
        <f>[15]С2.5!$AF$11</f>
        <v>0</v>
      </c>
    </row>
    <row r="171" spans="2:3" hidden="1" x14ac:dyDescent="0.2">
      <c r="B171" s="110">
        <f t="shared" si="0"/>
        <v>2048</v>
      </c>
      <c r="C171" s="111">
        <f>[15]С2.5!$AG$11</f>
        <v>0</v>
      </c>
    </row>
    <row r="172" spans="2:3" hidden="1" x14ac:dyDescent="0.2">
      <c r="B172" s="110">
        <f t="shared" si="0"/>
        <v>2049</v>
      </c>
      <c r="C172" s="111">
        <f>[15]С2.5!$AH$11</f>
        <v>0</v>
      </c>
    </row>
    <row r="173" spans="2:3" hidden="1" x14ac:dyDescent="0.2">
      <c r="B173" s="110">
        <f t="shared" si="0"/>
        <v>2050</v>
      </c>
      <c r="C173" s="111">
        <f>[15]С2.5!$AI$11</f>
        <v>0</v>
      </c>
    </row>
    <row r="174" spans="2:3" hidden="1" x14ac:dyDescent="0.2">
      <c r="B174" s="110">
        <f t="shared" si="0"/>
        <v>2051</v>
      </c>
      <c r="C174" s="111">
        <f>[15]С2.5!$AJ$11</f>
        <v>0</v>
      </c>
    </row>
    <row r="175" spans="2:3" hidden="1" x14ac:dyDescent="0.2">
      <c r="B175" s="110">
        <f t="shared" si="0"/>
        <v>2052</v>
      </c>
      <c r="C175" s="111">
        <f>[15]С2.5!$AK$11</f>
        <v>0</v>
      </c>
    </row>
    <row r="176" spans="2:3" hidden="1" x14ac:dyDescent="0.2">
      <c r="B176" s="110">
        <f t="shared" si="0"/>
        <v>2053</v>
      </c>
      <c r="C176" s="111">
        <f>[15]С2.5!$AL$11</f>
        <v>0</v>
      </c>
    </row>
    <row r="177" spans="2:3" hidden="1" x14ac:dyDescent="0.2">
      <c r="B177" s="110">
        <f t="shared" si="0"/>
        <v>2054</v>
      </c>
      <c r="C177" s="111">
        <f>[15]С2.5!$AM$11</f>
        <v>0</v>
      </c>
    </row>
    <row r="178" spans="2:3" hidden="1" x14ac:dyDescent="0.2">
      <c r="B178" s="110">
        <f t="shared" si="0"/>
        <v>2055</v>
      </c>
      <c r="C178" s="111">
        <f>[15]С2.5!$AN$11</f>
        <v>0</v>
      </c>
    </row>
    <row r="179" spans="2:3" hidden="1" x14ac:dyDescent="0.2">
      <c r="B179" s="110">
        <f t="shared" si="0"/>
        <v>2056</v>
      </c>
      <c r="C179" s="111">
        <f>[15]С2.5!$AO$11</f>
        <v>0</v>
      </c>
    </row>
    <row r="180" spans="2:3" hidden="1" x14ac:dyDescent="0.2">
      <c r="B180" s="110">
        <f t="shared" si="0"/>
        <v>2057</v>
      </c>
      <c r="C180" s="111">
        <f>[15]С2.5!$AP$11</f>
        <v>0</v>
      </c>
    </row>
    <row r="181" spans="2:3" hidden="1" x14ac:dyDescent="0.2">
      <c r="B181" s="110">
        <f t="shared" si="0"/>
        <v>2058</v>
      </c>
      <c r="C181" s="111">
        <f>[15]С2.5!$AQ$11</f>
        <v>0</v>
      </c>
    </row>
    <row r="182" spans="2:3" hidden="1" x14ac:dyDescent="0.2">
      <c r="B182" s="110">
        <f t="shared" si="0"/>
        <v>2059</v>
      </c>
      <c r="C182" s="111">
        <f>[15]С2.5!$AR$11</f>
        <v>0</v>
      </c>
    </row>
    <row r="183" spans="2:3" hidden="1" x14ac:dyDescent="0.2">
      <c r="B183" s="110">
        <f t="shared" si="0"/>
        <v>2060</v>
      </c>
      <c r="C183" s="111">
        <f>[15]С2.5!$AS$11</f>
        <v>0</v>
      </c>
    </row>
    <row r="184" spans="2:3" hidden="1" x14ac:dyDescent="0.2">
      <c r="B184" s="110">
        <f t="shared" si="0"/>
        <v>2061</v>
      </c>
      <c r="C184" s="111">
        <f>[15]С2.5!$AT$11</f>
        <v>0</v>
      </c>
    </row>
    <row r="185" spans="2:3" hidden="1" x14ac:dyDescent="0.2">
      <c r="B185" s="110">
        <f t="shared" si="0"/>
        <v>2062</v>
      </c>
      <c r="C185" s="111">
        <f>[15]С2.5!$AU$11</f>
        <v>0</v>
      </c>
    </row>
    <row r="186" spans="2:3" hidden="1" x14ac:dyDescent="0.2">
      <c r="B186" s="110">
        <f t="shared" si="0"/>
        <v>2063</v>
      </c>
      <c r="C186" s="111">
        <f>[15]С2.5!$AV$11</f>
        <v>0</v>
      </c>
    </row>
    <row r="187" spans="2:3" hidden="1" x14ac:dyDescent="0.2">
      <c r="B187" s="110">
        <f t="shared" si="0"/>
        <v>2064</v>
      </c>
      <c r="C187" s="111">
        <f>[15]С2.5!$AW$11</f>
        <v>0</v>
      </c>
    </row>
    <row r="188" spans="2:3" hidden="1" x14ac:dyDescent="0.2">
      <c r="B188" s="110">
        <f t="shared" si="0"/>
        <v>2065</v>
      </c>
      <c r="C188" s="111">
        <f>[15]С2.5!$AX$11</f>
        <v>0</v>
      </c>
    </row>
    <row r="189" spans="2:3" hidden="1" x14ac:dyDescent="0.2">
      <c r="B189" s="110">
        <f t="shared" si="0"/>
        <v>2066</v>
      </c>
      <c r="C189" s="111">
        <f>[15]С2.5!$AY$11</f>
        <v>0</v>
      </c>
    </row>
    <row r="190" spans="2:3" hidden="1" x14ac:dyDescent="0.2">
      <c r="B190" s="110">
        <f t="shared" si="0"/>
        <v>2067</v>
      </c>
      <c r="C190" s="111">
        <f>[15]С2.5!$AZ$11</f>
        <v>0</v>
      </c>
    </row>
    <row r="191" spans="2:3" hidden="1" x14ac:dyDescent="0.2">
      <c r="B191" s="110">
        <f t="shared" si="0"/>
        <v>2068</v>
      </c>
      <c r="C191" s="111">
        <f>[15]С2.5!$BA$11</f>
        <v>0</v>
      </c>
    </row>
    <row r="192" spans="2:3" hidden="1" x14ac:dyDescent="0.2">
      <c r="B192" s="110">
        <f t="shared" si="0"/>
        <v>2069</v>
      </c>
      <c r="C192" s="111">
        <f>[15]С2.5!$BB$11</f>
        <v>0</v>
      </c>
    </row>
    <row r="193" spans="2:3" hidden="1" x14ac:dyDescent="0.2">
      <c r="B193" s="110">
        <f t="shared" si="0"/>
        <v>2070</v>
      </c>
      <c r="C193" s="111">
        <f>[15]С2.5!$BC$11</f>
        <v>0</v>
      </c>
    </row>
    <row r="194" spans="2:3" hidden="1" x14ac:dyDescent="0.2">
      <c r="B194" s="110">
        <f t="shared" si="0"/>
        <v>2071</v>
      </c>
      <c r="C194" s="111">
        <f>[15]С2.5!$BD$11</f>
        <v>0</v>
      </c>
    </row>
    <row r="195" spans="2:3" hidden="1" x14ac:dyDescent="0.2">
      <c r="B195" s="110">
        <f t="shared" si="0"/>
        <v>2072</v>
      </c>
      <c r="C195" s="111">
        <f>[15]С2.5!$BE$11</f>
        <v>0</v>
      </c>
    </row>
    <row r="196" spans="2:3" hidden="1" x14ac:dyDescent="0.2">
      <c r="B196" s="110">
        <f t="shared" si="0"/>
        <v>2073</v>
      </c>
      <c r="C196" s="111">
        <f>[15]С2.5!$BF$11</f>
        <v>0</v>
      </c>
    </row>
    <row r="197" spans="2:3" hidden="1" x14ac:dyDescent="0.2">
      <c r="B197" s="110">
        <f t="shared" si="0"/>
        <v>2074</v>
      </c>
      <c r="C197" s="111">
        <f>[15]С2.5!$BG$11</f>
        <v>0</v>
      </c>
    </row>
    <row r="198" spans="2:3" hidden="1" x14ac:dyDescent="0.2">
      <c r="B198" s="110">
        <f t="shared" si="0"/>
        <v>2075</v>
      </c>
      <c r="C198" s="111">
        <f>[15]С2.5!$BH$11</f>
        <v>0</v>
      </c>
    </row>
    <row r="199" spans="2:3" hidden="1" x14ac:dyDescent="0.2">
      <c r="B199" s="110">
        <f t="shared" si="0"/>
        <v>2076</v>
      </c>
      <c r="C199" s="111">
        <f>[15]С2.5!$BI$11</f>
        <v>0</v>
      </c>
    </row>
    <row r="200" spans="2:3" hidden="1" x14ac:dyDescent="0.2">
      <c r="B200" s="110">
        <f t="shared" si="0"/>
        <v>2077</v>
      </c>
      <c r="C200" s="111">
        <f>[15]С2.5!$BJ$11</f>
        <v>0</v>
      </c>
    </row>
    <row r="201" spans="2:3" hidden="1" x14ac:dyDescent="0.2">
      <c r="B201" s="110">
        <f t="shared" si="0"/>
        <v>2078</v>
      </c>
      <c r="C201" s="111">
        <f>[15]С2.5!$BK$11</f>
        <v>0</v>
      </c>
    </row>
    <row r="202" spans="2:3" hidden="1" x14ac:dyDescent="0.2">
      <c r="B202" s="110">
        <f t="shared" si="0"/>
        <v>2079</v>
      </c>
      <c r="C202" s="111">
        <f>[15]С2.5!$BL$11</f>
        <v>0</v>
      </c>
    </row>
    <row r="203" spans="2:3" hidden="1" x14ac:dyDescent="0.2">
      <c r="B203" s="110">
        <f t="shared" si="0"/>
        <v>2080</v>
      </c>
      <c r="C203" s="111">
        <f>[15]С2.5!$BM$11</f>
        <v>0</v>
      </c>
    </row>
    <row r="204" spans="2:3" hidden="1" x14ac:dyDescent="0.2">
      <c r="B204" s="110">
        <f t="shared" si="0"/>
        <v>2081</v>
      </c>
      <c r="C204" s="111">
        <f>[15]С2.5!$BN$11</f>
        <v>0</v>
      </c>
    </row>
    <row r="205" spans="2:3" hidden="1" x14ac:dyDescent="0.2">
      <c r="B205" s="110">
        <f t="shared" si="0"/>
        <v>2082</v>
      </c>
      <c r="C205" s="111">
        <f>[15]С2.5!$BO$11</f>
        <v>0</v>
      </c>
    </row>
    <row r="206" spans="2:3" hidden="1" x14ac:dyDescent="0.2">
      <c r="B206" s="110">
        <f t="shared" si="0"/>
        <v>2083</v>
      </c>
      <c r="C206" s="111">
        <f>[15]С2.5!$BP$11</f>
        <v>0</v>
      </c>
    </row>
    <row r="207" spans="2:3" hidden="1" x14ac:dyDescent="0.2">
      <c r="B207" s="110">
        <f t="shared" si="0"/>
        <v>2084</v>
      </c>
      <c r="C207" s="111">
        <f>[15]С2.5!$BQ$11</f>
        <v>0</v>
      </c>
    </row>
    <row r="208" spans="2:3" hidden="1" x14ac:dyDescent="0.2">
      <c r="B208" s="110">
        <f t="shared" si="0"/>
        <v>2085</v>
      </c>
      <c r="C208" s="111">
        <f>[15]С2.5!$BR$11</f>
        <v>0</v>
      </c>
    </row>
    <row r="209" spans="2:3" hidden="1" x14ac:dyDescent="0.2">
      <c r="B209" s="110">
        <f t="shared" ref="B209:B223" si="1">B208+1</f>
        <v>2086</v>
      </c>
      <c r="C209" s="111">
        <f>[15]С2.5!$BS$11</f>
        <v>0</v>
      </c>
    </row>
    <row r="210" spans="2:3" hidden="1" x14ac:dyDescent="0.2">
      <c r="B210" s="110">
        <f t="shared" si="1"/>
        <v>2087</v>
      </c>
      <c r="C210" s="111">
        <f>[15]С2.5!$BT$11</f>
        <v>0</v>
      </c>
    </row>
    <row r="211" spans="2:3" hidden="1" x14ac:dyDescent="0.2">
      <c r="B211" s="110">
        <f t="shared" si="1"/>
        <v>2088</v>
      </c>
      <c r="C211" s="111">
        <f>[15]С2.5!$BU$11</f>
        <v>0</v>
      </c>
    </row>
    <row r="212" spans="2:3" hidden="1" x14ac:dyDescent="0.2">
      <c r="B212" s="110">
        <f t="shared" si="1"/>
        <v>2089</v>
      </c>
      <c r="C212" s="111">
        <f>[15]С2.5!$BV$11</f>
        <v>0</v>
      </c>
    </row>
    <row r="213" spans="2:3" hidden="1" x14ac:dyDescent="0.2">
      <c r="B213" s="110">
        <f t="shared" si="1"/>
        <v>2090</v>
      </c>
      <c r="C213" s="111">
        <f>[15]С2.5!$BW$11</f>
        <v>0</v>
      </c>
    </row>
    <row r="214" spans="2:3" hidden="1" x14ac:dyDescent="0.2">
      <c r="B214" s="110">
        <f t="shared" si="1"/>
        <v>2091</v>
      </c>
      <c r="C214" s="111">
        <f>[15]С2.5!$BX$11</f>
        <v>0</v>
      </c>
    </row>
    <row r="215" spans="2:3" hidden="1" x14ac:dyDescent="0.2">
      <c r="B215" s="110">
        <f t="shared" si="1"/>
        <v>2092</v>
      </c>
      <c r="C215" s="111">
        <f>[15]С2.5!$BY$11</f>
        <v>0</v>
      </c>
    </row>
    <row r="216" spans="2:3" hidden="1" x14ac:dyDescent="0.2">
      <c r="B216" s="110">
        <f t="shared" si="1"/>
        <v>2093</v>
      </c>
      <c r="C216" s="111">
        <f>[15]С2.5!$BZ$11</f>
        <v>0</v>
      </c>
    </row>
    <row r="217" spans="2:3" hidden="1" x14ac:dyDescent="0.2">
      <c r="B217" s="110">
        <f t="shared" si="1"/>
        <v>2094</v>
      </c>
      <c r="C217" s="111">
        <f>[15]С2.5!$CA$11</f>
        <v>0</v>
      </c>
    </row>
    <row r="218" spans="2:3" hidden="1" x14ac:dyDescent="0.2">
      <c r="B218" s="110">
        <f t="shared" si="1"/>
        <v>2095</v>
      </c>
      <c r="C218" s="111">
        <f>[15]С2.5!$CB$11</f>
        <v>0</v>
      </c>
    </row>
    <row r="219" spans="2:3" hidden="1" x14ac:dyDescent="0.2">
      <c r="B219" s="110">
        <f t="shared" si="1"/>
        <v>2096</v>
      </c>
      <c r="C219" s="111">
        <f>[15]С2.5!$CC$11</f>
        <v>0</v>
      </c>
    </row>
    <row r="220" spans="2:3" hidden="1" x14ac:dyDescent="0.2">
      <c r="B220" s="110">
        <f t="shared" si="1"/>
        <v>2097</v>
      </c>
      <c r="C220" s="111">
        <f>[15]С2.5!$CD$11</f>
        <v>0</v>
      </c>
    </row>
    <row r="221" spans="2:3" hidden="1" x14ac:dyDescent="0.2">
      <c r="B221" s="110">
        <f t="shared" si="1"/>
        <v>2098</v>
      </c>
      <c r="C221" s="111">
        <f>[15]С2.5!$CE$11</f>
        <v>0</v>
      </c>
    </row>
    <row r="222" spans="2:3" hidden="1" x14ac:dyDescent="0.2">
      <c r="B222" s="110">
        <f t="shared" si="1"/>
        <v>2099</v>
      </c>
      <c r="C222" s="111">
        <f>[15]С2.5!$CF$11</f>
        <v>0</v>
      </c>
    </row>
    <row r="223" spans="2:3" ht="13.5" hidden="1" thickBot="1" x14ac:dyDescent="0.25">
      <c r="B223" s="112">
        <f t="shared" si="1"/>
        <v>2100</v>
      </c>
      <c r="C223" s="113">
        <f>[15]С2.5!$CG$11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1266" r:id="rId4" name="Button 2">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22.85546875" style="159" customWidth="1"/>
    <col min="5" max="5" width="5.140625" style="2" customWidth="1"/>
    <col min="6" max="6" width="17.5703125" style="2" customWidth="1"/>
    <col min="7" max="159" width="9.140625" style="2"/>
    <col min="160" max="241" width="0" style="2" hidden="1" customWidth="1"/>
    <col min="242" max="250" width="9.140625" style="2"/>
    <col min="251" max="251" width="3.710937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710937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710937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710937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710937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710937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710937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710937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710937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710937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710937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710937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710937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710937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710937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710937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710937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710937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710937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710937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710937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710937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710937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710937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710937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710937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710937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710937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710937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710937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710937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710937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710937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710937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710937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710937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710937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710937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710937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710937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710937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710937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710937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710937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710937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710937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710937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710937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710937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710937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710937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710937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710937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710937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710937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710937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710937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710937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710937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710937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710937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710937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710937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3"/>
      <c r="B1" s="163" t="s">
        <v>227</v>
      </c>
      <c r="C1" s="163"/>
      <c r="D1" s="163"/>
    </row>
    <row r="2" spans="1:4" x14ac:dyDescent="0.2">
      <c r="A2" s="3"/>
      <c r="B2" s="4" t="s">
        <v>1</v>
      </c>
      <c r="C2" s="5">
        <v>45317</v>
      </c>
    </row>
    <row r="3" spans="1:4" x14ac:dyDescent="0.2">
      <c r="A3" s="3"/>
      <c r="B3" s="117" t="s">
        <v>2</v>
      </c>
      <c r="C3" s="7"/>
    </row>
    <row r="4" spans="1:4" ht="25.5" x14ac:dyDescent="0.2">
      <c r="A4" s="8"/>
      <c r="B4" s="9" t="str">
        <f>[16]И1!D13</f>
        <v>Субъект Российской Федерации</v>
      </c>
      <c r="C4" s="10" t="str">
        <f>[16]И1!E13</f>
        <v>Новосибирская область</v>
      </c>
      <c r="D4" s="9"/>
    </row>
    <row r="5" spans="1:4" ht="48.6" customHeight="1" x14ac:dyDescent="0.2">
      <c r="A5" s="8"/>
      <c r="B5" s="9" t="str">
        <f>[16]И1!D14</f>
        <v>Тип муниципального образования (выберите из списка)</v>
      </c>
      <c r="C5" s="10" t="str">
        <f>[16]И1!E14</f>
        <v>поселок Керамкомбинат, Искитимский муниципальный район</v>
      </c>
      <c r="D5" s="9"/>
    </row>
    <row r="6" spans="1:4" x14ac:dyDescent="0.2">
      <c r="A6" s="8"/>
      <c r="B6" s="9" t="str">
        <f>IF([16]И1!E15="","",[16]И1!D15)</f>
        <v/>
      </c>
      <c r="C6" s="7" t="str">
        <f>IF([16]И1!E15="","",[16]И1!E15)</f>
        <v/>
      </c>
      <c r="D6" s="9"/>
    </row>
    <row r="7" spans="1:4" x14ac:dyDescent="0.2">
      <c r="A7" s="8"/>
      <c r="B7" s="9" t="str">
        <f>[16]И1!D16</f>
        <v>Код ОКТМО</v>
      </c>
      <c r="C7" s="11" t="str">
        <f>[16]И1!E16</f>
        <v xml:space="preserve"> (50615420101)</v>
      </c>
      <c r="D7" s="9"/>
    </row>
    <row r="8" spans="1:4" x14ac:dyDescent="0.2">
      <c r="A8" s="8"/>
      <c r="B8" s="12" t="str">
        <f>[16]И1!D17</f>
        <v>Система теплоснабжения</v>
      </c>
      <c r="C8" s="13">
        <f>[16]И1!E17</f>
        <v>0</v>
      </c>
      <c r="D8" s="9"/>
    </row>
    <row r="9" spans="1:4" x14ac:dyDescent="0.2">
      <c r="A9" s="8"/>
      <c r="B9" s="9" t="str">
        <f>[16]И1!D8</f>
        <v>Период регулирования (i)-й</v>
      </c>
      <c r="C9" s="14">
        <f>[16]И1!E8</f>
        <v>2024</v>
      </c>
      <c r="D9" s="9"/>
    </row>
    <row r="10" spans="1:4" x14ac:dyDescent="0.2">
      <c r="A10" s="8"/>
      <c r="B10" s="9" t="str">
        <f>[16]И1!D9</f>
        <v>Период регулирования (i-1)-й</v>
      </c>
      <c r="C10" s="14">
        <f>[16]И1!E9</f>
        <v>2023</v>
      </c>
      <c r="D10" s="9"/>
    </row>
    <row r="11" spans="1:4" x14ac:dyDescent="0.2">
      <c r="A11" s="8"/>
      <c r="B11" s="9" t="str">
        <f>[16]И1!D10</f>
        <v>Период регулирования (i-2)-й</v>
      </c>
      <c r="C11" s="14">
        <f>[16]И1!E10</f>
        <v>2022</v>
      </c>
      <c r="D11" s="9"/>
    </row>
    <row r="12" spans="1:4" x14ac:dyDescent="0.2">
      <c r="A12" s="8"/>
      <c r="B12" s="9" t="str">
        <f>[16]И1!D11</f>
        <v>Базовый год (б)</v>
      </c>
      <c r="C12" s="14">
        <f>[16]И1!E11</f>
        <v>2019</v>
      </c>
      <c r="D12" s="9"/>
    </row>
    <row r="13" spans="1:4" x14ac:dyDescent="0.2">
      <c r="A13" s="8"/>
      <c r="B13" s="9" t="str">
        <f>[16]И1!D18</f>
        <v>Вид топлива, использование которого преобладает в системе теплоснабжения</v>
      </c>
      <c r="C13" s="15" t="str">
        <f>[16]И1!E18</f>
        <v>Газ</v>
      </c>
      <c r="D13" s="9"/>
    </row>
    <row r="14" spans="1:4" ht="26.25" customHeight="1" thickBot="1" x14ac:dyDescent="0.25">
      <c r="A14" s="167" t="s">
        <v>3</v>
      </c>
      <c r="B14" s="167"/>
      <c r="C14" s="167"/>
    </row>
    <row r="15" spans="1:4" x14ac:dyDescent="0.2">
      <c r="A15" s="16" t="s">
        <v>4</v>
      </c>
      <c r="B15" s="30" t="s">
        <v>5</v>
      </c>
      <c r="C15" s="118" t="s">
        <v>6</v>
      </c>
    </row>
    <row r="16" spans="1:4" x14ac:dyDescent="0.2">
      <c r="A16" s="19">
        <v>1</v>
      </c>
      <c r="B16" s="119">
        <v>2</v>
      </c>
      <c r="C16" s="120">
        <v>3</v>
      </c>
    </row>
    <row r="17" spans="1:4" x14ac:dyDescent="0.2">
      <c r="A17" s="22">
        <v>1</v>
      </c>
      <c r="B17" s="23" t="s">
        <v>7</v>
      </c>
      <c r="C17" s="24">
        <f>SUM(C18:C23)</f>
        <v>2939.204068798766</v>
      </c>
    </row>
    <row r="18" spans="1:4" ht="42.75" x14ac:dyDescent="0.2">
      <c r="A18" s="22" t="s">
        <v>8</v>
      </c>
      <c r="B18" s="25" t="s">
        <v>9</v>
      </c>
      <c r="C18" s="26">
        <f>[16]С1!F12</f>
        <v>994.35037159416254</v>
      </c>
    </row>
    <row r="19" spans="1:4" ht="42.75" x14ac:dyDescent="0.2">
      <c r="A19" s="22" t="s">
        <v>10</v>
      </c>
      <c r="B19" s="25" t="s">
        <v>11</v>
      </c>
      <c r="C19" s="26">
        <f>[16]С2!F12</f>
        <v>1338.5714783459885</v>
      </c>
    </row>
    <row r="20" spans="1:4" ht="30" x14ac:dyDescent="0.2">
      <c r="A20" s="22" t="s">
        <v>12</v>
      </c>
      <c r="B20" s="25" t="s">
        <v>13</v>
      </c>
      <c r="C20" s="26">
        <f>[16]С3!F12</f>
        <v>317.98065232680995</v>
      </c>
    </row>
    <row r="21" spans="1:4" ht="42.75" x14ac:dyDescent="0.2">
      <c r="A21" s="22" t="s">
        <v>14</v>
      </c>
      <c r="B21" s="25" t="s">
        <v>228</v>
      </c>
      <c r="C21" s="26">
        <f>[16]С4!F12</f>
        <v>230.67011420241766</v>
      </c>
    </row>
    <row r="22" spans="1:4" ht="33" customHeight="1" x14ac:dyDescent="0.2">
      <c r="A22" s="22" t="s">
        <v>16</v>
      </c>
      <c r="B22" s="25" t="s">
        <v>229</v>
      </c>
      <c r="C22" s="26">
        <f>[16]С5!F12</f>
        <v>57.631452329387571</v>
      </c>
    </row>
    <row r="23" spans="1:4" ht="45.75" customHeight="1" thickBot="1" x14ac:dyDescent="0.25">
      <c r="A23" s="27" t="s">
        <v>18</v>
      </c>
      <c r="B23" s="140" t="s">
        <v>230</v>
      </c>
      <c r="C23" s="28">
        <f>[16]С6!F12</f>
        <v>0</v>
      </c>
    </row>
    <row r="24" spans="1:4" ht="13.5" thickBot="1" x14ac:dyDescent="0.25">
      <c r="A24" s="3"/>
      <c r="C24" s="7"/>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ht="25.5" x14ac:dyDescent="0.2">
      <c r="A28" s="22" t="s">
        <v>8</v>
      </c>
      <c r="B28" s="33" t="s">
        <v>231</v>
      </c>
      <c r="C28" s="34">
        <f>[16]С1.1!E16</f>
        <v>7900</v>
      </c>
      <c r="D28" s="145" t="str">
        <f>[16]С1.1!F16</f>
        <v>Приказ ФАС России от 02.06.2021 №545/21</v>
      </c>
    </row>
    <row r="29" spans="1:4" ht="102" x14ac:dyDescent="0.2">
      <c r="A29" s="22" t="s">
        <v>10</v>
      </c>
      <c r="B29" s="33" t="s">
        <v>232</v>
      </c>
      <c r="C29" s="34">
        <f>[16]С1.1!E32</f>
        <v>5751.37</v>
      </c>
      <c r="D29" s="145" t="str">
        <f>IF([16]С1.1!E24=[16]С1.1!I9,[16]С1.1!I9,IF([16]С1.1!E24=[16]С1.1!I10,[16]С1.1!I10,IF([16]С1.1!E24=[16]С1.1!I11,[16]С1.3!G9,IF([16]С1.1!E24=[16]С1.1!I12,[16]С1.1!F30,IF([16]С1.1!E24=[16]С1.1!I13,[16]С1.1!F31,"")))))</f>
        <v>цены (тарифы), подлежащие государственному регулированию, действовавшие на день окончания (i-2)-го расчетного периода в системе теплоснабжения</v>
      </c>
    </row>
    <row r="30" spans="1:4" ht="38.25" x14ac:dyDescent="0.2">
      <c r="A30" s="22" t="s">
        <v>233</v>
      </c>
      <c r="B30" s="33" t="s">
        <v>234</v>
      </c>
      <c r="C30" s="85" t="str">
        <f>[16]С1.1!E25</f>
        <v>ООО "Газпром газораспределение Томск"</v>
      </c>
      <c r="D30" s="145">
        <f>[16]С1.1!F25</f>
        <v>0</v>
      </c>
    </row>
    <row r="31" spans="1:4" ht="38.25" x14ac:dyDescent="0.2">
      <c r="A31" s="22" t="s">
        <v>235</v>
      </c>
      <c r="B31" s="33" t="str">
        <f>[16]С1.1!D26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[16]С1.1!E26</f>
        <v>4699.5</v>
      </c>
      <c r="D31" s="145" t="str">
        <f>[16]С1.1!F26</f>
        <v>Приказ ФАС России от 02.06.2021 №545/21</v>
      </c>
    </row>
    <row r="32" spans="1:4" ht="25.5" x14ac:dyDescent="0.2">
      <c r="A32" s="22" t="s">
        <v>236</v>
      </c>
      <c r="B32" s="33" t="str">
        <f>[16]С1.1!D27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[16]С1.1!E27</f>
        <v>795.43</v>
      </c>
      <c r="D32" s="145" t="str">
        <f>[16]С1.1!F27</f>
        <v>Приказ ФАС России от 13.01.2020 №15/20</v>
      </c>
    </row>
    <row r="33" spans="1:4" ht="25.5" x14ac:dyDescent="0.2">
      <c r="A33" s="22" t="s">
        <v>237</v>
      </c>
      <c r="B33" s="33" t="str">
        <f>[16]С1.1!D28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[16]С1.1!E28</f>
        <v>136.54</v>
      </c>
      <c r="D33" s="145" t="str">
        <f>[16]С1.1!F28</f>
        <v>Приказ ФАС России от 27.05.2016 №682/16</v>
      </c>
    </row>
    <row r="34" spans="1:4" ht="51" x14ac:dyDescent="0.2">
      <c r="A34" s="22" t="s">
        <v>238</v>
      </c>
      <c r="B34" s="33" t="str">
        <f>[16]С1.1!D29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[16]С1.1!E29</f>
        <v>119.9</v>
      </c>
      <c r="D34" s="145" t="str">
        <f>[16]С1.1!F29</f>
        <v>Приказ департамента по тарифам Новосибирской области от 22.12.2020 №650-Г</v>
      </c>
    </row>
    <row r="35" spans="1:4" ht="369.75" x14ac:dyDescent="0.2">
      <c r="A35" s="22" t="s">
        <v>12</v>
      </c>
      <c r="B35" s="33" t="s">
        <v>23</v>
      </c>
      <c r="C35" s="35">
        <f>[16]С1.1!E20</f>
        <v>8.5000000000000006E-2</v>
      </c>
      <c r="D35" s="145" t="str">
        <f>[16]С1.1!F20</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
    </row>
    <row r="36" spans="1:4" ht="306" x14ac:dyDescent="0.2">
      <c r="A36" s="22" t="s">
        <v>14</v>
      </c>
      <c r="B36" s="33" t="s">
        <v>24</v>
      </c>
      <c r="C36" s="35">
        <f>[16]С1.1!E21</f>
        <v>0.112</v>
      </c>
      <c r="D36" s="145" t="str">
        <f>[16]С1.1!F21</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
    </row>
    <row r="37" spans="1:4" ht="30" x14ac:dyDescent="0.2">
      <c r="A37" s="22" t="s">
        <v>16</v>
      </c>
      <c r="B37" s="36" t="s">
        <v>239</v>
      </c>
      <c r="C37" s="121">
        <f>[16]С1!F13</f>
        <v>156.1</v>
      </c>
      <c r="D37" s="145" t="s">
        <v>260</v>
      </c>
    </row>
    <row r="38" spans="1:4" x14ac:dyDescent="0.2">
      <c r="A38" s="22" t="s">
        <v>18</v>
      </c>
      <c r="B38" s="36" t="s">
        <v>26</v>
      </c>
      <c r="C38" s="38">
        <f>[16]С1!F16</f>
        <v>7000</v>
      </c>
      <c r="D38" s="147" t="s">
        <v>261</v>
      </c>
    </row>
    <row r="39" spans="1:4" ht="14.25" x14ac:dyDescent="0.2">
      <c r="A39" s="122" t="s">
        <v>27</v>
      </c>
      <c r="B39" s="39" t="s">
        <v>240</v>
      </c>
      <c r="C39" s="40">
        <f>[16]С1!F17</f>
        <v>1.1285714285714286</v>
      </c>
      <c r="D39" s="145"/>
    </row>
    <row r="40" spans="1:4" ht="15.75" x14ac:dyDescent="0.2">
      <c r="A40" s="123" t="s">
        <v>29</v>
      </c>
      <c r="B40" s="42" t="s">
        <v>30</v>
      </c>
      <c r="C40" s="40">
        <f>[16]С1!F20</f>
        <v>22.307053372799995</v>
      </c>
      <c r="D40" s="145"/>
    </row>
    <row r="41" spans="1:4" ht="15.75" x14ac:dyDescent="0.2">
      <c r="A41" s="123" t="s">
        <v>31</v>
      </c>
      <c r="B41" s="43" t="s">
        <v>32</v>
      </c>
      <c r="C41" s="40">
        <f>[16]С1!F21</f>
        <v>21.531904799999996</v>
      </c>
      <c r="D41" s="145"/>
    </row>
    <row r="42" spans="1:4" ht="14.25" x14ac:dyDescent="0.2">
      <c r="A42" s="123" t="s">
        <v>33</v>
      </c>
      <c r="B42" s="44" t="s">
        <v>34</v>
      </c>
      <c r="C42" s="40">
        <f>[16]С1!F22</f>
        <v>1.036</v>
      </c>
      <c r="D42" s="145" t="s">
        <v>262</v>
      </c>
    </row>
    <row r="43" spans="1:4" ht="53.25" thickBot="1" x14ac:dyDescent="0.25">
      <c r="A43" s="27" t="s">
        <v>35</v>
      </c>
      <c r="B43" s="45" t="s">
        <v>36</v>
      </c>
      <c r="C43" s="46" t="str">
        <f>[16]С1!F23</f>
        <v>-</v>
      </c>
      <c r="D43" s="148" t="s">
        <v>263</v>
      </c>
    </row>
    <row r="44" spans="1:4" ht="13.5" thickBot="1" x14ac:dyDescent="0.25">
      <c r="A44" s="47"/>
      <c r="B44" s="75"/>
      <c r="C44" s="15"/>
      <c r="D44" s="160"/>
    </row>
    <row r="45" spans="1:4" ht="30" customHeight="1" x14ac:dyDescent="0.2">
      <c r="A45" s="50" t="s">
        <v>37</v>
      </c>
      <c r="B45" s="165" t="s">
        <v>38</v>
      </c>
      <c r="C45" s="165"/>
      <c r="D45" s="170"/>
    </row>
    <row r="46" spans="1:4" ht="25.5" x14ac:dyDescent="0.2">
      <c r="A46" s="22" t="s">
        <v>39</v>
      </c>
      <c r="B46" s="36" t="s">
        <v>40</v>
      </c>
      <c r="C46" s="51" t="str">
        <f>[16]С2.1!E12</f>
        <v>V</v>
      </c>
      <c r="D46" s="145" t="s">
        <v>264</v>
      </c>
    </row>
    <row r="47" spans="1:4" ht="331.5" x14ac:dyDescent="0.2">
      <c r="A47" s="22" t="s">
        <v>41</v>
      </c>
      <c r="B47" s="33" t="s">
        <v>42</v>
      </c>
      <c r="C47" s="51" t="str">
        <f>[16]С2.1!E13</f>
        <v>6 и менее баллов</v>
      </c>
      <c r="D47" s="145" t="str">
        <f>[16]С2.1!F13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04" x14ac:dyDescent="0.2">
      <c r="A48" s="22" t="s">
        <v>43</v>
      </c>
      <c r="B48" s="33" t="s">
        <v>241</v>
      </c>
      <c r="C48" s="51" t="str">
        <f>[16]С2.1!E14</f>
        <v>от 200 до 500</v>
      </c>
      <c r="D48" s="145" t="str">
        <f>[16]С2.1!F14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5.5" x14ac:dyDescent="0.2">
      <c r="A49" s="22" t="s">
        <v>45</v>
      </c>
      <c r="B49" s="33" t="s">
        <v>242</v>
      </c>
      <c r="C49" s="52" t="str">
        <f>[16]С2.1!E15</f>
        <v>нет</v>
      </c>
      <c r="D49" s="145">
        <f>[16]С2.1!F15</f>
        <v>0</v>
      </c>
    </row>
    <row r="50" spans="1:4" ht="30" x14ac:dyDescent="0.2">
      <c r="A50" s="22" t="s">
        <v>47</v>
      </c>
      <c r="B50" s="33" t="s">
        <v>48</v>
      </c>
      <c r="C50" s="34">
        <f>[16]С2!F18</f>
        <v>35106.652004551666</v>
      </c>
      <c r="D50" s="145"/>
    </row>
    <row r="51" spans="1:4" ht="30" x14ac:dyDescent="0.2">
      <c r="A51" s="22" t="s">
        <v>49</v>
      </c>
      <c r="B51" s="53" t="s">
        <v>50</v>
      </c>
      <c r="C51" s="34">
        <f>IF([16]С2!F19&gt;0,[16]С2!F19,[16]С2!F20)</f>
        <v>23441.524932855718</v>
      </c>
      <c r="D51" s="145"/>
    </row>
    <row r="52" spans="1:4" ht="140.25" x14ac:dyDescent="0.2">
      <c r="A52" s="22" t="s">
        <v>51</v>
      </c>
      <c r="B52" s="54" t="s">
        <v>52</v>
      </c>
      <c r="C52" s="34">
        <f>[16]С2.1!E20</f>
        <v>-38</v>
      </c>
      <c r="D52" s="145" t="str">
        <f>CONCATENATE([16]С2.1!F20,"  ",[16]С2.1!F21)</f>
        <v>Свод правил СП 131.13330.2020 "СНиП 23-01-99* Строительная климатология" "Температура воздуха наиболее холодной пятидневки с обеспеченностью 0,92"  Значение принято по ближайшему населенному пункту</v>
      </c>
    </row>
    <row r="53" spans="1:4" ht="25.5" x14ac:dyDescent="0.2">
      <c r="A53" s="22" t="s">
        <v>53</v>
      </c>
      <c r="B53" s="54" t="s">
        <v>54</v>
      </c>
      <c r="C53" s="34" t="str">
        <f>[16]С2.1!E23</f>
        <v>нет</v>
      </c>
      <c r="D53" s="150" t="str">
        <f>IF([16]С2.1!F23="","",[16]С2.1!F23)</f>
        <v/>
      </c>
    </row>
    <row r="54" spans="1:4" ht="38.25" x14ac:dyDescent="0.2">
      <c r="A54" s="22" t="s">
        <v>55</v>
      </c>
      <c r="B54" s="55" t="s">
        <v>56</v>
      </c>
      <c r="C54" s="34">
        <f>[16]С2.2!E10</f>
        <v>1287</v>
      </c>
      <c r="D54" s="145" t="s">
        <v>265</v>
      </c>
    </row>
    <row r="55" spans="1:4" ht="25.5" x14ac:dyDescent="0.2">
      <c r="A55" s="22" t="s">
        <v>57</v>
      </c>
      <c r="B55" s="56" t="s">
        <v>58</v>
      </c>
      <c r="C55" s="34">
        <f>[16]С2.2!E12</f>
        <v>5.97</v>
      </c>
      <c r="D55" s="145" t="s">
        <v>266</v>
      </c>
    </row>
    <row r="56" spans="1:4" ht="52.5" x14ac:dyDescent="0.2">
      <c r="A56" s="22" t="s">
        <v>59</v>
      </c>
      <c r="B56" s="57" t="s">
        <v>60</v>
      </c>
      <c r="C56" s="34">
        <f>[16]С2.2!E13</f>
        <v>1</v>
      </c>
      <c r="D56" s="147" t="s">
        <v>261</v>
      </c>
    </row>
    <row r="57" spans="1:4" ht="27.75" x14ac:dyDescent="0.2">
      <c r="A57" s="22" t="s">
        <v>61</v>
      </c>
      <c r="B57" s="56" t="s">
        <v>62</v>
      </c>
      <c r="C57" s="34">
        <f>[16]С2.2!E14</f>
        <v>12104</v>
      </c>
      <c r="D57" s="145" t="s">
        <v>265</v>
      </c>
    </row>
    <row r="58" spans="1:4" ht="89.25" x14ac:dyDescent="0.2">
      <c r="A58" s="22" t="s">
        <v>63</v>
      </c>
      <c r="B58" s="57" t="s">
        <v>64</v>
      </c>
      <c r="C58" s="35">
        <f>[16]С2.2!E15</f>
        <v>4.8000000000000001E-2</v>
      </c>
      <c r="D58" s="145" t="s">
        <v>267</v>
      </c>
    </row>
    <row r="59" spans="1:4" ht="89.25" x14ac:dyDescent="0.2">
      <c r="A59" s="22" t="s">
        <v>65</v>
      </c>
      <c r="B59" s="57" t="s">
        <v>66</v>
      </c>
      <c r="C59" s="124">
        <f>[16]С2.2!E16</f>
        <v>1</v>
      </c>
      <c r="D59" s="145" t="s">
        <v>268</v>
      </c>
    </row>
    <row r="60" spans="1:4" ht="15.75" x14ac:dyDescent="0.2">
      <c r="A60" s="22" t="s">
        <v>67</v>
      </c>
      <c r="B60" s="58" t="s">
        <v>68</v>
      </c>
      <c r="C60" s="34">
        <f>[16]С2!F21</f>
        <v>1</v>
      </c>
      <c r="D60" s="145" t="s">
        <v>269</v>
      </c>
    </row>
    <row r="61" spans="1:4" ht="30" x14ac:dyDescent="0.2">
      <c r="A61" s="59" t="s">
        <v>69</v>
      </c>
      <c r="B61" s="33" t="s">
        <v>243</v>
      </c>
      <c r="C61" s="34">
        <f>[16]С2!F13</f>
        <v>105136.23090983224</v>
      </c>
      <c r="D61" s="145"/>
    </row>
    <row r="62" spans="1:4" ht="30" x14ac:dyDescent="0.2">
      <c r="A62" s="59" t="s">
        <v>71</v>
      </c>
      <c r="B62" s="60" t="s">
        <v>244</v>
      </c>
      <c r="C62" s="34">
        <f>[16]С2!F14</f>
        <v>64899</v>
      </c>
      <c r="D62" s="145" t="s">
        <v>260</v>
      </c>
    </row>
    <row r="63" spans="1:4" ht="15.75" x14ac:dyDescent="0.2">
      <c r="A63" s="59" t="s">
        <v>73</v>
      </c>
      <c r="B63" s="60" t="s">
        <v>74</v>
      </c>
      <c r="C63" s="40">
        <f>[16]С2!F15</f>
        <v>1.071</v>
      </c>
      <c r="D63" s="145" t="s">
        <v>270</v>
      </c>
    </row>
    <row r="64" spans="1:4" ht="15.75" x14ac:dyDescent="0.2">
      <c r="A64" s="59" t="s">
        <v>75</v>
      </c>
      <c r="B64" s="60" t="s">
        <v>76</v>
      </c>
      <c r="C64" s="125">
        <f>[16]С2!F16</f>
        <v>1</v>
      </c>
      <c r="D64" s="145" t="s">
        <v>269</v>
      </c>
    </row>
    <row r="65" spans="1:4" ht="17.25" x14ac:dyDescent="0.2">
      <c r="A65" s="59" t="s">
        <v>77</v>
      </c>
      <c r="B65" s="60" t="s">
        <v>78</v>
      </c>
      <c r="C65" s="126">
        <f>[16]С2!F17</f>
        <v>1.01</v>
      </c>
      <c r="D65" s="145" t="s">
        <v>271</v>
      </c>
    </row>
    <row r="66" spans="1:4" s="63" customFormat="1" ht="14.25" x14ac:dyDescent="0.2">
      <c r="A66" s="59" t="s">
        <v>79</v>
      </c>
      <c r="B66" s="61" t="s">
        <v>80</v>
      </c>
      <c r="C66" s="62">
        <f>[16]С2!F35</f>
        <v>10</v>
      </c>
      <c r="D66" s="145" t="s">
        <v>272</v>
      </c>
    </row>
    <row r="67" spans="1:4" ht="30" x14ac:dyDescent="0.2">
      <c r="A67" s="59" t="s">
        <v>81</v>
      </c>
      <c r="B67" s="64" t="s">
        <v>82</v>
      </c>
      <c r="C67" s="34">
        <f>[16]С2!F28</f>
        <v>331.04604307653443</v>
      </c>
      <c r="D67" s="145"/>
    </row>
    <row r="68" spans="1:4" ht="242.25" x14ac:dyDescent="0.2">
      <c r="A68" s="59" t="s">
        <v>83</v>
      </c>
      <c r="B68" s="53" t="s">
        <v>245</v>
      </c>
      <c r="C68" s="40">
        <f>[16]С2!F29</f>
        <v>0.44209422600000003</v>
      </c>
      <c r="D68" s="145" t="str">
        <f>[16]С2.4!F12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9" spans="1:4" ht="17.25" x14ac:dyDescent="0.2">
      <c r="A69" s="59" t="s">
        <v>85</v>
      </c>
      <c r="B69" s="58" t="s">
        <v>246</v>
      </c>
      <c r="C69" s="62">
        <f>[16]С2!F30</f>
        <v>500</v>
      </c>
      <c r="D69" s="145" t="s">
        <v>260</v>
      </c>
    </row>
    <row r="70" spans="1:4" ht="42.75" x14ac:dyDescent="0.2">
      <c r="A70" s="59" t="s">
        <v>87</v>
      </c>
      <c r="B70" s="33" t="s">
        <v>247</v>
      </c>
      <c r="C70" s="34">
        <f>[16]С2!F22</f>
        <v>39638.324046481182</v>
      </c>
      <c r="D70" s="145"/>
    </row>
    <row r="71" spans="1:4" ht="30" x14ac:dyDescent="0.2">
      <c r="A71" s="59" t="s">
        <v>89</v>
      </c>
      <c r="B71" s="60" t="s">
        <v>248</v>
      </c>
      <c r="C71" s="34">
        <f>[16]С2!F23</f>
        <v>21</v>
      </c>
      <c r="D71" s="145" t="s">
        <v>273</v>
      </c>
    </row>
    <row r="72" spans="1:4" ht="30" x14ac:dyDescent="0.2">
      <c r="A72" s="59" t="s">
        <v>91</v>
      </c>
      <c r="B72" s="53" t="s">
        <v>92</v>
      </c>
      <c r="C72" s="34">
        <f>[16]С2.1!E28</f>
        <v>14036.09995</v>
      </c>
      <c r="D72" s="145"/>
    </row>
    <row r="73" spans="1:4" ht="38.25" x14ac:dyDescent="0.2">
      <c r="A73" s="59" t="s">
        <v>93</v>
      </c>
      <c r="B73" s="65" t="s">
        <v>94</v>
      </c>
      <c r="C73" s="52">
        <f>[16]С2.3!E21</f>
        <v>0</v>
      </c>
      <c r="D73" s="145">
        <f>[16]С2.3!F21</f>
        <v>0</v>
      </c>
    </row>
    <row r="74" spans="1:4" ht="25.5" x14ac:dyDescent="0.2">
      <c r="A74" s="59" t="s">
        <v>95</v>
      </c>
      <c r="B74" s="66" t="s">
        <v>96</v>
      </c>
      <c r="C74" s="67">
        <f>[16]С2.3!E11</f>
        <v>5.45</v>
      </c>
      <c r="D74" s="145" t="s">
        <v>274</v>
      </c>
    </row>
    <row r="75" spans="1:4" ht="25.5" x14ac:dyDescent="0.2">
      <c r="A75" s="59" t="s">
        <v>97</v>
      </c>
      <c r="B75" s="66" t="s">
        <v>98</v>
      </c>
      <c r="C75" s="62">
        <f>[16]С2.3!E13</f>
        <v>300</v>
      </c>
      <c r="D75" s="145" t="s">
        <v>274</v>
      </c>
    </row>
    <row r="76" spans="1:4" ht="25.5" x14ac:dyDescent="0.2">
      <c r="A76" s="59" t="s">
        <v>99</v>
      </c>
      <c r="B76" s="65" t="s">
        <v>100</v>
      </c>
      <c r="C76" s="68">
        <f>IF([16]С2.3!E22&gt;0,[16]С2.3!E22,[16]С2.3!E14)</f>
        <v>61211</v>
      </c>
      <c r="D76" s="145" t="str">
        <f>IF(C76=[16]С2.3!E14,"Таблица ТЭП (IV)",[16]С2.3!F22)</f>
        <v>Таблица ТЭП (IV)</v>
      </c>
    </row>
    <row r="77" spans="1:4" ht="38.25" x14ac:dyDescent="0.2">
      <c r="A77" s="59" t="s">
        <v>101</v>
      </c>
      <c r="B77" s="65" t="s">
        <v>102</v>
      </c>
      <c r="C77" s="68">
        <f>IF([16]С2.3!E23&gt;0,[16]С2.3!E23,[16]С2.3!E15)</f>
        <v>45675</v>
      </c>
      <c r="D77" s="145" t="str">
        <f>IF(C77=[16]С2.3!E15,"Таблица ТЭП (IV)",[16]С2.3!F23)</f>
        <v>Таблица ТЭП (IV)</v>
      </c>
    </row>
    <row r="78" spans="1:4" ht="30" x14ac:dyDescent="0.2">
      <c r="A78" s="59" t="s">
        <v>103</v>
      </c>
      <c r="B78" s="53" t="s">
        <v>104</v>
      </c>
      <c r="C78" s="34">
        <f>[16]С2.1!E29</f>
        <v>9518.3274000000001</v>
      </c>
      <c r="D78" s="145"/>
    </row>
    <row r="79" spans="1:4" ht="38.25" x14ac:dyDescent="0.2">
      <c r="A79" s="59" t="s">
        <v>105</v>
      </c>
      <c r="B79" s="65" t="s">
        <v>106</v>
      </c>
      <c r="C79" s="52">
        <f>[16]С2.3!E25</f>
        <v>0</v>
      </c>
      <c r="D79" s="145">
        <f>[16]С2.3!F25</f>
        <v>0</v>
      </c>
    </row>
    <row r="80" spans="1:4" ht="25.5" x14ac:dyDescent="0.2">
      <c r="A80" s="59" t="s">
        <v>107</v>
      </c>
      <c r="B80" s="66" t="s">
        <v>108</v>
      </c>
      <c r="C80" s="67">
        <f>[16]С2.3!E12</f>
        <v>0.2</v>
      </c>
      <c r="D80" s="145" t="s">
        <v>274</v>
      </c>
    </row>
    <row r="81" spans="1:4" ht="25.5" x14ac:dyDescent="0.2">
      <c r="A81" s="59" t="s">
        <v>109</v>
      </c>
      <c r="B81" s="66" t="s">
        <v>98</v>
      </c>
      <c r="C81" s="62">
        <f>[16]С2.3!E13</f>
        <v>300</v>
      </c>
      <c r="D81" s="145" t="s">
        <v>274</v>
      </c>
    </row>
    <row r="82" spans="1:4" ht="25.5" x14ac:dyDescent="0.2">
      <c r="A82" s="59" t="s">
        <v>110</v>
      </c>
      <c r="B82" s="69" t="s">
        <v>111</v>
      </c>
      <c r="C82" s="68">
        <f>IF([16]С2.3!E26&gt;0,[16]С2.3!E26,[16]С2.3!E16)</f>
        <v>65637</v>
      </c>
      <c r="D82" s="145" t="str">
        <f>IF(C82=[16]С2.3!E16,"Таблица ТЭП (IV)",[16]С2.3!F26)</f>
        <v>Таблица ТЭП (IV)</v>
      </c>
    </row>
    <row r="83" spans="1:4" ht="38.25" x14ac:dyDescent="0.2">
      <c r="A83" s="59" t="s">
        <v>112</v>
      </c>
      <c r="B83" s="69" t="s">
        <v>113</v>
      </c>
      <c r="C83" s="68">
        <f>IF([16]С2.3!E27&gt;0,[16]С2.3!E27,[16]С2.3!E17)</f>
        <v>31684</v>
      </c>
      <c r="D83" s="145" t="str">
        <f>IF(C83=[16]С2.3!E17,"Таблица ТЭП (IV)",[16]С2.3!F27)</f>
        <v>Таблица ТЭП (IV)</v>
      </c>
    </row>
    <row r="84" spans="1:4" ht="30" x14ac:dyDescent="0.2">
      <c r="A84" s="59" t="s">
        <v>249</v>
      </c>
      <c r="B84" s="60" t="s">
        <v>250</v>
      </c>
      <c r="C84" s="68">
        <f>IF([16]С2.1!E19&gt;0,[16]С2.1!E19,[16]С2!F26)</f>
        <v>2892</v>
      </c>
      <c r="D84" s="145" t="str">
        <f>IF([16]С2.1!E19&gt;0,[16]С2.1!F19,"Таблица ТЭП (V)")</f>
        <v>Таблица ТЭП (V)</v>
      </c>
    </row>
    <row r="85" spans="1:4" ht="17.25" x14ac:dyDescent="0.2">
      <c r="A85" s="59" t="s">
        <v>114</v>
      </c>
      <c r="B85" s="33" t="s">
        <v>115</v>
      </c>
      <c r="C85" s="35">
        <f>[16]С2!F31</f>
        <v>9.5962865259740182E-2</v>
      </c>
      <c r="D85" s="151"/>
    </row>
    <row r="86" spans="1:4" ht="38.25" x14ac:dyDescent="0.2">
      <c r="A86" s="59" t="s">
        <v>116</v>
      </c>
      <c r="B86" s="53" t="s">
        <v>117</v>
      </c>
      <c r="C86" s="70">
        <f>[16]С2!F32</f>
        <v>8.4029304029304031E-2</v>
      </c>
      <c r="D86" s="145" t="str">
        <f>[16]С2.6!G11</f>
        <v>Информация с официального сайта Банка России</v>
      </c>
    </row>
    <row r="87" spans="1:4" ht="17.25" x14ac:dyDescent="0.2">
      <c r="A87" s="59" t="s">
        <v>118</v>
      </c>
      <c r="B87" s="71" t="s">
        <v>119</v>
      </c>
      <c r="C87" s="35">
        <f>[16]С2!F33</f>
        <v>0.13880000000000001</v>
      </c>
      <c r="D87" s="145" t="s">
        <v>272</v>
      </c>
    </row>
    <row r="88" spans="1:4" s="63" customFormat="1" ht="18" thickBot="1" x14ac:dyDescent="0.25">
      <c r="A88" s="72" t="s">
        <v>120</v>
      </c>
      <c r="B88" s="73" t="s">
        <v>121</v>
      </c>
      <c r="C88" s="74">
        <f>[16]С2!F34</f>
        <v>0.12640000000000001</v>
      </c>
      <c r="D88" s="148" t="s">
        <v>272</v>
      </c>
    </row>
    <row r="89" spans="1:4" ht="13.5" thickBot="1" x14ac:dyDescent="0.25">
      <c r="A89" s="47"/>
      <c r="B89" s="75"/>
      <c r="C89" s="15"/>
      <c r="D89" s="160"/>
    </row>
    <row r="90" spans="1:4" s="63" customFormat="1" ht="30" customHeight="1" x14ac:dyDescent="0.2">
      <c r="A90" s="76" t="s">
        <v>122</v>
      </c>
      <c r="B90" s="165" t="s">
        <v>123</v>
      </c>
      <c r="C90" s="165"/>
      <c r="D90" s="170"/>
    </row>
    <row r="91" spans="1:4" s="63" customFormat="1" ht="30" x14ac:dyDescent="0.2">
      <c r="A91" s="77" t="s">
        <v>124</v>
      </c>
      <c r="B91" s="33" t="s">
        <v>125</v>
      </c>
      <c r="C91" s="34">
        <f>[16]С3!F14</f>
        <v>4207.4782939208517</v>
      </c>
      <c r="D91" s="145"/>
    </row>
    <row r="92" spans="1:4" s="63" customFormat="1" ht="42.75" x14ac:dyDescent="0.2">
      <c r="A92" s="77" t="s">
        <v>126</v>
      </c>
      <c r="B92" s="53" t="s">
        <v>127</v>
      </c>
      <c r="C92" s="78">
        <f>[16]С3!F15</f>
        <v>0.2</v>
      </c>
      <c r="D92" s="145" t="str">
        <f>[16]С3.1!F12</f>
        <v xml:space="preserve">Налоговый кодекс Российской Федерации </v>
      </c>
    </row>
    <row r="93" spans="1:4" s="63" customFormat="1" ht="14.25" x14ac:dyDescent="0.2">
      <c r="A93" s="77" t="s">
        <v>128</v>
      </c>
      <c r="B93" s="79" t="s">
        <v>129</v>
      </c>
      <c r="C93" s="62">
        <f>[16]С3!F18</f>
        <v>15</v>
      </c>
      <c r="D93" s="145" t="s">
        <v>272</v>
      </c>
    </row>
    <row r="94" spans="1:4" s="63" customFormat="1" ht="17.25" x14ac:dyDescent="0.2">
      <c r="A94" s="77" t="s">
        <v>130</v>
      </c>
      <c r="B94" s="33" t="s">
        <v>131</v>
      </c>
      <c r="C94" s="34">
        <f>[16]С3!F19</f>
        <v>2638.2577020926874</v>
      </c>
      <c r="D94" s="145"/>
    </row>
    <row r="95" spans="1:4" s="63" customFormat="1" ht="55.5" x14ac:dyDescent="0.2">
      <c r="A95" s="77" t="s">
        <v>132</v>
      </c>
      <c r="B95" s="53" t="s">
        <v>133</v>
      </c>
      <c r="C95" s="80">
        <f>[16]С3!F20</f>
        <v>2.1999999999999999E-2</v>
      </c>
      <c r="D95" s="145" t="str">
        <f>[16]С3.1!F13</f>
        <v xml:space="preserve">Налоговый кодекс Российской Федерации </v>
      </c>
    </row>
    <row r="96" spans="1:4" s="63" customFormat="1" ht="14.25" x14ac:dyDescent="0.2">
      <c r="A96" s="77" t="s">
        <v>134</v>
      </c>
      <c r="B96" s="58" t="s">
        <v>80</v>
      </c>
      <c r="C96" s="62">
        <f>[16]С3!F21</f>
        <v>10</v>
      </c>
      <c r="D96" s="145" t="s">
        <v>272</v>
      </c>
    </row>
    <row r="97" spans="1:4" s="63" customFormat="1" ht="17.25" x14ac:dyDescent="0.2">
      <c r="A97" s="77" t="s">
        <v>135</v>
      </c>
      <c r="B97" s="33" t="s">
        <v>136</v>
      </c>
      <c r="C97" s="34">
        <f>[16]С3!F22</f>
        <v>0.99313812922960332</v>
      </c>
      <c r="D97" s="145"/>
    </row>
    <row r="98" spans="1:4" s="63" customFormat="1" ht="55.5" x14ac:dyDescent="0.2">
      <c r="A98" s="77" t="s">
        <v>137</v>
      </c>
      <c r="B98" s="53" t="s">
        <v>138</v>
      </c>
      <c r="C98" s="80">
        <f>[16]С3!F23</f>
        <v>3.0000000000000001E-3</v>
      </c>
      <c r="D98" s="145">
        <f>[16]С3.1!F14</f>
        <v>0</v>
      </c>
    </row>
    <row r="99" spans="1:4" s="63" customFormat="1" ht="30.75" thickBot="1" x14ac:dyDescent="0.25">
      <c r="A99" s="81" t="s">
        <v>139</v>
      </c>
      <c r="B99" s="82" t="s">
        <v>82</v>
      </c>
      <c r="C99" s="83">
        <f>[16]С3!F24</f>
        <v>331.04604307653443</v>
      </c>
      <c r="D99" s="148"/>
    </row>
    <row r="100" spans="1:4" ht="13.5" thickBot="1" x14ac:dyDescent="0.25">
      <c r="A100" s="47"/>
      <c r="B100" s="75"/>
      <c r="C100" s="15"/>
      <c r="D100" s="160"/>
    </row>
    <row r="101" spans="1:4" ht="30" customHeight="1" x14ac:dyDescent="0.2">
      <c r="A101" s="84" t="s">
        <v>141</v>
      </c>
      <c r="B101" s="165" t="s">
        <v>142</v>
      </c>
      <c r="C101" s="165"/>
      <c r="D101" s="170"/>
    </row>
    <row r="102" spans="1:4" ht="30" x14ac:dyDescent="0.2">
      <c r="A102" s="59" t="s">
        <v>143</v>
      </c>
      <c r="B102" s="33" t="s">
        <v>251</v>
      </c>
      <c r="C102" s="34">
        <f>[16]С4!F16</f>
        <v>832.33500000000004</v>
      </c>
      <c r="D102" s="145"/>
    </row>
    <row r="103" spans="1:4" ht="30" x14ac:dyDescent="0.2">
      <c r="A103" s="59" t="s">
        <v>145</v>
      </c>
      <c r="B103" s="58" t="s">
        <v>252</v>
      </c>
      <c r="C103" s="34">
        <f>[16]С4!F17</f>
        <v>43385</v>
      </c>
      <c r="D103" s="145" t="s">
        <v>260</v>
      </c>
    </row>
    <row r="104" spans="1:4" ht="17.25" x14ac:dyDescent="0.2">
      <c r="A104" s="59" t="s">
        <v>147</v>
      </c>
      <c r="B104" s="58" t="s">
        <v>148</v>
      </c>
      <c r="C104" s="40">
        <f>[16]С4!F18</f>
        <v>1.4999999999999999E-2</v>
      </c>
      <c r="D104" s="145" t="s">
        <v>260</v>
      </c>
    </row>
    <row r="105" spans="1:4" ht="30" x14ac:dyDescent="0.2">
      <c r="A105" s="59" t="s">
        <v>149</v>
      </c>
      <c r="B105" s="58" t="s">
        <v>150</v>
      </c>
      <c r="C105" s="34">
        <f>[16]С4!F19</f>
        <v>12104</v>
      </c>
      <c r="D105" s="145" t="s">
        <v>275</v>
      </c>
    </row>
    <row r="106" spans="1:4" ht="31.5" x14ac:dyDescent="0.2">
      <c r="A106" s="59" t="s">
        <v>151</v>
      </c>
      <c r="B106" s="58" t="s">
        <v>152</v>
      </c>
      <c r="C106" s="40">
        <f>[16]С4!F20</f>
        <v>1.4999999999999999E-2</v>
      </c>
      <c r="D106" s="145" t="s">
        <v>275</v>
      </c>
    </row>
    <row r="107" spans="1:4" ht="30" x14ac:dyDescent="0.2">
      <c r="A107" s="59" t="s">
        <v>153</v>
      </c>
      <c r="B107" s="33" t="s">
        <v>253</v>
      </c>
      <c r="C107" s="34">
        <f>[16]С4!F21</f>
        <v>1221.9019409821399</v>
      </c>
      <c r="D107" s="145"/>
    </row>
    <row r="108" spans="1:4" ht="45.6" customHeight="1" x14ac:dyDescent="0.2">
      <c r="A108" s="59" t="s">
        <v>155</v>
      </c>
      <c r="B108" s="53" t="s">
        <v>156</v>
      </c>
      <c r="C108" s="85" t="str">
        <f>IF([16]С4.2!F8="да",[16]С4.2!D21,[16]С4.2!D15)</f>
        <v>АО "Новосибирскэнергосбыт"</v>
      </c>
      <c r="D108" s="145"/>
    </row>
    <row r="109" spans="1:4" ht="68.25" customHeight="1" x14ac:dyDescent="0.2">
      <c r="A109" s="59" t="s">
        <v>157</v>
      </c>
      <c r="B109" s="53" t="s">
        <v>158</v>
      </c>
      <c r="C109" s="34">
        <f>[16]С4!F22</f>
        <v>3.6112641666666665</v>
      </c>
      <c r="D109" s="145" t="str">
        <f>IF([16]С4.2!F8="да",[16]С4.2!E21,[16]С4.2!E15)</f>
        <v>https://www.nskes.ru/dlya-biznesa/tarify-i-oplata/nereguliruemye-tseny/</v>
      </c>
    </row>
    <row r="110" spans="1:4" ht="30" x14ac:dyDescent="0.2">
      <c r="A110" s="59" t="s">
        <v>159</v>
      </c>
      <c r="B110" s="58" t="s">
        <v>254</v>
      </c>
      <c r="C110" s="62">
        <f>[16]С4!F23</f>
        <v>110</v>
      </c>
      <c r="D110" s="145" t="s">
        <v>273</v>
      </c>
    </row>
    <row r="111" spans="1:4" ht="14.25" x14ac:dyDescent="0.2">
      <c r="A111" s="59" t="s">
        <v>161</v>
      </c>
      <c r="B111" s="53" t="s">
        <v>162</v>
      </c>
      <c r="C111" s="34">
        <f>[16]С4!F24</f>
        <v>8497.1999999999989</v>
      </c>
      <c r="D111" s="145" t="s">
        <v>260</v>
      </c>
    </row>
    <row r="112" spans="1:4" ht="14.25" x14ac:dyDescent="0.2">
      <c r="A112" s="59" t="s">
        <v>163</v>
      </c>
      <c r="B112" s="58" t="s">
        <v>164</v>
      </c>
      <c r="C112" s="40">
        <f>[16]С4!F25</f>
        <v>0.36199999999999999</v>
      </c>
      <c r="D112" s="145" t="s">
        <v>276</v>
      </c>
    </row>
    <row r="113" spans="1:4" ht="17.25" x14ac:dyDescent="0.2">
      <c r="A113" s="59" t="s">
        <v>165</v>
      </c>
      <c r="B113" s="33" t="s">
        <v>166</v>
      </c>
      <c r="C113" s="34">
        <f>[16]С4!F26</f>
        <v>40.123830000000005</v>
      </c>
      <c r="D113" s="145"/>
    </row>
    <row r="114" spans="1:4" ht="25.5" x14ac:dyDescent="0.2">
      <c r="A114" s="59" t="s">
        <v>167</v>
      </c>
      <c r="B114" s="53" t="s">
        <v>94</v>
      </c>
      <c r="C114" s="85">
        <f>[16]С4.3!E16</f>
        <v>0</v>
      </c>
      <c r="D114" s="145">
        <f>[16]С4.3!F16</f>
        <v>0</v>
      </c>
    </row>
    <row r="115" spans="1:4" ht="25.5" x14ac:dyDescent="0.2">
      <c r="A115" s="59" t="s">
        <v>168</v>
      </c>
      <c r="B115" s="53" t="s">
        <v>169</v>
      </c>
      <c r="C115" s="34">
        <f>[16]С4.3!E17</f>
        <v>18.059999999999999</v>
      </c>
      <c r="D115" s="150">
        <f>[16]С4.3!F17</f>
        <v>0</v>
      </c>
    </row>
    <row r="116" spans="1:4" ht="38.25" x14ac:dyDescent="0.2">
      <c r="A116" s="59" t="s">
        <v>170</v>
      </c>
      <c r="B116" s="53" t="s">
        <v>106</v>
      </c>
      <c r="C116" s="85">
        <f>[16]С4.3!E18</f>
        <v>0</v>
      </c>
      <c r="D116" s="145">
        <f>[16]С4.3!F18</f>
        <v>0</v>
      </c>
    </row>
    <row r="117" spans="1:4" x14ac:dyDescent="0.2">
      <c r="A117" s="59" t="s">
        <v>171</v>
      </c>
      <c r="B117" s="53" t="s">
        <v>172</v>
      </c>
      <c r="C117" s="34">
        <f>[16]С4.3!E19</f>
        <v>71.67</v>
      </c>
      <c r="D117" s="150">
        <f>[16]С4.3!F19</f>
        <v>0</v>
      </c>
    </row>
    <row r="118" spans="1:4" x14ac:dyDescent="0.2">
      <c r="A118" s="59" t="s">
        <v>173</v>
      </c>
      <c r="B118" s="58" t="s">
        <v>174</v>
      </c>
      <c r="C118" s="62">
        <f>[16]С4.3!E11</f>
        <v>1871</v>
      </c>
      <c r="D118" s="145" t="s">
        <v>260</v>
      </c>
    </row>
    <row r="119" spans="1:4" x14ac:dyDescent="0.2">
      <c r="A119" s="59" t="s">
        <v>175</v>
      </c>
      <c r="B119" s="58" t="s">
        <v>176</v>
      </c>
      <c r="C119" s="52">
        <f>[16]С4.3!E12</f>
        <v>61</v>
      </c>
      <c r="D119" s="145" t="s">
        <v>260</v>
      </c>
    </row>
    <row r="120" spans="1:4" x14ac:dyDescent="0.2">
      <c r="A120" s="59" t="s">
        <v>177</v>
      </c>
      <c r="B120" s="58" t="s">
        <v>178</v>
      </c>
      <c r="C120" s="52">
        <f>[16]С4.3!E13</f>
        <v>73</v>
      </c>
      <c r="D120" s="145" t="s">
        <v>260</v>
      </c>
    </row>
    <row r="121" spans="1:4" ht="30" x14ac:dyDescent="0.2">
      <c r="A121" s="59" t="s">
        <v>179</v>
      </c>
      <c r="B121" s="33" t="s">
        <v>255</v>
      </c>
      <c r="C121" s="34">
        <f>[16]С4!F27</f>
        <v>904.62444244124072</v>
      </c>
      <c r="D121" s="145"/>
    </row>
    <row r="122" spans="1:4" ht="25.5" x14ac:dyDescent="0.2">
      <c r="A122" s="59" t="s">
        <v>181</v>
      </c>
      <c r="B122" s="53" t="s">
        <v>256</v>
      </c>
      <c r="C122" s="34">
        <f>[16]С4!F28</f>
        <v>694.79603874135228</v>
      </c>
      <c r="D122" s="150"/>
    </row>
    <row r="123" spans="1:4" ht="42.75" x14ac:dyDescent="0.2">
      <c r="A123" s="59" t="s">
        <v>183</v>
      </c>
      <c r="B123" s="53" t="s">
        <v>184</v>
      </c>
      <c r="C123" s="34">
        <f>[16]С4!F29</f>
        <v>209.82840369988838</v>
      </c>
      <c r="D123" s="145"/>
    </row>
    <row r="124" spans="1:4" ht="30.75" thickBot="1" x14ac:dyDescent="0.25">
      <c r="A124" s="72" t="s">
        <v>185</v>
      </c>
      <c r="B124" s="90" t="s">
        <v>186</v>
      </c>
      <c r="C124" s="83">
        <f>[16]С4!F30</f>
        <v>475.40681839948314</v>
      </c>
      <c r="D124" s="148"/>
    </row>
    <row r="125" spans="1:4" s="89" customFormat="1" ht="13.5" thickBot="1" x14ac:dyDescent="0.25">
      <c r="A125" s="47"/>
      <c r="B125" s="75"/>
      <c r="C125" s="15"/>
      <c r="D125" s="160"/>
    </row>
    <row r="126" spans="1:4" s="63" customFormat="1" ht="30" customHeight="1" x14ac:dyDescent="0.2">
      <c r="A126" s="76" t="s">
        <v>195</v>
      </c>
      <c r="B126" s="165" t="s">
        <v>196</v>
      </c>
      <c r="C126" s="165"/>
      <c r="D126" s="170"/>
    </row>
    <row r="127" spans="1:4" ht="30.6" customHeight="1" thickBot="1" x14ac:dyDescent="0.25">
      <c r="A127" s="27" t="s">
        <v>197</v>
      </c>
      <c r="B127" s="90" t="s">
        <v>198</v>
      </c>
      <c r="C127" s="83">
        <f>[16]С5!F17</f>
        <v>0.02</v>
      </c>
      <c r="D127" s="155" t="s">
        <v>261</v>
      </c>
    </row>
    <row r="128" spans="1:4" s="89" customFormat="1" ht="13.5" thickBot="1" x14ac:dyDescent="0.25">
      <c r="A128" s="47"/>
      <c r="B128" s="75"/>
      <c r="C128" s="15"/>
      <c r="D128" s="160"/>
    </row>
    <row r="129" spans="1:5" ht="42.75" customHeight="1" x14ac:dyDescent="0.2">
      <c r="A129" s="84" t="s">
        <v>199</v>
      </c>
      <c r="B129" s="165" t="s">
        <v>200</v>
      </c>
      <c r="C129" s="165"/>
      <c r="D129" s="170"/>
    </row>
    <row r="130" spans="1:5" ht="68.25" x14ac:dyDescent="0.2">
      <c r="A130" s="59" t="s">
        <v>201</v>
      </c>
      <c r="B130" s="91" t="s">
        <v>202</v>
      </c>
      <c r="C130" s="34" t="str">
        <f>IF([16]С6.1!E11="нет",[16]С6!F13,"")</f>
        <v/>
      </c>
      <c r="D130" s="145"/>
    </row>
    <row r="131" spans="1:5" ht="42.75" x14ac:dyDescent="0.2">
      <c r="A131" s="59" t="s">
        <v>204</v>
      </c>
      <c r="B131" s="86" t="s">
        <v>205</v>
      </c>
      <c r="C131" s="92" t="str">
        <f>IF([16]С6.1!E12="нет",[16]С6.1!E17,"")</f>
        <v/>
      </c>
      <c r="D131" s="145" t="str">
        <f>IF([16]С6.1!E12="нет",[16]С6.1!F17,"")</f>
        <v/>
      </c>
    </row>
    <row r="132" spans="1:5" ht="68.25" x14ac:dyDescent="0.2">
      <c r="A132" s="59" t="s">
        <v>206</v>
      </c>
      <c r="B132" s="91" t="s">
        <v>207</v>
      </c>
      <c r="C132" s="127" t="str">
        <f>IF([16]С6.1!E18="нет",[16]С6!F19,"")</f>
        <v/>
      </c>
      <c r="D132" s="147"/>
    </row>
    <row r="133" spans="1:5" ht="55.5" x14ac:dyDescent="0.2">
      <c r="A133" s="59" t="s">
        <v>208</v>
      </c>
      <c r="B133" s="86" t="s">
        <v>209</v>
      </c>
      <c r="C133" s="35" t="str">
        <f>IF([16]С6.1!E18="нет",[16]С6.1!E19,"")</f>
        <v/>
      </c>
      <c r="D133" s="145" t="str">
        <f>IF([16]С6.1!E18="нет",[16]С6.1!F19,"")</f>
        <v/>
      </c>
    </row>
    <row r="134" spans="1:5" ht="61.5" customHeight="1" x14ac:dyDescent="0.2">
      <c r="A134" s="59" t="s">
        <v>210</v>
      </c>
      <c r="B134" s="86" t="s">
        <v>257</v>
      </c>
      <c r="C134" s="35" t="str">
        <f>IF([16]С6.1!E18="нет",[16]С6.1!E22,"")</f>
        <v/>
      </c>
      <c r="D134" s="145" t="str">
        <f>IF([16]С6.1!E18="нет",[16]С6.1!F22,"")</f>
        <v/>
      </c>
    </row>
    <row r="135" spans="1:5" ht="69" thickBot="1" x14ac:dyDescent="0.25">
      <c r="A135" s="72" t="s">
        <v>212</v>
      </c>
      <c r="B135" s="98" t="s">
        <v>213</v>
      </c>
      <c r="C135" s="74" t="str">
        <f>IF([16]С6.1!E18="нет",[16]С6.1!E23,"")</f>
        <v/>
      </c>
      <c r="D135" s="148" t="str">
        <f>IF([16]С6.1!E18="нет",[16]С6.1!F23,"")</f>
        <v/>
      </c>
    </row>
    <row r="136" spans="1:5" s="89" customFormat="1" ht="13.5" thickBot="1" x14ac:dyDescent="0.25">
      <c r="A136" s="47"/>
      <c r="B136" s="75"/>
      <c r="C136" s="15"/>
      <c r="D136" s="160"/>
    </row>
    <row r="137" spans="1:5" ht="15.75" x14ac:dyDescent="0.2">
      <c r="A137" s="84" t="s">
        <v>214</v>
      </c>
      <c r="B137" s="99" t="s">
        <v>215</v>
      </c>
      <c r="C137" s="100">
        <f>[16]С2!F39</f>
        <v>21.531904799999996</v>
      </c>
      <c r="D137" s="157"/>
    </row>
    <row r="138" spans="1:5" ht="14.25" x14ac:dyDescent="0.2">
      <c r="A138" s="59" t="s">
        <v>216</v>
      </c>
      <c r="B138" s="58" t="s">
        <v>217</v>
      </c>
      <c r="C138" s="34">
        <f>[16]С2!F40</f>
        <v>7</v>
      </c>
      <c r="D138" s="145" t="s">
        <v>260</v>
      </c>
    </row>
    <row r="139" spans="1:5" ht="17.25" x14ac:dyDescent="0.2">
      <c r="A139" s="59" t="s">
        <v>218</v>
      </c>
      <c r="B139" s="58" t="s">
        <v>219</v>
      </c>
      <c r="C139" s="34">
        <f>[16]С2!F42</f>
        <v>0.97</v>
      </c>
      <c r="D139" s="145" t="s">
        <v>260</v>
      </c>
    </row>
    <row r="140" spans="1:5" ht="15" thickBot="1" x14ac:dyDescent="0.25">
      <c r="A140" s="72" t="s">
        <v>220</v>
      </c>
      <c r="B140" s="73" t="s">
        <v>221</v>
      </c>
      <c r="C140" s="46">
        <f>[16]С2!F44</f>
        <v>0.36199999999999999</v>
      </c>
      <c r="D140" s="148" t="s">
        <v>276</v>
      </c>
    </row>
    <row r="141" spans="1:5" s="89" customFormat="1" ht="13.5" thickBot="1" x14ac:dyDescent="0.25">
      <c r="A141" s="47"/>
      <c r="B141" s="75"/>
      <c r="C141" s="15"/>
      <c r="D141" s="160"/>
    </row>
    <row r="142" spans="1:5" ht="409.5" x14ac:dyDescent="0.2">
      <c r="A142" s="84" t="s">
        <v>222</v>
      </c>
      <c r="B142" s="103" t="s">
        <v>258</v>
      </c>
      <c r="C142" s="128">
        <f>[16]С2!F37</f>
        <v>1.4976266307379205</v>
      </c>
      <c r="D142" s="157" t="str">
        <f>[16]С2.5!D15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2" s="89"/>
    </row>
    <row r="143" spans="1:5" ht="17.25" customHeight="1" thickBot="1" x14ac:dyDescent="0.25">
      <c r="A143" s="72" t="s">
        <v>224</v>
      </c>
      <c r="B143" s="161" t="s">
        <v>225</v>
      </c>
      <c r="C143" s="161"/>
      <c r="D143" s="168"/>
      <c r="E143" s="89"/>
    </row>
    <row r="144" spans="1:5" x14ac:dyDescent="0.2">
      <c r="A144" s="105"/>
      <c r="B144" s="129" t="s">
        <v>226</v>
      </c>
      <c r="C144" s="130"/>
      <c r="D144" s="9"/>
    </row>
    <row r="145" spans="1:4" x14ac:dyDescent="0.2">
      <c r="A145" s="105"/>
      <c r="B145" s="131">
        <v>2020</v>
      </c>
      <c r="C145" s="132">
        <f>[16]С2.5!$E$11</f>
        <v>-2.9000000000000026E-2</v>
      </c>
      <c r="D145" s="9"/>
    </row>
    <row r="146" spans="1:4" x14ac:dyDescent="0.2">
      <c r="B146" s="131">
        <f>B145+1</f>
        <v>2021</v>
      </c>
      <c r="C146" s="133">
        <f>[16]С2.5!$F$11</f>
        <v>0.245</v>
      </c>
    </row>
    <row r="147" spans="1:4" x14ac:dyDescent="0.2">
      <c r="B147" s="131">
        <f t="shared" ref="B147:B210" si="0">B146+1</f>
        <v>2022</v>
      </c>
      <c r="C147" s="134">
        <f>[16]С2.5!$G$11</f>
        <v>0.114</v>
      </c>
    </row>
    <row r="148" spans="1:4" x14ac:dyDescent="0.2">
      <c r="B148" s="110">
        <f t="shared" si="0"/>
        <v>2023</v>
      </c>
      <c r="C148" s="135">
        <f>[16]С2.5!$H$11</f>
        <v>2.4E-2</v>
      </c>
    </row>
    <row r="149" spans="1:4" ht="13.5" thickBot="1" x14ac:dyDescent="0.25">
      <c r="B149" s="110">
        <f t="shared" si="0"/>
        <v>2024</v>
      </c>
      <c r="C149" s="135">
        <f>[16]С2.5!$I$11</f>
        <v>8.5999999999999993E-2</v>
      </c>
    </row>
    <row r="150" spans="1:4" ht="13.5" hidden="1" thickBot="1" x14ac:dyDescent="0.25">
      <c r="B150" s="110">
        <f t="shared" si="0"/>
        <v>2025</v>
      </c>
      <c r="C150" s="135">
        <f>[16]С2.5!$J$11</f>
        <v>0</v>
      </c>
    </row>
    <row r="151" spans="1:4" ht="13.5" hidden="1" thickBot="1" x14ac:dyDescent="0.25">
      <c r="B151" s="110">
        <f t="shared" si="0"/>
        <v>2026</v>
      </c>
      <c r="C151" s="135">
        <f>[16]С2.5!$K$11</f>
        <v>0</v>
      </c>
    </row>
    <row r="152" spans="1:4" ht="13.5" hidden="1" thickBot="1" x14ac:dyDescent="0.25">
      <c r="B152" s="110">
        <f t="shared" si="0"/>
        <v>2027</v>
      </c>
      <c r="C152" s="135">
        <f>[16]С2.5!$L$11</f>
        <v>0</v>
      </c>
    </row>
    <row r="153" spans="1:4" ht="13.5" hidden="1" thickBot="1" x14ac:dyDescent="0.25">
      <c r="B153" s="110">
        <f t="shared" si="0"/>
        <v>2028</v>
      </c>
      <c r="C153" s="135">
        <f>[16]С2.5!$M$11</f>
        <v>0</v>
      </c>
    </row>
    <row r="154" spans="1:4" ht="13.5" hidden="1" thickBot="1" x14ac:dyDescent="0.25">
      <c r="B154" s="110">
        <f t="shared" si="0"/>
        <v>2029</v>
      </c>
      <c r="C154" s="135">
        <f>[16]С2.5!$N$11</f>
        <v>0</v>
      </c>
    </row>
    <row r="155" spans="1:4" ht="13.5" hidden="1" thickBot="1" x14ac:dyDescent="0.25">
      <c r="B155" s="110">
        <f t="shared" si="0"/>
        <v>2030</v>
      </c>
      <c r="C155" s="135">
        <f>[16]С2.5!$O$11</f>
        <v>0</v>
      </c>
    </row>
    <row r="156" spans="1:4" ht="13.5" hidden="1" thickBot="1" x14ac:dyDescent="0.25">
      <c r="B156" s="110">
        <f t="shared" si="0"/>
        <v>2031</v>
      </c>
      <c r="C156" s="135">
        <f>[16]С2.5!$P$11</f>
        <v>0</v>
      </c>
    </row>
    <row r="157" spans="1:4" ht="13.5" hidden="1" thickBot="1" x14ac:dyDescent="0.25">
      <c r="B157" s="110">
        <f t="shared" si="0"/>
        <v>2032</v>
      </c>
      <c r="C157" s="135">
        <f>[16]С2.5!$Q$11</f>
        <v>0</v>
      </c>
    </row>
    <row r="158" spans="1:4" ht="13.5" hidden="1" thickBot="1" x14ac:dyDescent="0.25">
      <c r="B158" s="110">
        <f t="shared" si="0"/>
        <v>2033</v>
      </c>
      <c r="C158" s="135">
        <f>[16]С2.5!$R$11</f>
        <v>0</v>
      </c>
    </row>
    <row r="159" spans="1:4" ht="13.5" hidden="1" thickBot="1" x14ac:dyDescent="0.25">
      <c r="B159" s="110">
        <f t="shared" si="0"/>
        <v>2034</v>
      </c>
      <c r="C159" s="135">
        <f>[16]С2.5!$S$11</f>
        <v>0</v>
      </c>
    </row>
    <row r="160" spans="1:4" ht="13.5" hidden="1" thickBot="1" x14ac:dyDescent="0.25">
      <c r="B160" s="110">
        <f t="shared" si="0"/>
        <v>2035</v>
      </c>
      <c r="C160" s="135">
        <f>[16]С2.5!$T$11</f>
        <v>0</v>
      </c>
    </row>
    <row r="161" spans="2:3" s="2" customFormat="1" ht="13.5" hidden="1" thickBot="1" x14ac:dyDescent="0.25">
      <c r="B161" s="110">
        <f t="shared" si="0"/>
        <v>2036</v>
      </c>
      <c r="C161" s="135">
        <f>[16]С2.5!$U$11</f>
        <v>0</v>
      </c>
    </row>
    <row r="162" spans="2:3" s="2" customFormat="1" ht="13.5" hidden="1" thickBot="1" x14ac:dyDescent="0.25">
      <c r="B162" s="110">
        <f t="shared" si="0"/>
        <v>2037</v>
      </c>
      <c r="C162" s="135">
        <f>[16]С2.5!$V$11</f>
        <v>0</v>
      </c>
    </row>
    <row r="163" spans="2:3" s="2" customFormat="1" ht="13.5" hidden="1" thickBot="1" x14ac:dyDescent="0.25">
      <c r="B163" s="110">
        <f t="shared" si="0"/>
        <v>2038</v>
      </c>
      <c r="C163" s="135">
        <f>[16]С2.5!$W$11</f>
        <v>0</v>
      </c>
    </row>
    <row r="164" spans="2:3" s="2" customFormat="1" ht="13.5" hidden="1" thickBot="1" x14ac:dyDescent="0.25">
      <c r="B164" s="110">
        <f t="shared" si="0"/>
        <v>2039</v>
      </c>
      <c r="C164" s="135">
        <f>[16]С2.5!$X$11</f>
        <v>0</v>
      </c>
    </row>
    <row r="165" spans="2:3" s="2" customFormat="1" ht="13.5" hidden="1" thickBot="1" x14ac:dyDescent="0.25">
      <c r="B165" s="110">
        <f t="shared" si="0"/>
        <v>2040</v>
      </c>
      <c r="C165" s="135">
        <f>[16]С2.5!$Y$11</f>
        <v>0</v>
      </c>
    </row>
    <row r="166" spans="2:3" s="2" customFormat="1" ht="13.5" hidden="1" thickBot="1" x14ac:dyDescent="0.25">
      <c r="B166" s="110">
        <f t="shared" si="0"/>
        <v>2041</v>
      </c>
      <c r="C166" s="135">
        <f>[16]С2.5!$Z$11</f>
        <v>0</v>
      </c>
    </row>
    <row r="167" spans="2:3" s="2" customFormat="1" ht="13.5" hidden="1" thickBot="1" x14ac:dyDescent="0.25">
      <c r="B167" s="110">
        <f t="shared" si="0"/>
        <v>2042</v>
      </c>
      <c r="C167" s="135">
        <f>[16]С2.5!$AA$11</f>
        <v>0</v>
      </c>
    </row>
    <row r="168" spans="2:3" s="2" customFormat="1" ht="13.5" hidden="1" thickBot="1" x14ac:dyDescent="0.25">
      <c r="B168" s="110">
        <f t="shared" si="0"/>
        <v>2043</v>
      </c>
      <c r="C168" s="135">
        <f>[16]С2.5!$AB$11</f>
        <v>0</v>
      </c>
    </row>
    <row r="169" spans="2:3" s="2" customFormat="1" ht="13.5" hidden="1" thickBot="1" x14ac:dyDescent="0.25">
      <c r="B169" s="110">
        <f t="shared" si="0"/>
        <v>2044</v>
      </c>
      <c r="C169" s="135">
        <f>[16]С2.5!$AC$11</f>
        <v>0</v>
      </c>
    </row>
    <row r="170" spans="2:3" s="2" customFormat="1" ht="13.5" hidden="1" thickBot="1" x14ac:dyDescent="0.25">
      <c r="B170" s="110">
        <f t="shared" si="0"/>
        <v>2045</v>
      </c>
      <c r="C170" s="135">
        <f>[16]С2.5!$AD$11</f>
        <v>0</v>
      </c>
    </row>
    <row r="171" spans="2:3" s="2" customFormat="1" ht="13.5" hidden="1" thickBot="1" x14ac:dyDescent="0.25">
      <c r="B171" s="110">
        <f t="shared" si="0"/>
        <v>2046</v>
      </c>
      <c r="C171" s="135">
        <f>[16]С2.5!$AE$11</f>
        <v>0</v>
      </c>
    </row>
    <row r="172" spans="2:3" s="2" customFormat="1" ht="13.5" hidden="1" thickBot="1" x14ac:dyDescent="0.25">
      <c r="B172" s="110">
        <f t="shared" si="0"/>
        <v>2047</v>
      </c>
      <c r="C172" s="135">
        <f>[16]С2.5!$AF$11</f>
        <v>0</v>
      </c>
    </row>
    <row r="173" spans="2:3" s="2" customFormat="1" ht="13.5" hidden="1" thickBot="1" x14ac:dyDescent="0.25">
      <c r="B173" s="110">
        <f t="shared" si="0"/>
        <v>2048</v>
      </c>
      <c r="C173" s="135">
        <f>[16]С2.5!$AG$11</f>
        <v>0</v>
      </c>
    </row>
    <row r="174" spans="2:3" s="2" customFormat="1" ht="13.5" hidden="1" thickBot="1" x14ac:dyDescent="0.25">
      <c r="B174" s="110">
        <f t="shared" si="0"/>
        <v>2049</v>
      </c>
      <c r="C174" s="135">
        <f>[16]С2.5!$AH$11</f>
        <v>0</v>
      </c>
    </row>
    <row r="175" spans="2:3" s="2" customFormat="1" ht="13.5" hidden="1" thickBot="1" x14ac:dyDescent="0.25">
      <c r="B175" s="110">
        <f t="shared" si="0"/>
        <v>2050</v>
      </c>
      <c r="C175" s="135">
        <f>[16]С2.5!$AI$11</f>
        <v>0</v>
      </c>
    </row>
    <row r="176" spans="2:3" s="2" customFormat="1" ht="13.5" hidden="1" thickBot="1" x14ac:dyDescent="0.25">
      <c r="B176" s="110">
        <f t="shared" si="0"/>
        <v>2051</v>
      </c>
      <c r="C176" s="135">
        <f>[16]С2.5!$AJ$11</f>
        <v>0</v>
      </c>
    </row>
    <row r="177" spans="2:3" s="2" customFormat="1" ht="13.5" hidden="1" thickBot="1" x14ac:dyDescent="0.25">
      <c r="B177" s="110">
        <f t="shared" si="0"/>
        <v>2052</v>
      </c>
      <c r="C177" s="135">
        <f>[16]С2.5!$AK$11</f>
        <v>0</v>
      </c>
    </row>
    <row r="178" spans="2:3" s="2" customFormat="1" ht="13.5" hidden="1" thickBot="1" x14ac:dyDescent="0.25">
      <c r="B178" s="110">
        <f t="shared" si="0"/>
        <v>2053</v>
      </c>
      <c r="C178" s="135">
        <f>[16]С2.5!$AL$11</f>
        <v>0</v>
      </c>
    </row>
    <row r="179" spans="2:3" s="2" customFormat="1" ht="13.5" hidden="1" thickBot="1" x14ac:dyDescent="0.25">
      <c r="B179" s="110">
        <f t="shared" si="0"/>
        <v>2054</v>
      </c>
      <c r="C179" s="135">
        <f>[16]С2.5!$AM$11</f>
        <v>0</v>
      </c>
    </row>
    <row r="180" spans="2:3" s="2" customFormat="1" ht="13.5" hidden="1" thickBot="1" x14ac:dyDescent="0.25">
      <c r="B180" s="110">
        <f t="shared" si="0"/>
        <v>2055</v>
      </c>
      <c r="C180" s="135">
        <f>[16]С2.5!$AN$11</f>
        <v>0</v>
      </c>
    </row>
    <row r="181" spans="2:3" s="2" customFormat="1" ht="13.5" hidden="1" thickBot="1" x14ac:dyDescent="0.25">
      <c r="B181" s="110">
        <f t="shared" si="0"/>
        <v>2056</v>
      </c>
      <c r="C181" s="135">
        <f>[16]С2.5!$AO$11</f>
        <v>0</v>
      </c>
    </row>
    <row r="182" spans="2:3" s="2" customFormat="1" ht="13.5" hidden="1" thickBot="1" x14ac:dyDescent="0.25">
      <c r="B182" s="110">
        <f t="shared" si="0"/>
        <v>2057</v>
      </c>
      <c r="C182" s="135">
        <f>[16]С2.5!$AP$11</f>
        <v>0</v>
      </c>
    </row>
    <row r="183" spans="2:3" s="2" customFormat="1" ht="13.5" hidden="1" thickBot="1" x14ac:dyDescent="0.25">
      <c r="B183" s="110">
        <f t="shared" si="0"/>
        <v>2058</v>
      </c>
      <c r="C183" s="135">
        <f>[16]С2.5!$AQ$11</f>
        <v>0</v>
      </c>
    </row>
    <row r="184" spans="2:3" s="2" customFormat="1" ht="13.5" hidden="1" thickBot="1" x14ac:dyDescent="0.25">
      <c r="B184" s="110">
        <f t="shared" si="0"/>
        <v>2059</v>
      </c>
      <c r="C184" s="135">
        <f>[16]С2.5!$AR$11</f>
        <v>0</v>
      </c>
    </row>
    <row r="185" spans="2:3" s="2" customFormat="1" ht="13.5" hidden="1" thickBot="1" x14ac:dyDescent="0.25">
      <c r="B185" s="110">
        <f t="shared" si="0"/>
        <v>2060</v>
      </c>
      <c r="C185" s="135">
        <f>[16]С2.5!$AS$11</f>
        <v>0</v>
      </c>
    </row>
    <row r="186" spans="2:3" s="2" customFormat="1" ht="13.5" hidden="1" thickBot="1" x14ac:dyDescent="0.25">
      <c r="B186" s="110">
        <f t="shared" si="0"/>
        <v>2061</v>
      </c>
      <c r="C186" s="135">
        <f>[16]С2.5!$AT$11</f>
        <v>0</v>
      </c>
    </row>
    <row r="187" spans="2:3" s="2" customFormat="1" ht="13.5" hidden="1" thickBot="1" x14ac:dyDescent="0.25">
      <c r="B187" s="110">
        <f t="shared" si="0"/>
        <v>2062</v>
      </c>
      <c r="C187" s="135">
        <f>[16]С2.5!$AU$11</f>
        <v>0</v>
      </c>
    </row>
    <row r="188" spans="2:3" s="2" customFormat="1" ht="13.5" hidden="1" thickBot="1" x14ac:dyDescent="0.25">
      <c r="B188" s="110">
        <f t="shared" si="0"/>
        <v>2063</v>
      </c>
      <c r="C188" s="135">
        <f>[16]С2.5!$AV$11</f>
        <v>0</v>
      </c>
    </row>
    <row r="189" spans="2:3" s="2" customFormat="1" ht="13.5" hidden="1" thickBot="1" x14ac:dyDescent="0.25">
      <c r="B189" s="110">
        <f t="shared" si="0"/>
        <v>2064</v>
      </c>
      <c r="C189" s="135">
        <f>[16]С2.5!$AW$11</f>
        <v>0</v>
      </c>
    </row>
    <row r="190" spans="2:3" s="2" customFormat="1" ht="13.5" hidden="1" thickBot="1" x14ac:dyDescent="0.25">
      <c r="B190" s="110">
        <f t="shared" si="0"/>
        <v>2065</v>
      </c>
      <c r="C190" s="135">
        <f>[16]С2.5!$AX$11</f>
        <v>0</v>
      </c>
    </row>
    <row r="191" spans="2:3" s="2" customFormat="1" ht="13.5" hidden="1" thickBot="1" x14ac:dyDescent="0.25">
      <c r="B191" s="110">
        <f t="shared" si="0"/>
        <v>2066</v>
      </c>
      <c r="C191" s="135">
        <f>[16]С2.5!$AY$11</f>
        <v>0</v>
      </c>
    </row>
    <row r="192" spans="2:3" s="2" customFormat="1" ht="13.5" hidden="1" thickBot="1" x14ac:dyDescent="0.25">
      <c r="B192" s="110">
        <f t="shared" si="0"/>
        <v>2067</v>
      </c>
      <c r="C192" s="135">
        <f>[16]С2.5!$AZ$11</f>
        <v>0</v>
      </c>
    </row>
    <row r="193" spans="2:3" s="2" customFormat="1" ht="13.5" hidden="1" thickBot="1" x14ac:dyDescent="0.25">
      <c r="B193" s="110">
        <f t="shared" si="0"/>
        <v>2068</v>
      </c>
      <c r="C193" s="135">
        <f>[16]С2.5!$BA$11</f>
        <v>0</v>
      </c>
    </row>
    <row r="194" spans="2:3" s="2" customFormat="1" ht="13.5" hidden="1" thickBot="1" x14ac:dyDescent="0.25">
      <c r="B194" s="110">
        <f t="shared" si="0"/>
        <v>2069</v>
      </c>
      <c r="C194" s="135">
        <f>[16]С2.5!$BB$11</f>
        <v>0</v>
      </c>
    </row>
    <row r="195" spans="2:3" s="2" customFormat="1" ht="13.5" hidden="1" thickBot="1" x14ac:dyDescent="0.25">
      <c r="B195" s="110">
        <f t="shared" si="0"/>
        <v>2070</v>
      </c>
      <c r="C195" s="135">
        <f>[16]С2.5!$BC$11</f>
        <v>0</v>
      </c>
    </row>
    <row r="196" spans="2:3" s="2" customFormat="1" ht="13.5" hidden="1" thickBot="1" x14ac:dyDescent="0.25">
      <c r="B196" s="110">
        <f t="shared" si="0"/>
        <v>2071</v>
      </c>
      <c r="C196" s="135">
        <f>[16]С2.5!$BD$11</f>
        <v>0</v>
      </c>
    </row>
    <row r="197" spans="2:3" s="2" customFormat="1" ht="13.5" hidden="1" thickBot="1" x14ac:dyDescent="0.25">
      <c r="B197" s="110">
        <f t="shared" si="0"/>
        <v>2072</v>
      </c>
      <c r="C197" s="135">
        <f>[16]С2.5!$BE$11</f>
        <v>0</v>
      </c>
    </row>
    <row r="198" spans="2:3" s="2" customFormat="1" ht="13.5" hidden="1" thickBot="1" x14ac:dyDescent="0.25">
      <c r="B198" s="110">
        <f t="shared" si="0"/>
        <v>2073</v>
      </c>
      <c r="C198" s="135">
        <f>[16]С2.5!$BF$11</f>
        <v>0</v>
      </c>
    </row>
    <row r="199" spans="2:3" s="2" customFormat="1" ht="13.5" hidden="1" thickBot="1" x14ac:dyDescent="0.25">
      <c r="B199" s="110">
        <f t="shared" si="0"/>
        <v>2074</v>
      </c>
      <c r="C199" s="135">
        <f>[16]С2.5!$BG$11</f>
        <v>0</v>
      </c>
    </row>
    <row r="200" spans="2:3" s="2" customFormat="1" ht="13.5" hidden="1" thickBot="1" x14ac:dyDescent="0.25">
      <c r="B200" s="110">
        <f t="shared" si="0"/>
        <v>2075</v>
      </c>
      <c r="C200" s="135">
        <f>[16]С2.5!$BH$11</f>
        <v>0</v>
      </c>
    </row>
    <row r="201" spans="2:3" s="2" customFormat="1" ht="13.5" hidden="1" thickBot="1" x14ac:dyDescent="0.25">
      <c r="B201" s="110">
        <f t="shared" si="0"/>
        <v>2076</v>
      </c>
      <c r="C201" s="135">
        <f>[16]С2.5!$BI$11</f>
        <v>0</v>
      </c>
    </row>
    <row r="202" spans="2:3" s="2" customFormat="1" ht="13.5" hidden="1" thickBot="1" x14ac:dyDescent="0.25">
      <c r="B202" s="110">
        <f t="shared" si="0"/>
        <v>2077</v>
      </c>
      <c r="C202" s="135">
        <f>[16]С2.5!$BJ$11</f>
        <v>0</v>
      </c>
    </row>
    <row r="203" spans="2:3" s="2" customFormat="1" ht="13.5" hidden="1" thickBot="1" x14ac:dyDescent="0.25">
      <c r="B203" s="110">
        <f t="shared" si="0"/>
        <v>2078</v>
      </c>
      <c r="C203" s="135">
        <f>[16]С2.5!$BK$11</f>
        <v>0</v>
      </c>
    </row>
    <row r="204" spans="2:3" s="2" customFormat="1" ht="13.5" hidden="1" thickBot="1" x14ac:dyDescent="0.25">
      <c r="B204" s="110">
        <f t="shared" si="0"/>
        <v>2079</v>
      </c>
      <c r="C204" s="135">
        <f>[16]С2.5!$BL$11</f>
        <v>0</v>
      </c>
    </row>
    <row r="205" spans="2:3" s="2" customFormat="1" ht="13.5" hidden="1" thickBot="1" x14ac:dyDescent="0.25">
      <c r="B205" s="110">
        <f t="shared" si="0"/>
        <v>2080</v>
      </c>
      <c r="C205" s="135">
        <f>[16]С2.5!$BM$11</f>
        <v>0</v>
      </c>
    </row>
    <row r="206" spans="2:3" s="2" customFormat="1" ht="13.5" hidden="1" thickBot="1" x14ac:dyDescent="0.25">
      <c r="B206" s="110">
        <f t="shared" si="0"/>
        <v>2081</v>
      </c>
      <c r="C206" s="135">
        <f>[16]С2.5!$BN$11</f>
        <v>0</v>
      </c>
    </row>
    <row r="207" spans="2:3" s="2" customFormat="1" ht="13.5" hidden="1" thickBot="1" x14ac:dyDescent="0.25">
      <c r="B207" s="110">
        <f t="shared" si="0"/>
        <v>2082</v>
      </c>
      <c r="C207" s="135">
        <f>[16]С2.5!$BO$11</f>
        <v>0</v>
      </c>
    </row>
    <row r="208" spans="2:3" s="2" customFormat="1" ht="13.5" hidden="1" thickBot="1" x14ac:dyDescent="0.25">
      <c r="B208" s="110">
        <f t="shared" si="0"/>
        <v>2083</v>
      </c>
      <c r="C208" s="135">
        <f>[16]С2.5!$BP$11</f>
        <v>0</v>
      </c>
    </row>
    <row r="209" spans="2:3" s="2" customFormat="1" ht="13.5" hidden="1" thickBot="1" x14ac:dyDescent="0.25">
      <c r="B209" s="110">
        <f t="shared" si="0"/>
        <v>2084</v>
      </c>
      <c r="C209" s="135">
        <f>[16]С2.5!$BQ$11</f>
        <v>0</v>
      </c>
    </row>
    <row r="210" spans="2:3" s="2" customFormat="1" ht="13.5" hidden="1" thickBot="1" x14ac:dyDescent="0.25">
      <c r="B210" s="110">
        <f t="shared" si="0"/>
        <v>2085</v>
      </c>
      <c r="C210" s="135">
        <f>[16]С2.5!$BR$11</f>
        <v>0</v>
      </c>
    </row>
    <row r="211" spans="2:3" s="2" customFormat="1" ht="13.5" hidden="1" thickBot="1" x14ac:dyDescent="0.25">
      <c r="B211" s="110">
        <f t="shared" ref="B211:B224" si="1">B210+1</f>
        <v>2086</v>
      </c>
      <c r="C211" s="135">
        <f>[16]С2.5!$BS$11</f>
        <v>0</v>
      </c>
    </row>
    <row r="212" spans="2:3" s="2" customFormat="1" ht="13.5" hidden="1" thickBot="1" x14ac:dyDescent="0.25">
      <c r="B212" s="110">
        <f t="shared" si="1"/>
        <v>2087</v>
      </c>
      <c r="C212" s="135">
        <f>[16]С2.5!$BT$11</f>
        <v>0</v>
      </c>
    </row>
    <row r="213" spans="2:3" s="2" customFormat="1" ht="13.5" hidden="1" thickBot="1" x14ac:dyDescent="0.25">
      <c r="B213" s="110">
        <f t="shared" si="1"/>
        <v>2088</v>
      </c>
      <c r="C213" s="135">
        <f>[16]С2.5!$BU$11</f>
        <v>0</v>
      </c>
    </row>
    <row r="214" spans="2:3" s="2" customFormat="1" ht="13.5" hidden="1" thickBot="1" x14ac:dyDescent="0.25">
      <c r="B214" s="110">
        <f t="shared" si="1"/>
        <v>2089</v>
      </c>
      <c r="C214" s="135">
        <f>[16]С2.5!$BV$11</f>
        <v>0</v>
      </c>
    </row>
    <row r="215" spans="2:3" s="2" customFormat="1" ht="13.5" hidden="1" thickBot="1" x14ac:dyDescent="0.25">
      <c r="B215" s="110">
        <f t="shared" si="1"/>
        <v>2090</v>
      </c>
      <c r="C215" s="135">
        <f>[16]С2.5!$BW$11</f>
        <v>0</v>
      </c>
    </row>
    <row r="216" spans="2:3" s="2" customFormat="1" ht="13.5" hidden="1" thickBot="1" x14ac:dyDescent="0.25">
      <c r="B216" s="110">
        <f t="shared" si="1"/>
        <v>2091</v>
      </c>
      <c r="C216" s="135">
        <f>[16]С2.5!$BX$11</f>
        <v>0</v>
      </c>
    </row>
    <row r="217" spans="2:3" s="2" customFormat="1" ht="13.5" hidden="1" thickBot="1" x14ac:dyDescent="0.25">
      <c r="B217" s="110">
        <f t="shared" si="1"/>
        <v>2092</v>
      </c>
      <c r="C217" s="135">
        <f>[16]С2.5!$BY$11</f>
        <v>0</v>
      </c>
    </row>
    <row r="218" spans="2:3" s="2" customFormat="1" ht="13.5" hidden="1" thickBot="1" x14ac:dyDescent="0.25">
      <c r="B218" s="110">
        <f t="shared" si="1"/>
        <v>2093</v>
      </c>
      <c r="C218" s="135">
        <f>[16]С2.5!$BZ$11</f>
        <v>0</v>
      </c>
    </row>
    <row r="219" spans="2:3" s="2" customFormat="1" ht="13.5" hidden="1" thickBot="1" x14ac:dyDescent="0.25">
      <c r="B219" s="110">
        <f t="shared" si="1"/>
        <v>2094</v>
      </c>
      <c r="C219" s="135">
        <f>[16]С2.5!$CA$11</f>
        <v>0</v>
      </c>
    </row>
    <row r="220" spans="2:3" s="2" customFormat="1" ht="13.5" hidden="1" thickBot="1" x14ac:dyDescent="0.25">
      <c r="B220" s="110">
        <f t="shared" si="1"/>
        <v>2095</v>
      </c>
      <c r="C220" s="135">
        <f>[16]С2.5!$CB$11</f>
        <v>0</v>
      </c>
    </row>
    <row r="221" spans="2:3" s="2" customFormat="1" ht="13.5" hidden="1" thickBot="1" x14ac:dyDescent="0.25">
      <c r="B221" s="110">
        <f t="shared" si="1"/>
        <v>2096</v>
      </c>
      <c r="C221" s="135">
        <f>[16]С2.5!$CC$11</f>
        <v>0</v>
      </c>
    </row>
    <row r="222" spans="2:3" s="2" customFormat="1" ht="13.5" hidden="1" thickBot="1" x14ac:dyDescent="0.25">
      <c r="B222" s="110">
        <f t="shared" si="1"/>
        <v>2097</v>
      </c>
      <c r="C222" s="135">
        <f>[16]С2.5!$CD$11</f>
        <v>0</v>
      </c>
    </row>
    <row r="223" spans="2:3" s="2" customFormat="1" ht="13.5" hidden="1" thickBot="1" x14ac:dyDescent="0.25">
      <c r="B223" s="110">
        <f t="shared" si="1"/>
        <v>2098</v>
      </c>
      <c r="C223" s="135">
        <f>[16]С2.5!$CE$11</f>
        <v>0</v>
      </c>
    </row>
    <row r="224" spans="2:3" s="2" customFormat="1" ht="13.5" hidden="1" thickBot="1" x14ac:dyDescent="0.25">
      <c r="B224" s="110">
        <f t="shared" si="1"/>
        <v>2099</v>
      </c>
      <c r="C224" s="135">
        <f>[16]С2.5!$CF$11</f>
        <v>0</v>
      </c>
    </row>
    <row r="225" spans="2:3" s="2" customFormat="1" ht="13.5" hidden="1" thickBot="1" x14ac:dyDescent="0.25">
      <c r="B225" s="112">
        <f>B162+1</f>
        <v>2038</v>
      </c>
      <c r="C225" s="136" t="e">
        <f>[16]С2.5!#REF!</f>
        <v>#REF!</v>
      </c>
    </row>
    <row r="226" spans="2:3" s="2" customFormat="1" x14ac:dyDescent="0.2">
      <c r="B226" s="137"/>
      <c r="C226" s="138"/>
    </row>
  </sheetData>
  <mergeCells count="9">
    <mergeCell ref="B143:D143"/>
    <mergeCell ref="A14:C14"/>
    <mergeCell ref="B1:D1"/>
    <mergeCell ref="B27:D27"/>
    <mergeCell ref="B45:D45"/>
    <mergeCell ref="B90:D90"/>
    <mergeCell ref="B101:D101"/>
    <mergeCell ref="B126:D126"/>
    <mergeCell ref="B129:D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8]!Лист29.PrintBlock">
                <anchor moveWithCells="1" sizeWithCells="1">
                  <from>
                    <xdr:col>3</xdr:col>
                    <xdr:colOff>47625</xdr:colOff>
                    <xdr:row>0</xdr:row>
                    <xdr:rowOff>104775</xdr:rowOff>
                  </from>
                  <to>
                    <xdr:col>5</xdr:col>
                    <xdr:colOff>0</xdr:colOff>
                    <xdr:row>0</xdr:row>
                    <xdr:rowOff>352425</xdr:rowOff>
                  </to>
                </anchor>
              </controlPr>
            </control>
          </mc:Choice>
        </mc:AlternateContent>
        <mc:AlternateContent xmlns:mc="http://schemas.openxmlformats.org/markup-compatibility/2006">
          <mc:Choice Requires="x14">
            <control shapeId="12290" r:id="rId4" name="Button 2">
              <controlPr defaultSize="0" print="0" autoFill="0" autoPict="0" macro="[16]!Лист29.PrintBlock">
                <anchor moveWithCells="1" sizeWithCells="1">
                  <from>
                    <xdr:col>4</xdr:col>
                    <xdr:colOff>47625</xdr:colOff>
                    <xdr:row>0</xdr:row>
                    <xdr:rowOff>104775</xdr:rowOff>
                  </from>
                  <to>
                    <xdr:col>5</xdr:col>
                    <xdr:colOff>1095375</xdr:colOff>
                    <xdr:row>0</xdr:row>
                    <xdr:rowOff>352425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3"/>
      <c r="B1" s="163" t="s">
        <v>227</v>
      </c>
      <c r="C1" s="163"/>
    </row>
    <row r="2" spans="1:3" x14ac:dyDescent="0.2">
      <c r="A2" s="3"/>
      <c r="B2" s="4" t="s">
        <v>1</v>
      </c>
      <c r="C2" s="5">
        <v>45317</v>
      </c>
    </row>
    <row r="3" spans="1:3" x14ac:dyDescent="0.2">
      <c r="A3" s="3"/>
      <c r="B3" s="117" t="s">
        <v>2</v>
      </c>
      <c r="C3" s="7"/>
    </row>
    <row r="4" spans="1:3" ht="25.5" x14ac:dyDescent="0.2">
      <c r="A4" s="8"/>
      <c r="B4" s="9" t="str">
        <f>[17]И1!D13</f>
        <v>Субъект Российской Федерации</v>
      </c>
      <c r="C4" s="10" t="str">
        <f>[17]И1!E13</f>
        <v>Новосибирская область</v>
      </c>
    </row>
    <row r="5" spans="1:3" ht="48.6" customHeight="1" x14ac:dyDescent="0.2">
      <c r="A5" s="8"/>
      <c r="B5" s="9" t="str">
        <f>[17]И1!D14</f>
        <v>Тип муниципального образования (выберите из списка)</v>
      </c>
      <c r="C5" s="10" t="str">
        <f>[17]И1!E14</f>
        <v>село Лебедевка, Искитимский муниципальный район</v>
      </c>
    </row>
    <row r="6" spans="1:3" x14ac:dyDescent="0.2">
      <c r="A6" s="8"/>
      <c r="B6" s="9" t="str">
        <f>IF([17]И1!E15="","",[17]И1!D15)</f>
        <v/>
      </c>
      <c r="C6" s="7" t="str">
        <f>IF([17]И1!E15="","",[17]И1!E15)</f>
        <v/>
      </c>
    </row>
    <row r="7" spans="1:3" x14ac:dyDescent="0.2">
      <c r="A7" s="8"/>
      <c r="B7" s="9" t="str">
        <f>[17]И1!D16</f>
        <v>Код ОКТМО</v>
      </c>
      <c r="C7" s="11" t="str">
        <f>[17]И1!E16</f>
        <v xml:space="preserve"> (50615422101)</v>
      </c>
    </row>
    <row r="8" spans="1:3" x14ac:dyDescent="0.2">
      <c r="A8" s="8"/>
      <c r="B8" s="12" t="str">
        <f>[17]И1!D17</f>
        <v>Система теплоснабжения</v>
      </c>
      <c r="C8" s="13">
        <f>[17]И1!E17</f>
        <v>0</v>
      </c>
    </row>
    <row r="9" spans="1:3" x14ac:dyDescent="0.2">
      <c r="A9" s="8"/>
      <c r="B9" s="9" t="str">
        <f>[17]И1!D8</f>
        <v>Период регулирования (i)-й</v>
      </c>
      <c r="C9" s="14">
        <f>[17]И1!E8</f>
        <v>2024</v>
      </c>
    </row>
    <row r="10" spans="1:3" x14ac:dyDescent="0.2">
      <c r="A10" s="8"/>
      <c r="B10" s="9" t="str">
        <f>[17]И1!D9</f>
        <v>Период регулирования (i-1)-й</v>
      </c>
      <c r="C10" s="14">
        <f>[17]И1!E9</f>
        <v>2023</v>
      </c>
    </row>
    <row r="11" spans="1:3" x14ac:dyDescent="0.2">
      <c r="A11" s="8"/>
      <c r="B11" s="9" t="str">
        <f>[17]И1!D10</f>
        <v>Период регулирования (i-2)-й</v>
      </c>
      <c r="C11" s="14">
        <f>[17]И1!E10</f>
        <v>2022</v>
      </c>
    </row>
    <row r="12" spans="1:3" x14ac:dyDescent="0.2">
      <c r="A12" s="8"/>
      <c r="B12" s="9" t="str">
        <f>[17]И1!D11</f>
        <v>Базовый год (б)</v>
      </c>
      <c r="C12" s="14">
        <f>[17]И1!E11</f>
        <v>2019</v>
      </c>
    </row>
    <row r="13" spans="1:3" x14ac:dyDescent="0.2">
      <c r="A13" s="8"/>
      <c r="B13" s="9" t="str">
        <f>[17]И1!D18</f>
        <v>Вид топлива, использование которого преобладает в системе теплоснабжения</v>
      </c>
      <c r="C13" s="15" t="str">
        <f>[17]И1!E18</f>
        <v>Газ</v>
      </c>
    </row>
    <row r="14" spans="1:3" ht="26.25" customHeight="1" thickBot="1" x14ac:dyDescent="0.25">
      <c r="A14" s="167" t="s">
        <v>3</v>
      </c>
      <c r="B14" s="167"/>
      <c r="C14" s="16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2939.204068798766</v>
      </c>
    </row>
    <row r="18" spans="1:3" ht="42.75" x14ac:dyDescent="0.2">
      <c r="A18" s="22" t="s">
        <v>8</v>
      </c>
      <c r="B18" s="25" t="s">
        <v>9</v>
      </c>
      <c r="C18" s="26">
        <f>[17]С1!F12</f>
        <v>994.35037159416254</v>
      </c>
    </row>
    <row r="19" spans="1:3" ht="42.75" x14ac:dyDescent="0.2">
      <c r="A19" s="22" t="s">
        <v>10</v>
      </c>
      <c r="B19" s="25" t="s">
        <v>11</v>
      </c>
      <c r="C19" s="26">
        <f>[17]С2!F12</f>
        <v>1338.5714783459885</v>
      </c>
    </row>
    <row r="20" spans="1:3" ht="30" x14ac:dyDescent="0.2">
      <c r="A20" s="22" t="s">
        <v>12</v>
      </c>
      <c r="B20" s="25" t="s">
        <v>13</v>
      </c>
      <c r="C20" s="26">
        <f>[17]С3!F12</f>
        <v>317.98065232680995</v>
      </c>
    </row>
    <row r="21" spans="1:3" ht="42.75" x14ac:dyDescent="0.2">
      <c r="A21" s="22" t="s">
        <v>14</v>
      </c>
      <c r="B21" s="25" t="s">
        <v>228</v>
      </c>
      <c r="C21" s="26">
        <f>[17]С4!F12</f>
        <v>230.67011420241766</v>
      </c>
    </row>
    <row r="22" spans="1:3" ht="33" customHeight="1" x14ac:dyDescent="0.2">
      <c r="A22" s="22" t="s">
        <v>16</v>
      </c>
      <c r="B22" s="25" t="s">
        <v>229</v>
      </c>
      <c r="C22" s="26">
        <f>[17]С5!F12</f>
        <v>57.631452329387571</v>
      </c>
    </row>
    <row r="23" spans="1:3" ht="45.75" customHeight="1" thickBot="1" x14ac:dyDescent="0.25">
      <c r="A23" s="27" t="s">
        <v>18</v>
      </c>
      <c r="B23" s="140" t="s">
        <v>230</v>
      </c>
      <c r="C23" s="28">
        <f>[17]С6!F12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231</v>
      </c>
      <c r="C28" s="34">
        <f>[17]С1.1!E16</f>
        <v>7900</v>
      </c>
    </row>
    <row r="29" spans="1:3" ht="42.75" x14ac:dyDescent="0.2">
      <c r="A29" s="22" t="s">
        <v>10</v>
      </c>
      <c r="B29" s="33" t="s">
        <v>232</v>
      </c>
      <c r="C29" s="34">
        <f>[17]С1.1!E32</f>
        <v>5751.37</v>
      </c>
    </row>
    <row r="30" spans="1:3" ht="38.25" x14ac:dyDescent="0.2">
      <c r="A30" s="22" t="s">
        <v>233</v>
      </c>
      <c r="B30" s="33" t="s">
        <v>234</v>
      </c>
      <c r="C30" s="85" t="str">
        <f>[17]С1.1!E25</f>
        <v>ООО "Газпром газораспределение Томск"</v>
      </c>
    </row>
    <row r="31" spans="1:3" ht="38.25" x14ac:dyDescent="0.2">
      <c r="A31" s="22" t="s">
        <v>235</v>
      </c>
      <c r="B31" s="33" t="str">
        <f>[17]С1.1!D26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[17]С1.1!E26</f>
        <v>4699.5</v>
      </c>
    </row>
    <row r="32" spans="1:3" ht="25.5" x14ac:dyDescent="0.2">
      <c r="A32" s="22" t="s">
        <v>236</v>
      </c>
      <c r="B32" s="33" t="str">
        <f>[17]С1.1!D27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[17]С1.1!E27</f>
        <v>795.43</v>
      </c>
    </row>
    <row r="33" spans="1:3" ht="25.5" x14ac:dyDescent="0.2">
      <c r="A33" s="22" t="s">
        <v>237</v>
      </c>
      <c r="B33" s="33" t="str">
        <f>[17]С1.1!D28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[17]С1.1!E28</f>
        <v>136.54</v>
      </c>
    </row>
    <row r="34" spans="1:3" ht="38.25" x14ac:dyDescent="0.2">
      <c r="A34" s="22" t="s">
        <v>238</v>
      </c>
      <c r="B34" s="33" t="str">
        <f>[17]С1.1!D29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[17]С1.1!E29</f>
        <v>119.9</v>
      </c>
    </row>
    <row r="35" spans="1:3" ht="17.25" x14ac:dyDescent="0.2">
      <c r="A35" s="22" t="s">
        <v>12</v>
      </c>
      <c r="B35" s="33" t="s">
        <v>23</v>
      </c>
      <c r="C35" s="35">
        <f>[17]С1.1!E20</f>
        <v>8.5000000000000006E-2</v>
      </c>
    </row>
    <row r="36" spans="1:3" ht="17.25" x14ac:dyDescent="0.2">
      <c r="A36" s="22" t="s">
        <v>14</v>
      </c>
      <c r="B36" s="33" t="s">
        <v>24</v>
      </c>
      <c r="C36" s="35">
        <f>[17]С1.1!E21</f>
        <v>0.112</v>
      </c>
    </row>
    <row r="37" spans="1:3" ht="30" x14ac:dyDescent="0.2">
      <c r="A37" s="22" t="s">
        <v>16</v>
      </c>
      <c r="B37" s="36" t="s">
        <v>239</v>
      </c>
      <c r="C37" s="121">
        <f>[17]С1!F13</f>
        <v>156.1</v>
      </c>
    </row>
    <row r="38" spans="1:3" x14ac:dyDescent="0.2">
      <c r="A38" s="22" t="s">
        <v>18</v>
      </c>
      <c r="B38" s="36" t="s">
        <v>26</v>
      </c>
      <c r="C38" s="38">
        <f>[17]С1!F16</f>
        <v>7000</v>
      </c>
    </row>
    <row r="39" spans="1:3" ht="14.25" x14ac:dyDescent="0.2">
      <c r="A39" s="122" t="s">
        <v>27</v>
      </c>
      <c r="B39" s="39" t="s">
        <v>240</v>
      </c>
      <c r="C39" s="40">
        <f>[17]С1!F17</f>
        <v>1.1285714285714286</v>
      </c>
    </row>
    <row r="40" spans="1:3" ht="15.75" x14ac:dyDescent="0.2">
      <c r="A40" s="123" t="s">
        <v>29</v>
      </c>
      <c r="B40" s="42" t="s">
        <v>30</v>
      </c>
      <c r="C40" s="40">
        <f>[17]С1!F20</f>
        <v>22.307053372799995</v>
      </c>
    </row>
    <row r="41" spans="1:3" ht="15.75" x14ac:dyDescent="0.2">
      <c r="A41" s="123" t="s">
        <v>31</v>
      </c>
      <c r="B41" s="43" t="s">
        <v>32</v>
      </c>
      <c r="C41" s="40">
        <f>[17]С1!F21</f>
        <v>21.531904799999996</v>
      </c>
    </row>
    <row r="42" spans="1:3" ht="14.25" x14ac:dyDescent="0.2">
      <c r="A42" s="123" t="s">
        <v>33</v>
      </c>
      <c r="B42" s="44" t="s">
        <v>34</v>
      </c>
      <c r="C42" s="40">
        <f>[17]С1!F22</f>
        <v>1.036</v>
      </c>
    </row>
    <row r="43" spans="1:3" ht="53.25" thickBot="1" x14ac:dyDescent="0.25">
      <c r="A43" s="27" t="s">
        <v>35</v>
      </c>
      <c r="B43" s="45" t="s">
        <v>36</v>
      </c>
      <c r="C43" s="46" t="str">
        <f>[17]С1!F23</f>
        <v>-</v>
      </c>
    </row>
    <row r="44" spans="1:3" ht="13.5" thickBot="1" x14ac:dyDescent="0.25">
      <c r="A44" s="47"/>
      <c r="B44" s="75"/>
      <c r="C44" s="15"/>
    </row>
    <row r="45" spans="1:3" ht="30" customHeight="1" x14ac:dyDescent="0.2">
      <c r="A45" s="50" t="s">
        <v>37</v>
      </c>
      <c r="B45" s="165" t="s">
        <v>38</v>
      </c>
      <c r="C45" s="165"/>
    </row>
    <row r="46" spans="1:3" ht="25.5" x14ac:dyDescent="0.2">
      <c r="A46" s="22" t="s">
        <v>39</v>
      </c>
      <c r="B46" s="36" t="s">
        <v>40</v>
      </c>
      <c r="C46" s="51" t="str">
        <f>[17]С2.1!E12</f>
        <v>V</v>
      </c>
    </row>
    <row r="47" spans="1:3" ht="25.5" x14ac:dyDescent="0.2">
      <c r="A47" s="22" t="s">
        <v>41</v>
      </c>
      <c r="B47" s="33" t="s">
        <v>42</v>
      </c>
      <c r="C47" s="51" t="str">
        <f>[17]С2.1!E13</f>
        <v>6 и менее баллов</v>
      </c>
    </row>
    <row r="48" spans="1:3" ht="25.5" x14ac:dyDescent="0.2">
      <c r="A48" s="22" t="s">
        <v>43</v>
      </c>
      <c r="B48" s="33" t="s">
        <v>241</v>
      </c>
      <c r="C48" s="51" t="str">
        <f>[17]С2.1!E14</f>
        <v>от 200 до 500</v>
      </c>
    </row>
    <row r="49" spans="1:3" ht="25.5" x14ac:dyDescent="0.2">
      <c r="A49" s="22" t="s">
        <v>45</v>
      </c>
      <c r="B49" s="33" t="s">
        <v>242</v>
      </c>
      <c r="C49" s="52" t="str">
        <f>[17]С2.1!E15</f>
        <v>нет</v>
      </c>
    </row>
    <row r="50" spans="1:3" ht="30" x14ac:dyDescent="0.2">
      <c r="A50" s="22" t="s">
        <v>47</v>
      </c>
      <c r="B50" s="33" t="s">
        <v>48</v>
      </c>
      <c r="C50" s="34">
        <f>[17]С2!F18</f>
        <v>35106.652004551666</v>
      </c>
    </row>
    <row r="51" spans="1:3" ht="30" x14ac:dyDescent="0.2">
      <c r="A51" s="22" t="s">
        <v>49</v>
      </c>
      <c r="B51" s="53" t="s">
        <v>50</v>
      </c>
      <c r="C51" s="34">
        <f>IF([17]С2!F19&gt;0,[17]С2!F19,[17]С2!F20)</f>
        <v>23441.524932855718</v>
      </c>
    </row>
    <row r="52" spans="1:3" ht="25.5" x14ac:dyDescent="0.2">
      <c r="A52" s="22" t="s">
        <v>51</v>
      </c>
      <c r="B52" s="54" t="s">
        <v>52</v>
      </c>
      <c r="C52" s="34">
        <f>[17]С2.1!E20</f>
        <v>-38</v>
      </c>
    </row>
    <row r="53" spans="1:3" ht="25.5" x14ac:dyDescent="0.2">
      <c r="A53" s="22" t="s">
        <v>53</v>
      </c>
      <c r="B53" s="54" t="s">
        <v>54</v>
      </c>
      <c r="C53" s="34" t="str">
        <f>[17]С2.1!E23</f>
        <v>нет</v>
      </c>
    </row>
    <row r="54" spans="1:3" ht="38.25" x14ac:dyDescent="0.2">
      <c r="A54" s="22" t="s">
        <v>55</v>
      </c>
      <c r="B54" s="55" t="s">
        <v>56</v>
      </c>
      <c r="C54" s="34">
        <f>[17]С2.2!E10</f>
        <v>1287</v>
      </c>
    </row>
    <row r="55" spans="1:3" ht="25.5" x14ac:dyDescent="0.2">
      <c r="A55" s="22" t="s">
        <v>57</v>
      </c>
      <c r="B55" s="56" t="s">
        <v>58</v>
      </c>
      <c r="C55" s="34">
        <f>[17]С2.2!E12</f>
        <v>5.97</v>
      </c>
    </row>
    <row r="56" spans="1:3" ht="52.5" x14ac:dyDescent="0.2">
      <c r="A56" s="22" t="s">
        <v>59</v>
      </c>
      <c r="B56" s="57" t="s">
        <v>60</v>
      </c>
      <c r="C56" s="34">
        <f>[17]С2.2!E13</f>
        <v>1</v>
      </c>
    </row>
    <row r="57" spans="1:3" ht="27.75" x14ac:dyDescent="0.2">
      <c r="A57" s="22" t="s">
        <v>61</v>
      </c>
      <c r="B57" s="56" t="s">
        <v>62</v>
      </c>
      <c r="C57" s="34">
        <f>[17]С2.2!E14</f>
        <v>12104</v>
      </c>
    </row>
    <row r="58" spans="1:3" ht="25.5" x14ac:dyDescent="0.2">
      <c r="A58" s="22" t="s">
        <v>63</v>
      </c>
      <c r="B58" s="57" t="s">
        <v>64</v>
      </c>
      <c r="C58" s="35">
        <f>[17]С2.2!E15</f>
        <v>4.8000000000000001E-2</v>
      </c>
    </row>
    <row r="59" spans="1:3" x14ac:dyDescent="0.2">
      <c r="A59" s="22" t="s">
        <v>65</v>
      </c>
      <c r="B59" s="57" t="s">
        <v>66</v>
      </c>
      <c r="C59" s="124">
        <f>[17]С2.2!E16</f>
        <v>1</v>
      </c>
    </row>
    <row r="60" spans="1:3" ht="15.75" x14ac:dyDescent="0.2">
      <c r="A60" s="22" t="s">
        <v>67</v>
      </c>
      <c r="B60" s="58" t="s">
        <v>68</v>
      </c>
      <c r="C60" s="34">
        <f>[17]С2!F21</f>
        <v>1</v>
      </c>
    </row>
    <row r="61" spans="1:3" ht="30" x14ac:dyDescent="0.2">
      <c r="A61" s="59" t="s">
        <v>69</v>
      </c>
      <c r="B61" s="33" t="s">
        <v>243</v>
      </c>
      <c r="C61" s="34">
        <f>[17]С2!F13</f>
        <v>105136.23090983224</v>
      </c>
    </row>
    <row r="62" spans="1:3" ht="30" x14ac:dyDescent="0.2">
      <c r="A62" s="59" t="s">
        <v>71</v>
      </c>
      <c r="B62" s="60" t="s">
        <v>244</v>
      </c>
      <c r="C62" s="34">
        <f>[17]С2!F14</f>
        <v>64899</v>
      </c>
    </row>
    <row r="63" spans="1:3" ht="15.75" x14ac:dyDescent="0.2">
      <c r="A63" s="59" t="s">
        <v>73</v>
      </c>
      <c r="B63" s="60" t="s">
        <v>74</v>
      </c>
      <c r="C63" s="40">
        <f>[17]С2!F15</f>
        <v>1.071</v>
      </c>
    </row>
    <row r="64" spans="1:3" ht="15.75" x14ac:dyDescent="0.2">
      <c r="A64" s="59" t="s">
        <v>75</v>
      </c>
      <c r="B64" s="60" t="s">
        <v>76</v>
      </c>
      <c r="C64" s="125">
        <f>[17]С2!F16</f>
        <v>1</v>
      </c>
    </row>
    <row r="65" spans="1:3" ht="17.25" x14ac:dyDescent="0.2">
      <c r="A65" s="59" t="s">
        <v>77</v>
      </c>
      <c r="B65" s="60" t="s">
        <v>78</v>
      </c>
      <c r="C65" s="126">
        <f>[17]С2!F17</f>
        <v>1.01</v>
      </c>
    </row>
    <row r="66" spans="1:3" s="63" customFormat="1" ht="14.25" x14ac:dyDescent="0.2">
      <c r="A66" s="59" t="s">
        <v>79</v>
      </c>
      <c r="B66" s="61" t="s">
        <v>80</v>
      </c>
      <c r="C66" s="62">
        <f>[17]С2!F35</f>
        <v>10</v>
      </c>
    </row>
    <row r="67" spans="1:3" ht="30" x14ac:dyDescent="0.2">
      <c r="A67" s="59" t="s">
        <v>81</v>
      </c>
      <c r="B67" s="64" t="s">
        <v>82</v>
      </c>
      <c r="C67" s="34">
        <f>[17]С2!F28</f>
        <v>331.04604307653443</v>
      </c>
    </row>
    <row r="68" spans="1:3" ht="17.25" x14ac:dyDescent="0.2">
      <c r="A68" s="59" t="s">
        <v>83</v>
      </c>
      <c r="B68" s="53" t="s">
        <v>245</v>
      </c>
      <c r="C68" s="40">
        <f>[17]С2!F29</f>
        <v>0.44209422600000003</v>
      </c>
    </row>
    <row r="69" spans="1:3" ht="17.25" x14ac:dyDescent="0.2">
      <c r="A69" s="59" t="s">
        <v>85</v>
      </c>
      <c r="B69" s="58" t="s">
        <v>246</v>
      </c>
      <c r="C69" s="62">
        <f>[17]С2!F30</f>
        <v>500</v>
      </c>
    </row>
    <row r="70" spans="1:3" ht="42.75" x14ac:dyDescent="0.2">
      <c r="A70" s="59" t="s">
        <v>87</v>
      </c>
      <c r="B70" s="33" t="s">
        <v>247</v>
      </c>
      <c r="C70" s="34">
        <f>[17]С2!F22</f>
        <v>39638.324046481182</v>
      </c>
    </row>
    <row r="71" spans="1:3" ht="30" x14ac:dyDescent="0.2">
      <c r="A71" s="59" t="s">
        <v>89</v>
      </c>
      <c r="B71" s="60" t="s">
        <v>248</v>
      </c>
      <c r="C71" s="34">
        <f>[17]С2!F23</f>
        <v>21</v>
      </c>
    </row>
    <row r="72" spans="1:3" ht="30" x14ac:dyDescent="0.2">
      <c r="A72" s="59" t="s">
        <v>91</v>
      </c>
      <c r="B72" s="53" t="s">
        <v>92</v>
      </c>
      <c r="C72" s="34">
        <f>[17]С2.1!E28</f>
        <v>14036.09995</v>
      </c>
    </row>
    <row r="73" spans="1:3" ht="38.25" x14ac:dyDescent="0.2">
      <c r="A73" s="59" t="s">
        <v>93</v>
      </c>
      <c r="B73" s="65" t="s">
        <v>94</v>
      </c>
      <c r="C73" s="52">
        <f>[17]С2.3!E21</f>
        <v>0</v>
      </c>
    </row>
    <row r="74" spans="1:3" ht="25.5" x14ac:dyDescent="0.2">
      <c r="A74" s="59" t="s">
        <v>95</v>
      </c>
      <c r="B74" s="66" t="s">
        <v>96</v>
      </c>
      <c r="C74" s="67">
        <f>[17]С2.3!E11</f>
        <v>5.45</v>
      </c>
    </row>
    <row r="75" spans="1:3" ht="25.5" x14ac:dyDescent="0.2">
      <c r="A75" s="59" t="s">
        <v>97</v>
      </c>
      <c r="B75" s="66" t="s">
        <v>98</v>
      </c>
      <c r="C75" s="62">
        <f>[17]С2.3!E13</f>
        <v>300</v>
      </c>
    </row>
    <row r="76" spans="1:3" ht="25.5" x14ac:dyDescent="0.2">
      <c r="A76" s="59" t="s">
        <v>99</v>
      </c>
      <c r="B76" s="65" t="s">
        <v>100</v>
      </c>
      <c r="C76" s="68">
        <f>IF([17]С2.3!E22&gt;0,[17]С2.3!E22,[17]С2.3!E14)</f>
        <v>61211</v>
      </c>
    </row>
    <row r="77" spans="1:3" ht="38.25" x14ac:dyDescent="0.2">
      <c r="A77" s="59" t="s">
        <v>101</v>
      </c>
      <c r="B77" s="65" t="s">
        <v>102</v>
      </c>
      <c r="C77" s="68">
        <f>IF([17]С2.3!E23&gt;0,[17]С2.3!E23,[17]С2.3!E15)</f>
        <v>45675</v>
      </c>
    </row>
    <row r="78" spans="1:3" ht="30" x14ac:dyDescent="0.2">
      <c r="A78" s="59" t="s">
        <v>103</v>
      </c>
      <c r="B78" s="53" t="s">
        <v>104</v>
      </c>
      <c r="C78" s="34">
        <f>[17]С2.1!E29</f>
        <v>9518.3274000000001</v>
      </c>
    </row>
    <row r="79" spans="1:3" ht="38.25" x14ac:dyDescent="0.2">
      <c r="A79" s="59" t="s">
        <v>105</v>
      </c>
      <c r="B79" s="65" t="s">
        <v>106</v>
      </c>
      <c r="C79" s="52">
        <f>[17]С2.3!E25</f>
        <v>0</v>
      </c>
    </row>
    <row r="80" spans="1:3" ht="25.5" x14ac:dyDescent="0.2">
      <c r="A80" s="59" t="s">
        <v>107</v>
      </c>
      <c r="B80" s="66" t="s">
        <v>108</v>
      </c>
      <c r="C80" s="67">
        <f>[17]С2.3!E12</f>
        <v>0.2</v>
      </c>
    </row>
    <row r="81" spans="1:3" ht="25.5" x14ac:dyDescent="0.2">
      <c r="A81" s="59" t="s">
        <v>109</v>
      </c>
      <c r="B81" s="66" t="s">
        <v>98</v>
      </c>
      <c r="C81" s="62">
        <f>[17]С2.3!E13</f>
        <v>300</v>
      </c>
    </row>
    <row r="82" spans="1:3" ht="25.5" x14ac:dyDescent="0.2">
      <c r="A82" s="59" t="s">
        <v>110</v>
      </c>
      <c r="B82" s="69" t="s">
        <v>111</v>
      </c>
      <c r="C82" s="68">
        <f>IF([17]С2.3!E26&gt;0,[17]С2.3!E26,[17]С2.3!E16)</f>
        <v>65637</v>
      </c>
    </row>
    <row r="83" spans="1:3" ht="38.25" x14ac:dyDescent="0.2">
      <c r="A83" s="59" t="s">
        <v>112</v>
      </c>
      <c r="B83" s="69" t="s">
        <v>113</v>
      </c>
      <c r="C83" s="68">
        <f>IF([17]С2.3!E27&gt;0,[17]С2.3!E27,[17]С2.3!E17)</f>
        <v>31684</v>
      </c>
    </row>
    <row r="84" spans="1:3" ht="30" x14ac:dyDescent="0.2">
      <c r="A84" s="59" t="s">
        <v>249</v>
      </c>
      <c r="B84" s="60" t="s">
        <v>250</v>
      </c>
      <c r="C84" s="68">
        <f>IF([17]С2.1!E19&gt;0,[17]С2.1!E19,[17]С2!F26)</f>
        <v>2892</v>
      </c>
    </row>
    <row r="85" spans="1:3" ht="17.25" x14ac:dyDescent="0.2">
      <c r="A85" s="59" t="s">
        <v>114</v>
      </c>
      <c r="B85" s="33" t="s">
        <v>115</v>
      </c>
      <c r="C85" s="35">
        <f>[17]С2!F31</f>
        <v>9.5962865259740182E-2</v>
      </c>
    </row>
    <row r="86" spans="1:3" ht="30" x14ac:dyDescent="0.2">
      <c r="A86" s="59" t="s">
        <v>116</v>
      </c>
      <c r="B86" s="53" t="s">
        <v>117</v>
      </c>
      <c r="C86" s="70">
        <f>[17]С2!F32</f>
        <v>8.4029304029304031E-2</v>
      </c>
    </row>
    <row r="87" spans="1:3" ht="17.25" x14ac:dyDescent="0.2">
      <c r="A87" s="59" t="s">
        <v>118</v>
      </c>
      <c r="B87" s="71" t="s">
        <v>119</v>
      </c>
      <c r="C87" s="35">
        <f>[17]С2!F33</f>
        <v>0.13880000000000001</v>
      </c>
    </row>
    <row r="88" spans="1:3" s="63" customFormat="1" ht="18" thickBot="1" x14ac:dyDescent="0.25">
      <c r="A88" s="72" t="s">
        <v>120</v>
      </c>
      <c r="B88" s="73" t="s">
        <v>121</v>
      </c>
      <c r="C88" s="74">
        <f>[17]С2!F34</f>
        <v>0.12640000000000001</v>
      </c>
    </row>
    <row r="89" spans="1:3" ht="13.5" thickBot="1" x14ac:dyDescent="0.25">
      <c r="A89" s="47"/>
      <c r="B89" s="75"/>
      <c r="C89" s="15"/>
    </row>
    <row r="90" spans="1:3" s="63" customFormat="1" ht="30" customHeight="1" x14ac:dyDescent="0.2">
      <c r="A90" s="76" t="s">
        <v>122</v>
      </c>
      <c r="B90" s="165" t="s">
        <v>123</v>
      </c>
      <c r="C90" s="165"/>
    </row>
    <row r="91" spans="1:3" s="63" customFormat="1" ht="30" x14ac:dyDescent="0.2">
      <c r="A91" s="77" t="s">
        <v>124</v>
      </c>
      <c r="B91" s="33" t="s">
        <v>125</v>
      </c>
      <c r="C91" s="34">
        <f>[17]С3!F14</f>
        <v>4207.4782939208517</v>
      </c>
    </row>
    <row r="92" spans="1:3" s="63" customFormat="1" ht="42.75" x14ac:dyDescent="0.2">
      <c r="A92" s="77" t="s">
        <v>126</v>
      </c>
      <c r="B92" s="53" t="s">
        <v>127</v>
      </c>
      <c r="C92" s="78">
        <f>[17]С3!F15</f>
        <v>0.2</v>
      </c>
    </row>
    <row r="93" spans="1:3" s="63" customFormat="1" ht="14.25" x14ac:dyDescent="0.2">
      <c r="A93" s="77" t="s">
        <v>128</v>
      </c>
      <c r="B93" s="79" t="s">
        <v>129</v>
      </c>
      <c r="C93" s="62">
        <f>[17]С3!F18</f>
        <v>15</v>
      </c>
    </row>
    <row r="94" spans="1:3" s="63" customFormat="1" ht="17.25" x14ac:dyDescent="0.2">
      <c r="A94" s="77" t="s">
        <v>130</v>
      </c>
      <c r="B94" s="33" t="s">
        <v>131</v>
      </c>
      <c r="C94" s="34">
        <f>[17]С3!F19</f>
        <v>2638.2577020926874</v>
      </c>
    </row>
    <row r="95" spans="1:3" s="63" customFormat="1" ht="55.5" x14ac:dyDescent="0.2">
      <c r="A95" s="77" t="s">
        <v>132</v>
      </c>
      <c r="B95" s="53" t="s">
        <v>133</v>
      </c>
      <c r="C95" s="80">
        <f>[17]С3!F20</f>
        <v>2.1999999999999999E-2</v>
      </c>
    </row>
    <row r="96" spans="1:3" s="63" customFormat="1" ht="14.25" x14ac:dyDescent="0.2">
      <c r="A96" s="77" t="s">
        <v>134</v>
      </c>
      <c r="B96" s="58" t="s">
        <v>80</v>
      </c>
      <c r="C96" s="62">
        <f>[17]С3!F21</f>
        <v>10</v>
      </c>
    </row>
    <row r="97" spans="1:3" s="63" customFormat="1" ht="17.25" x14ac:dyDescent="0.2">
      <c r="A97" s="77" t="s">
        <v>135</v>
      </c>
      <c r="B97" s="33" t="s">
        <v>136</v>
      </c>
      <c r="C97" s="34">
        <f>[17]С3!F22</f>
        <v>0.99313812922960332</v>
      </c>
    </row>
    <row r="98" spans="1:3" s="63" customFormat="1" ht="55.5" x14ac:dyDescent="0.2">
      <c r="A98" s="77" t="s">
        <v>137</v>
      </c>
      <c r="B98" s="53" t="s">
        <v>138</v>
      </c>
      <c r="C98" s="80">
        <f>[17]С3!F23</f>
        <v>3.0000000000000001E-3</v>
      </c>
    </row>
    <row r="99" spans="1:3" s="63" customFormat="1" ht="30.75" thickBot="1" x14ac:dyDescent="0.25">
      <c r="A99" s="81" t="s">
        <v>139</v>
      </c>
      <c r="B99" s="82" t="s">
        <v>82</v>
      </c>
      <c r="C99" s="83">
        <f>[17]С3!F24</f>
        <v>331.04604307653443</v>
      </c>
    </row>
    <row r="100" spans="1:3" ht="13.5" thickBot="1" x14ac:dyDescent="0.25">
      <c r="A100" s="47"/>
      <c r="B100" s="75"/>
      <c r="C100" s="15"/>
    </row>
    <row r="101" spans="1:3" ht="30" customHeight="1" x14ac:dyDescent="0.2">
      <c r="A101" s="84" t="s">
        <v>141</v>
      </c>
      <c r="B101" s="165" t="s">
        <v>142</v>
      </c>
      <c r="C101" s="165"/>
    </row>
    <row r="102" spans="1:3" ht="30" x14ac:dyDescent="0.2">
      <c r="A102" s="59" t="s">
        <v>143</v>
      </c>
      <c r="B102" s="33" t="s">
        <v>251</v>
      </c>
      <c r="C102" s="34">
        <f>[17]С4!F16</f>
        <v>832.33500000000004</v>
      </c>
    </row>
    <row r="103" spans="1:3" ht="30" x14ac:dyDescent="0.2">
      <c r="A103" s="59" t="s">
        <v>145</v>
      </c>
      <c r="B103" s="58" t="s">
        <v>252</v>
      </c>
      <c r="C103" s="34">
        <f>[17]С4!F17</f>
        <v>43385</v>
      </c>
    </row>
    <row r="104" spans="1:3" ht="17.25" x14ac:dyDescent="0.2">
      <c r="A104" s="59" t="s">
        <v>147</v>
      </c>
      <c r="B104" s="58" t="s">
        <v>148</v>
      </c>
      <c r="C104" s="40">
        <f>[17]С4!F18</f>
        <v>1.4999999999999999E-2</v>
      </c>
    </row>
    <row r="105" spans="1:3" ht="30" x14ac:dyDescent="0.2">
      <c r="A105" s="59" t="s">
        <v>149</v>
      </c>
      <c r="B105" s="58" t="s">
        <v>150</v>
      </c>
      <c r="C105" s="34">
        <f>[17]С4!F19</f>
        <v>12104</v>
      </c>
    </row>
    <row r="106" spans="1:3" ht="31.5" x14ac:dyDescent="0.2">
      <c r="A106" s="59" t="s">
        <v>151</v>
      </c>
      <c r="B106" s="58" t="s">
        <v>152</v>
      </c>
      <c r="C106" s="40">
        <f>[17]С4!F20</f>
        <v>1.4999999999999999E-2</v>
      </c>
    </row>
    <row r="107" spans="1:3" ht="30" x14ac:dyDescent="0.2">
      <c r="A107" s="59" t="s">
        <v>153</v>
      </c>
      <c r="B107" s="33" t="s">
        <v>253</v>
      </c>
      <c r="C107" s="34">
        <f>[17]С4!F21</f>
        <v>1221.9019409821399</v>
      </c>
    </row>
    <row r="108" spans="1:3" ht="45.6" customHeight="1" x14ac:dyDescent="0.2">
      <c r="A108" s="59" t="s">
        <v>155</v>
      </c>
      <c r="B108" s="53" t="s">
        <v>156</v>
      </c>
      <c r="C108" s="85" t="str">
        <f>IF([17]С4.2!F8="да",[17]С4.2!D21,[17]С4.2!D15)</f>
        <v>АО "Новосибирскэнергосбыт"</v>
      </c>
    </row>
    <row r="109" spans="1:3" ht="68.25" customHeight="1" x14ac:dyDescent="0.2">
      <c r="A109" s="59" t="s">
        <v>157</v>
      </c>
      <c r="B109" s="53" t="s">
        <v>158</v>
      </c>
      <c r="C109" s="34">
        <f>[17]С4!F22</f>
        <v>3.6112641666666665</v>
      </c>
    </row>
    <row r="110" spans="1:3" ht="30" x14ac:dyDescent="0.2">
      <c r="A110" s="59" t="s">
        <v>159</v>
      </c>
      <c r="B110" s="58" t="s">
        <v>254</v>
      </c>
      <c r="C110" s="62">
        <f>[17]С4!F23</f>
        <v>110</v>
      </c>
    </row>
    <row r="111" spans="1:3" ht="14.25" x14ac:dyDescent="0.2">
      <c r="A111" s="59" t="s">
        <v>161</v>
      </c>
      <c r="B111" s="53" t="s">
        <v>162</v>
      </c>
      <c r="C111" s="34">
        <f>[17]С4!F24</f>
        <v>8497.1999999999989</v>
      </c>
    </row>
    <row r="112" spans="1:3" ht="14.25" x14ac:dyDescent="0.2">
      <c r="A112" s="59" t="s">
        <v>163</v>
      </c>
      <c r="B112" s="58" t="s">
        <v>164</v>
      </c>
      <c r="C112" s="40">
        <f>[17]С4!F25</f>
        <v>0.36199999999999999</v>
      </c>
    </row>
    <row r="113" spans="1:3" ht="17.25" x14ac:dyDescent="0.2">
      <c r="A113" s="59" t="s">
        <v>165</v>
      </c>
      <c r="B113" s="33" t="s">
        <v>166</v>
      </c>
      <c r="C113" s="34">
        <f>[17]С4!F26</f>
        <v>40.123830000000005</v>
      </c>
    </row>
    <row r="114" spans="1:3" ht="25.5" x14ac:dyDescent="0.2">
      <c r="A114" s="59" t="s">
        <v>167</v>
      </c>
      <c r="B114" s="53" t="s">
        <v>94</v>
      </c>
      <c r="C114" s="85">
        <f>[17]С4.3!E16</f>
        <v>0</v>
      </c>
    </row>
    <row r="115" spans="1:3" ht="25.5" x14ac:dyDescent="0.2">
      <c r="A115" s="59" t="s">
        <v>168</v>
      </c>
      <c r="B115" s="53" t="s">
        <v>169</v>
      </c>
      <c r="C115" s="34">
        <f>[17]С4.3!E17</f>
        <v>18.059999999999999</v>
      </c>
    </row>
    <row r="116" spans="1:3" ht="38.25" x14ac:dyDescent="0.2">
      <c r="A116" s="59" t="s">
        <v>170</v>
      </c>
      <c r="B116" s="53" t="s">
        <v>106</v>
      </c>
      <c r="C116" s="85">
        <f>[17]С4.3!E18</f>
        <v>0</v>
      </c>
    </row>
    <row r="117" spans="1:3" x14ac:dyDescent="0.2">
      <c r="A117" s="59" t="s">
        <v>171</v>
      </c>
      <c r="B117" s="53" t="s">
        <v>172</v>
      </c>
      <c r="C117" s="34">
        <f>[17]С4.3!E19</f>
        <v>71.67</v>
      </c>
    </row>
    <row r="118" spans="1:3" x14ac:dyDescent="0.2">
      <c r="A118" s="59" t="s">
        <v>173</v>
      </c>
      <c r="B118" s="58" t="s">
        <v>174</v>
      </c>
      <c r="C118" s="62">
        <f>[17]С4.3!E11</f>
        <v>1871</v>
      </c>
    </row>
    <row r="119" spans="1:3" x14ac:dyDescent="0.2">
      <c r="A119" s="59" t="s">
        <v>175</v>
      </c>
      <c r="B119" s="58" t="s">
        <v>176</v>
      </c>
      <c r="C119" s="52">
        <f>[17]С4.3!E12</f>
        <v>61</v>
      </c>
    </row>
    <row r="120" spans="1:3" x14ac:dyDescent="0.2">
      <c r="A120" s="59" t="s">
        <v>177</v>
      </c>
      <c r="B120" s="58" t="s">
        <v>178</v>
      </c>
      <c r="C120" s="52">
        <f>[17]С4.3!E13</f>
        <v>73</v>
      </c>
    </row>
    <row r="121" spans="1:3" ht="30" x14ac:dyDescent="0.2">
      <c r="A121" s="59" t="s">
        <v>179</v>
      </c>
      <c r="B121" s="33" t="s">
        <v>255</v>
      </c>
      <c r="C121" s="34">
        <f>[17]С4!F27</f>
        <v>904.62444244124072</v>
      </c>
    </row>
    <row r="122" spans="1:3" ht="25.5" x14ac:dyDescent="0.2">
      <c r="A122" s="59" t="s">
        <v>181</v>
      </c>
      <c r="B122" s="53" t="s">
        <v>256</v>
      </c>
      <c r="C122" s="34">
        <f>[17]С4!F28</f>
        <v>694.79603874135228</v>
      </c>
    </row>
    <row r="123" spans="1:3" ht="42.75" x14ac:dyDescent="0.2">
      <c r="A123" s="59" t="s">
        <v>183</v>
      </c>
      <c r="B123" s="53" t="s">
        <v>184</v>
      </c>
      <c r="C123" s="34">
        <f>[17]С4!F29</f>
        <v>209.82840369988838</v>
      </c>
    </row>
    <row r="124" spans="1:3" ht="30.75" thickBot="1" x14ac:dyDescent="0.25">
      <c r="A124" s="72" t="s">
        <v>185</v>
      </c>
      <c r="B124" s="90" t="s">
        <v>186</v>
      </c>
      <c r="C124" s="83">
        <f>[17]С4!F30</f>
        <v>475.40681839948314</v>
      </c>
    </row>
    <row r="125" spans="1:3" s="89" customFormat="1" ht="13.5" thickBot="1" x14ac:dyDescent="0.25">
      <c r="A125" s="47"/>
      <c r="B125" s="75"/>
      <c r="C125" s="15"/>
    </row>
    <row r="126" spans="1:3" s="63" customFormat="1" ht="30" customHeight="1" x14ac:dyDescent="0.2">
      <c r="A126" s="76" t="s">
        <v>195</v>
      </c>
      <c r="B126" s="165" t="s">
        <v>196</v>
      </c>
      <c r="C126" s="165"/>
    </row>
    <row r="127" spans="1:3" ht="30.6" customHeight="1" thickBot="1" x14ac:dyDescent="0.25">
      <c r="A127" s="27" t="s">
        <v>197</v>
      </c>
      <c r="B127" s="90" t="s">
        <v>198</v>
      </c>
      <c r="C127" s="83">
        <f>[17]С5!F17</f>
        <v>0.02</v>
      </c>
    </row>
    <row r="128" spans="1:3" s="89" customFormat="1" ht="13.5" thickBot="1" x14ac:dyDescent="0.25">
      <c r="A128" s="47"/>
      <c r="B128" s="75"/>
      <c r="C128" s="15"/>
    </row>
    <row r="129" spans="1:4" ht="42.75" customHeight="1" x14ac:dyDescent="0.2">
      <c r="A129" s="84" t="s">
        <v>199</v>
      </c>
      <c r="B129" s="165" t="s">
        <v>200</v>
      </c>
      <c r="C129" s="165"/>
    </row>
    <row r="130" spans="1:4" ht="68.25" x14ac:dyDescent="0.2">
      <c r="A130" s="59" t="s">
        <v>201</v>
      </c>
      <c r="B130" s="91" t="s">
        <v>202</v>
      </c>
      <c r="C130" s="34" t="str">
        <f>IF([17]С6.1!E11="нет",[17]С6!F13,"")</f>
        <v/>
      </c>
    </row>
    <row r="131" spans="1:4" ht="42.75" x14ac:dyDescent="0.2">
      <c r="A131" s="59" t="s">
        <v>204</v>
      </c>
      <c r="B131" s="86" t="s">
        <v>205</v>
      </c>
      <c r="C131" s="92" t="str">
        <f>IF([17]С6.1!E12="нет",[17]С6.1!E17,"")</f>
        <v/>
      </c>
    </row>
    <row r="132" spans="1:4" ht="68.25" x14ac:dyDescent="0.2">
      <c r="A132" s="59" t="s">
        <v>206</v>
      </c>
      <c r="B132" s="91" t="s">
        <v>207</v>
      </c>
      <c r="C132" s="127" t="str">
        <f>IF([17]С6.1!E18="нет",[17]С6!F19,"")</f>
        <v/>
      </c>
    </row>
    <row r="133" spans="1:4" ht="55.5" x14ac:dyDescent="0.2">
      <c r="A133" s="59" t="s">
        <v>208</v>
      </c>
      <c r="B133" s="86" t="s">
        <v>209</v>
      </c>
      <c r="C133" s="35" t="str">
        <f>IF([17]С6.1!E18="нет",[17]С6.1!E19,"")</f>
        <v/>
      </c>
    </row>
    <row r="134" spans="1:4" ht="61.5" customHeight="1" x14ac:dyDescent="0.2">
      <c r="A134" s="59" t="s">
        <v>210</v>
      </c>
      <c r="B134" s="86" t="s">
        <v>257</v>
      </c>
      <c r="C134" s="35" t="str">
        <f>IF([17]С6.1!E18="нет",[17]С6.1!E22,"")</f>
        <v/>
      </c>
    </row>
    <row r="135" spans="1:4" ht="69" thickBot="1" x14ac:dyDescent="0.25">
      <c r="A135" s="72" t="s">
        <v>212</v>
      </c>
      <c r="B135" s="98" t="s">
        <v>213</v>
      </c>
      <c r="C135" s="74" t="str">
        <f>IF([17]С6.1!E18="нет",[17]С6.1!E23,"")</f>
        <v/>
      </c>
    </row>
    <row r="136" spans="1:4" s="89" customFormat="1" ht="13.5" thickBot="1" x14ac:dyDescent="0.25">
      <c r="A136" s="47"/>
      <c r="B136" s="75"/>
      <c r="C136" s="15"/>
    </row>
    <row r="137" spans="1:4" ht="15.75" x14ac:dyDescent="0.2">
      <c r="A137" s="84" t="s">
        <v>214</v>
      </c>
      <c r="B137" s="99" t="s">
        <v>215</v>
      </c>
      <c r="C137" s="100">
        <f>[17]С2!F39</f>
        <v>21.531904799999996</v>
      </c>
    </row>
    <row r="138" spans="1:4" ht="14.25" x14ac:dyDescent="0.2">
      <c r="A138" s="59" t="s">
        <v>216</v>
      </c>
      <c r="B138" s="58" t="s">
        <v>217</v>
      </c>
      <c r="C138" s="34">
        <f>[17]С2!F40</f>
        <v>7</v>
      </c>
    </row>
    <row r="139" spans="1:4" ht="17.25" x14ac:dyDescent="0.2">
      <c r="A139" s="59" t="s">
        <v>218</v>
      </c>
      <c r="B139" s="58" t="s">
        <v>219</v>
      </c>
      <c r="C139" s="34">
        <f>[17]С2!F42</f>
        <v>0.97</v>
      </c>
    </row>
    <row r="140" spans="1:4" ht="15" thickBot="1" x14ac:dyDescent="0.25">
      <c r="A140" s="72" t="s">
        <v>220</v>
      </c>
      <c r="B140" s="73" t="s">
        <v>221</v>
      </c>
      <c r="C140" s="46">
        <f>[17]С2!F44</f>
        <v>0.36199999999999999</v>
      </c>
    </row>
    <row r="141" spans="1:4" s="89" customFormat="1" ht="13.5" thickBot="1" x14ac:dyDescent="0.25">
      <c r="A141" s="47"/>
      <c r="B141" s="75"/>
      <c r="C141" s="15"/>
    </row>
    <row r="142" spans="1:4" ht="17.25" x14ac:dyDescent="0.2">
      <c r="A142" s="84" t="s">
        <v>222</v>
      </c>
      <c r="B142" s="103" t="s">
        <v>258</v>
      </c>
      <c r="C142" s="128">
        <f>[17]С2!F37</f>
        <v>1.4976266307379205</v>
      </c>
      <c r="D142" s="89"/>
    </row>
    <row r="143" spans="1:4" ht="17.25" customHeight="1" thickBot="1" x14ac:dyDescent="0.25">
      <c r="A143" s="72" t="s">
        <v>224</v>
      </c>
      <c r="B143" s="161" t="s">
        <v>225</v>
      </c>
      <c r="C143" s="161"/>
      <c r="D143" s="89"/>
    </row>
    <row r="144" spans="1:4" x14ac:dyDescent="0.2">
      <c r="A144" s="105"/>
      <c r="B144" s="129" t="s">
        <v>226</v>
      </c>
      <c r="C144" s="130"/>
    </row>
    <row r="145" spans="1:3" x14ac:dyDescent="0.2">
      <c r="A145" s="105"/>
      <c r="B145" s="131">
        <v>2020</v>
      </c>
      <c r="C145" s="132">
        <f>[17]С2.5!$E$11</f>
        <v>-2.9000000000000026E-2</v>
      </c>
    </row>
    <row r="146" spans="1:3" x14ac:dyDescent="0.2">
      <c r="B146" s="131">
        <f>B145+1</f>
        <v>2021</v>
      </c>
      <c r="C146" s="133">
        <f>[17]С2.5!$F$11</f>
        <v>0.245</v>
      </c>
    </row>
    <row r="147" spans="1:3" x14ac:dyDescent="0.2">
      <c r="B147" s="131">
        <f t="shared" ref="B147:B210" si="0">B146+1</f>
        <v>2022</v>
      </c>
      <c r="C147" s="134">
        <f>[17]С2.5!$G$11</f>
        <v>0.114</v>
      </c>
    </row>
    <row r="148" spans="1:3" x14ac:dyDescent="0.2">
      <c r="B148" s="110">
        <f t="shared" si="0"/>
        <v>2023</v>
      </c>
      <c r="C148" s="135">
        <f>[17]С2.5!$H$11</f>
        <v>2.4E-2</v>
      </c>
    </row>
    <row r="149" spans="1:3" ht="13.5" thickBot="1" x14ac:dyDescent="0.25">
      <c r="B149" s="110">
        <f t="shared" si="0"/>
        <v>2024</v>
      </c>
      <c r="C149" s="135">
        <f>[17]С2.5!$I$11</f>
        <v>8.5999999999999993E-2</v>
      </c>
    </row>
    <row r="150" spans="1:3" ht="13.5" hidden="1" thickBot="1" x14ac:dyDescent="0.25">
      <c r="B150" s="110">
        <f t="shared" si="0"/>
        <v>2025</v>
      </c>
      <c r="C150" s="135">
        <f>[17]С2.5!$J$11</f>
        <v>0</v>
      </c>
    </row>
    <row r="151" spans="1:3" ht="13.5" hidden="1" thickBot="1" x14ac:dyDescent="0.25">
      <c r="B151" s="110">
        <f t="shared" si="0"/>
        <v>2026</v>
      </c>
      <c r="C151" s="135">
        <f>[17]С2.5!$K$11</f>
        <v>0</v>
      </c>
    </row>
    <row r="152" spans="1:3" ht="13.5" hidden="1" thickBot="1" x14ac:dyDescent="0.25">
      <c r="B152" s="110">
        <f t="shared" si="0"/>
        <v>2027</v>
      </c>
      <c r="C152" s="135">
        <f>[17]С2.5!$L$11</f>
        <v>0</v>
      </c>
    </row>
    <row r="153" spans="1:3" ht="13.5" hidden="1" thickBot="1" x14ac:dyDescent="0.25">
      <c r="B153" s="110">
        <f t="shared" si="0"/>
        <v>2028</v>
      </c>
      <c r="C153" s="135">
        <f>[17]С2.5!$M$11</f>
        <v>0</v>
      </c>
    </row>
    <row r="154" spans="1:3" ht="13.5" hidden="1" thickBot="1" x14ac:dyDescent="0.25">
      <c r="B154" s="110">
        <f t="shared" si="0"/>
        <v>2029</v>
      </c>
      <c r="C154" s="135">
        <f>[17]С2.5!$N$11</f>
        <v>0</v>
      </c>
    </row>
    <row r="155" spans="1:3" ht="13.5" hidden="1" thickBot="1" x14ac:dyDescent="0.25">
      <c r="B155" s="110">
        <f t="shared" si="0"/>
        <v>2030</v>
      </c>
      <c r="C155" s="135">
        <f>[17]С2.5!$O$11</f>
        <v>0</v>
      </c>
    </row>
    <row r="156" spans="1:3" ht="13.5" hidden="1" thickBot="1" x14ac:dyDescent="0.25">
      <c r="B156" s="110">
        <f t="shared" si="0"/>
        <v>2031</v>
      </c>
      <c r="C156" s="135">
        <f>[17]С2.5!$P$11</f>
        <v>0</v>
      </c>
    </row>
    <row r="157" spans="1:3" ht="13.5" hidden="1" thickBot="1" x14ac:dyDescent="0.25">
      <c r="B157" s="110">
        <f t="shared" si="0"/>
        <v>2032</v>
      </c>
      <c r="C157" s="135">
        <f>[17]С2.5!$Q$11</f>
        <v>0</v>
      </c>
    </row>
    <row r="158" spans="1:3" ht="13.5" hidden="1" thickBot="1" x14ac:dyDescent="0.25">
      <c r="B158" s="110">
        <f t="shared" si="0"/>
        <v>2033</v>
      </c>
      <c r="C158" s="135">
        <f>[17]С2.5!$R$11</f>
        <v>0</v>
      </c>
    </row>
    <row r="159" spans="1:3" ht="13.5" hidden="1" thickBot="1" x14ac:dyDescent="0.25">
      <c r="B159" s="110">
        <f t="shared" si="0"/>
        <v>2034</v>
      </c>
      <c r="C159" s="135">
        <f>[17]С2.5!$S$11</f>
        <v>0</v>
      </c>
    </row>
    <row r="160" spans="1:3" ht="13.5" hidden="1" thickBot="1" x14ac:dyDescent="0.25">
      <c r="B160" s="110">
        <f t="shared" si="0"/>
        <v>2035</v>
      </c>
      <c r="C160" s="135">
        <f>[17]С2.5!$T$11</f>
        <v>0</v>
      </c>
    </row>
    <row r="161" spans="2:3" ht="13.5" hidden="1" thickBot="1" x14ac:dyDescent="0.25">
      <c r="B161" s="110">
        <f t="shared" si="0"/>
        <v>2036</v>
      </c>
      <c r="C161" s="135">
        <f>[17]С2.5!$U$11</f>
        <v>0</v>
      </c>
    </row>
    <row r="162" spans="2:3" ht="13.5" hidden="1" thickBot="1" x14ac:dyDescent="0.25">
      <c r="B162" s="110">
        <f t="shared" si="0"/>
        <v>2037</v>
      </c>
      <c r="C162" s="135">
        <f>[17]С2.5!$V$11</f>
        <v>0</v>
      </c>
    </row>
    <row r="163" spans="2:3" ht="13.5" hidden="1" thickBot="1" x14ac:dyDescent="0.25">
      <c r="B163" s="110">
        <f t="shared" si="0"/>
        <v>2038</v>
      </c>
      <c r="C163" s="135">
        <f>[17]С2.5!$W$11</f>
        <v>0</v>
      </c>
    </row>
    <row r="164" spans="2:3" ht="13.5" hidden="1" thickBot="1" x14ac:dyDescent="0.25">
      <c r="B164" s="110">
        <f t="shared" si="0"/>
        <v>2039</v>
      </c>
      <c r="C164" s="135">
        <f>[17]С2.5!$X$11</f>
        <v>0</v>
      </c>
    </row>
    <row r="165" spans="2:3" ht="13.5" hidden="1" thickBot="1" x14ac:dyDescent="0.25">
      <c r="B165" s="110">
        <f t="shared" si="0"/>
        <v>2040</v>
      </c>
      <c r="C165" s="135">
        <f>[17]С2.5!$Y$11</f>
        <v>0</v>
      </c>
    </row>
    <row r="166" spans="2:3" ht="13.5" hidden="1" thickBot="1" x14ac:dyDescent="0.25">
      <c r="B166" s="110">
        <f t="shared" si="0"/>
        <v>2041</v>
      </c>
      <c r="C166" s="135">
        <f>[17]С2.5!$Z$11</f>
        <v>0</v>
      </c>
    </row>
    <row r="167" spans="2:3" ht="13.5" hidden="1" thickBot="1" x14ac:dyDescent="0.25">
      <c r="B167" s="110">
        <f t="shared" si="0"/>
        <v>2042</v>
      </c>
      <c r="C167" s="135">
        <f>[17]С2.5!$AA$11</f>
        <v>0</v>
      </c>
    </row>
    <row r="168" spans="2:3" ht="13.5" hidden="1" thickBot="1" x14ac:dyDescent="0.25">
      <c r="B168" s="110">
        <f t="shared" si="0"/>
        <v>2043</v>
      </c>
      <c r="C168" s="135">
        <f>[17]С2.5!$AB$11</f>
        <v>0</v>
      </c>
    </row>
    <row r="169" spans="2:3" ht="13.5" hidden="1" thickBot="1" x14ac:dyDescent="0.25">
      <c r="B169" s="110">
        <f t="shared" si="0"/>
        <v>2044</v>
      </c>
      <c r="C169" s="135">
        <f>[17]С2.5!$AC$11</f>
        <v>0</v>
      </c>
    </row>
    <row r="170" spans="2:3" ht="13.5" hidden="1" thickBot="1" x14ac:dyDescent="0.25">
      <c r="B170" s="110">
        <f t="shared" si="0"/>
        <v>2045</v>
      </c>
      <c r="C170" s="135">
        <f>[17]С2.5!$AD$11</f>
        <v>0</v>
      </c>
    </row>
    <row r="171" spans="2:3" ht="13.5" hidden="1" thickBot="1" x14ac:dyDescent="0.25">
      <c r="B171" s="110">
        <f t="shared" si="0"/>
        <v>2046</v>
      </c>
      <c r="C171" s="135">
        <f>[17]С2.5!$AE$11</f>
        <v>0</v>
      </c>
    </row>
    <row r="172" spans="2:3" ht="13.5" hidden="1" thickBot="1" x14ac:dyDescent="0.25">
      <c r="B172" s="110">
        <f t="shared" si="0"/>
        <v>2047</v>
      </c>
      <c r="C172" s="135">
        <f>[17]С2.5!$AF$11</f>
        <v>0</v>
      </c>
    </row>
    <row r="173" spans="2:3" ht="13.5" hidden="1" thickBot="1" x14ac:dyDescent="0.25">
      <c r="B173" s="110">
        <f t="shared" si="0"/>
        <v>2048</v>
      </c>
      <c r="C173" s="135">
        <f>[17]С2.5!$AG$11</f>
        <v>0</v>
      </c>
    </row>
    <row r="174" spans="2:3" ht="13.5" hidden="1" thickBot="1" x14ac:dyDescent="0.25">
      <c r="B174" s="110">
        <f t="shared" si="0"/>
        <v>2049</v>
      </c>
      <c r="C174" s="135">
        <f>[17]С2.5!$AH$11</f>
        <v>0</v>
      </c>
    </row>
    <row r="175" spans="2:3" ht="13.5" hidden="1" thickBot="1" x14ac:dyDescent="0.25">
      <c r="B175" s="110">
        <f t="shared" si="0"/>
        <v>2050</v>
      </c>
      <c r="C175" s="135">
        <f>[17]С2.5!$AI$11</f>
        <v>0</v>
      </c>
    </row>
    <row r="176" spans="2:3" ht="13.5" hidden="1" thickBot="1" x14ac:dyDescent="0.25">
      <c r="B176" s="110">
        <f t="shared" si="0"/>
        <v>2051</v>
      </c>
      <c r="C176" s="135">
        <f>[17]С2.5!$AJ$11</f>
        <v>0</v>
      </c>
    </row>
    <row r="177" spans="2:3" ht="13.5" hidden="1" thickBot="1" x14ac:dyDescent="0.25">
      <c r="B177" s="110">
        <f t="shared" si="0"/>
        <v>2052</v>
      </c>
      <c r="C177" s="135">
        <f>[17]С2.5!$AK$11</f>
        <v>0</v>
      </c>
    </row>
    <row r="178" spans="2:3" ht="13.5" hidden="1" thickBot="1" x14ac:dyDescent="0.25">
      <c r="B178" s="110">
        <f t="shared" si="0"/>
        <v>2053</v>
      </c>
      <c r="C178" s="135">
        <f>[17]С2.5!$AL$11</f>
        <v>0</v>
      </c>
    </row>
    <row r="179" spans="2:3" ht="13.5" hidden="1" thickBot="1" x14ac:dyDescent="0.25">
      <c r="B179" s="110">
        <f t="shared" si="0"/>
        <v>2054</v>
      </c>
      <c r="C179" s="135">
        <f>[17]С2.5!$AM$11</f>
        <v>0</v>
      </c>
    </row>
    <row r="180" spans="2:3" ht="13.5" hidden="1" thickBot="1" x14ac:dyDescent="0.25">
      <c r="B180" s="110">
        <f t="shared" si="0"/>
        <v>2055</v>
      </c>
      <c r="C180" s="135">
        <f>[17]С2.5!$AN$11</f>
        <v>0</v>
      </c>
    </row>
    <row r="181" spans="2:3" ht="13.5" hidden="1" thickBot="1" x14ac:dyDescent="0.25">
      <c r="B181" s="110">
        <f t="shared" si="0"/>
        <v>2056</v>
      </c>
      <c r="C181" s="135">
        <f>[17]С2.5!$AO$11</f>
        <v>0</v>
      </c>
    </row>
    <row r="182" spans="2:3" ht="13.5" hidden="1" thickBot="1" x14ac:dyDescent="0.25">
      <c r="B182" s="110">
        <f t="shared" si="0"/>
        <v>2057</v>
      </c>
      <c r="C182" s="135">
        <f>[17]С2.5!$AP$11</f>
        <v>0</v>
      </c>
    </row>
    <row r="183" spans="2:3" ht="13.5" hidden="1" thickBot="1" x14ac:dyDescent="0.25">
      <c r="B183" s="110">
        <f t="shared" si="0"/>
        <v>2058</v>
      </c>
      <c r="C183" s="135">
        <f>[17]С2.5!$AQ$11</f>
        <v>0</v>
      </c>
    </row>
    <row r="184" spans="2:3" ht="13.5" hidden="1" thickBot="1" x14ac:dyDescent="0.25">
      <c r="B184" s="110">
        <f t="shared" si="0"/>
        <v>2059</v>
      </c>
      <c r="C184" s="135">
        <f>[17]С2.5!$AR$11</f>
        <v>0</v>
      </c>
    </row>
    <row r="185" spans="2:3" ht="13.5" hidden="1" thickBot="1" x14ac:dyDescent="0.25">
      <c r="B185" s="110">
        <f t="shared" si="0"/>
        <v>2060</v>
      </c>
      <c r="C185" s="135">
        <f>[17]С2.5!$AS$11</f>
        <v>0</v>
      </c>
    </row>
    <row r="186" spans="2:3" ht="13.5" hidden="1" thickBot="1" x14ac:dyDescent="0.25">
      <c r="B186" s="110">
        <f t="shared" si="0"/>
        <v>2061</v>
      </c>
      <c r="C186" s="135">
        <f>[17]С2.5!$AT$11</f>
        <v>0</v>
      </c>
    </row>
    <row r="187" spans="2:3" ht="13.5" hidden="1" thickBot="1" x14ac:dyDescent="0.25">
      <c r="B187" s="110">
        <f t="shared" si="0"/>
        <v>2062</v>
      </c>
      <c r="C187" s="135">
        <f>[17]С2.5!$AU$11</f>
        <v>0</v>
      </c>
    </row>
    <row r="188" spans="2:3" ht="13.5" hidden="1" thickBot="1" x14ac:dyDescent="0.25">
      <c r="B188" s="110">
        <f t="shared" si="0"/>
        <v>2063</v>
      </c>
      <c r="C188" s="135">
        <f>[17]С2.5!$AV$11</f>
        <v>0</v>
      </c>
    </row>
    <row r="189" spans="2:3" ht="13.5" hidden="1" thickBot="1" x14ac:dyDescent="0.25">
      <c r="B189" s="110">
        <f t="shared" si="0"/>
        <v>2064</v>
      </c>
      <c r="C189" s="135">
        <f>[17]С2.5!$AW$11</f>
        <v>0</v>
      </c>
    </row>
    <row r="190" spans="2:3" ht="13.5" hidden="1" thickBot="1" x14ac:dyDescent="0.25">
      <c r="B190" s="110">
        <f t="shared" si="0"/>
        <v>2065</v>
      </c>
      <c r="C190" s="135">
        <f>[17]С2.5!$AX$11</f>
        <v>0</v>
      </c>
    </row>
    <row r="191" spans="2:3" ht="13.5" hidden="1" thickBot="1" x14ac:dyDescent="0.25">
      <c r="B191" s="110">
        <f t="shared" si="0"/>
        <v>2066</v>
      </c>
      <c r="C191" s="135">
        <f>[17]С2.5!$AY$11</f>
        <v>0</v>
      </c>
    </row>
    <row r="192" spans="2:3" ht="13.5" hidden="1" thickBot="1" x14ac:dyDescent="0.25">
      <c r="B192" s="110">
        <f t="shared" si="0"/>
        <v>2067</v>
      </c>
      <c r="C192" s="135">
        <f>[17]С2.5!$AZ$11</f>
        <v>0</v>
      </c>
    </row>
    <row r="193" spans="2:3" ht="13.5" hidden="1" thickBot="1" x14ac:dyDescent="0.25">
      <c r="B193" s="110">
        <f t="shared" si="0"/>
        <v>2068</v>
      </c>
      <c r="C193" s="135">
        <f>[17]С2.5!$BA$11</f>
        <v>0</v>
      </c>
    </row>
    <row r="194" spans="2:3" ht="13.5" hidden="1" thickBot="1" x14ac:dyDescent="0.25">
      <c r="B194" s="110">
        <f t="shared" si="0"/>
        <v>2069</v>
      </c>
      <c r="C194" s="135">
        <f>[17]С2.5!$BB$11</f>
        <v>0</v>
      </c>
    </row>
    <row r="195" spans="2:3" ht="13.5" hidden="1" thickBot="1" x14ac:dyDescent="0.25">
      <c r="B195" s="110">
        <f t="shared" si="0"/>
        <v>2070</v>
      </c>
      <c r="C195" s="135">
        <f>[17]С2.5!$BC$11</f>
        <v>0</v>
      </c>
    </row>
    <row r="196" spans="2:3" ht="13.5" hidden="1" thickBot="1" x14ac:dyDescent="0.25">
      <c r="B196" s="110">
        <f t="shared" si="0"/>
        <v>2071</v>
      </c>
      <c r="C196" s="135">
        <f>[17]С2.5!$BD$11</f>
        <v>0</v>
      </c>
    </row>
    <row r="197" spans="2:3" ht="13.5" hidden="1" thickBot="1" x14ac:dyDescent="0.25">
      <c r="B197" s="110">
        <f t="shared" si="0"/>
        <v>2072</v>
      </c>
      <c r="C197" s="135">
        <f>[17]С2.5!$BE$11</f>
        <v>0</v>
      </c>
    </row>
    <row r="198" spans="2:3" ht="13.5" hidden="1" thickBot="1" x14ac:dyDescent="0.25">
      <c r="B198" s="110">
        <f t="shared" si="0"/>
        <v>2073</v>
      </c>
      <c r="C198" s="135">
        <f>[17]С2.5!$BF$11</f>
        <v>0</v>
      </c>
    </row>
    <row r="199" spans="2:3" ht="13.5" hidden="1" thickBot="1" x14ac:dyDescent="0.25">
      <c r="B199" s="110">
        <f t="shared" si="0"/>
        <v>2074</v>
      </c>
      <c r="C199" s="135">
        <f>[17]С2.5!$BG$11</f>
        <v>0</v>
      </c>
    </row>
    <row r="200" spans="2:3" ht="13.5" hidden="1" thickBot="1" x14ac:dyDescent="0.25">
      <c r="B200" s="110">
        <f t="shared" si="0"/>
        <v>2075</v>
      </c>
      <c r="C200" s="135">
        <f>[17]С2.5!$BH$11</f>
        <v>0</v>
      </c>
    </row>
    <row r="201" spans="2:3" ht="13.5" hidden="1" thickBot="1" x14ac:dyDescent="0.25">
      <c r="B201" s="110">
        <f t="shared" si="0"/>
        <v>2076</v>
      </c>
      <c r="C201" s="135">
        <f>[17]С2.5!$BI$11</f>
        <v>0</v>
      </c>
    </row>
    <row r="202" spans="2:3" ht="13.5" hidden="1" thickBot="1" x14ac:dyDescent="0.25">
      <c r="B202" s="110">
        <f t="shared" si="0"/>
        <v>2077</v>
      </c>
      <c r="C202" s="135">
        <f>[17]С2.5!$BJ$11</f>
        <v>0</v>
      </c>
    </row>
    <row r="203" spans="2:3" ht="13.5" hidden="1" thickBot="1" x14ac:dyDescent="0.25">
      <c r="B203" s="110">
        <f t="shared" si="0"/>
        <v>2078</v>
      </c>
      <c r="C203" s="135">
        <f>[17]С2.5!$BK$11</f>
        <v>0</v>
      </c>
    </row>
    <row r="204" spans="2:3" ht="13.5" hidden="1" thickBot="1" x14ac:dyDescent="0.25">
      <c r="B204" s="110">
        <f t="shared" si="0"/>
        <v>2079</v>
      </c>
      <c r="C204" s="135">
        <f>[17]С2.5!$BL$11</f>
        <v>0</v>
      </c>
    </row>
    <row r="205" spans="2:3" ht="13.5" hidden="1" thickBot="1" x14ac:dyDescent="0.25">
      <c r="B205" s="110">
        <f t="shared" si="0"/>
        <v>2080</v>
      </c>
      <c r="C205" s="135">
        <f>[17]С2.5!$BM$11</f>
        <v>0</v>
      </c>
    </row>
    <row r="206" spans="2:3" ht="13.5" hidden="1" thickBot="1" x14ac:dyDescent="0.25">
      <c r="B206" s="110">
        <f t="shared" si="0"/>
        <v>2081</v>
      </c>
      <c r="C206" s="135">
        <f>[17]С2.5!$BN$11</f>
        <v>0</v>
      </c>
    </row>
    <row r="207" spans="2:3" ht="13.5" hidden="1" thickBot="1" x14ac:dyDescent="0.25">
      <c r="B207" s="110">
        <f t="shared" si="0"/>
        <v>2082</v>
      </c>
      <c r="C207" s="135">
        <f>[17]С2.5!$BO$11</f>
        <v>0</v>
      </c>
    </row>
    <row r="208" spans="2:3" ht="13.5" hidden="1" thickBot="1" x14ac:dyDescent="0.25">
      <c r="B208" s="110">
        <f t="shared" si="0"/>
        <v>2083</v>
      </c>
      <c r="C208" s="135">
        <f>[17]С2.5!$BP$11</f>
        <v>0</v>
      </c>
    </row>
    <row r="209" spans="2:3" ht="13.5" hidden="1" thickBot="1" x14ac:dyDescent="0.25">
      <c r="B209" s="110">
        <f t="shared" si="0"/>
        <v>2084</v>
      </c>
      <c r="C209" s="135">
        <f>[17]С2.5!$BQ$11</f>
        <v>0</v>
      </c>
    </row>
    <row r="210" spans="2:3" ht="13.5" hidden="1" thickBot="1" x14ac:dyDescent="0.25">
      <c r="B210" s="110">
        <f t="shared" si="0"/>
        <v>2085</v>
      </c>
      <c r="C210" s="135">
        <f>[17]С2.5!$BR$11</f>
        <v>0</v>
      </c>
    </row>
    <row r="211" spans="2:3" ht="13.5" hidden="1" thickBot="1" x14ac:dyDescent="0.25">
      <c r="B211" s="110">
        <f t="shared" ref="B211:B224" si="1">B210+1</f>
        <v>2086</v>
      </c>
      <c r="C211" s="135">
        <f>[17]С2.5!$BS$11</f>
        <v>0</v>
      </c>
    </row>
    <row r="212" spans="2:3" ht="13.5" hidden="1" thickBot="1" x14ac:dyDescent="0.25">
      <c r="B212" s="110">
        <f t="shared" si="1"/>
        <v>2087</v>
      </c>
      <c r="C212" s="135">
        <f>[17]С2.5!$BT$11</f>
        <v>0</v>
      </c>
    </row>
    <row r="213" spans="2:3" ht="13.5" hidden="1" thickBot="1" x14ac:dyDescent="0.25">
      <c r="B213" s="110">
        <f t="shared" si="1"/>
        <v>2088</v>
      </c>
      <c r="C213" s="135">
        <f>[17]С2.5!$BU$11</f>
        <v>0</v>
      </c>
    </row>
    <row r="214" spans="2:3" ht="13.5" hidden="1" thickBot="1" x14ac:dyDescent="0.25">
      <c r="B214" s="110">
        <f t="shared" si="1"/>
        <v>2089</v>
      </c>
      <c r="C214" s="135">
        <f>[17]С2.5!$BV$11</f>
        <v>0</v>
      </c>
    </row>
    <row r="215" spans="2:3" ht="13.5" hidden="1" thickBot="1" x14ac:dyDescent="0.25">
      <c r="B215" s="110">
        <f t="shared" si="1"/>
        <v>2090</v>
      </c>
      <c r="C215" s="135">
        <f>[17]С2.5!$BW$11</f>
        <v>0</v>
      </c>
    </row>
    <row r="216" spans="2:3" ht="13.5" hidden="1" thickBot="1" x14ac:dyDescent="0.25">
      <c r="B216" s="110">
        <f t="shared" si="1"/>
        <v>2091</v>
      </c>
      <c r="C216" s="135">
        <f>[17]С2.5!$BX$11</f>
        <v>0</v>
      </c>
    </row>
    <row r="217" spans="2:3" ht="13.5" hidden="1" thickBot="1" x14ac:dyDescent="0.25">
      <c r="B217" s="110">
        <f t="shared" si="1"/>
        <v>2092</v>
      </c>
      <c r="C217" s="135">
        <f>[17]С2.5!$BY$11</f>
        <v>0</v>
      </c>
    </row>
    <row r="218" spans="2:3" ht="13.5" hidden="1" thickBot="1" x14ac:dyDescent="0.25">
      <c r="B218" s="110">
        <f t="shared" si="1"/>
        <v>2093</v>
      </c>
      <c r="C218" s="135">
        <f>[17]С2.5!$BZ$11</f>
        <v>0</v>
      </c>
    </row>
    <row r="219" spans="2:3" ht="13.5" hidden="1" thickBot="1" x14ac:dyDescent="0.25">
      <c r="B219" s="110">
        <f t="shared" si="1"/>
        <v>2094</v>
      </c>
      <c r="C219" s="135">
        <f>[17]С2.5!$CA$11</f>
        <v>0</v>
      </c>
    </row>
    <row r="220" spans="2:3" ht="13.5" hidden="1" thickBot="1" x14ac:dyDescent="0.25">
      <c r="B220" s="110">
        <f t="shared" si="1"/>
        <v>2095</v>
      </c>
      <c r="C220" s="135">
        <f>[17]С2.5!$CB$11</f>
        <v>0</v>
      </c>
    </row>
    <row r="221" spans="2:3" ht="13.5" hidden="1" thickBot="1" x14ac:dyDescent="0.25">
      <c r="B221" s="110">
        <f t="shared" si="1"/>
        <v>2096</v>
      </c>
      <c r="C221" s="135">
        <f>[17]С2.5!$CC$11</f>
        <v>0</v>
      </c>
    </row>
    <row r="222" spans="2:3" ht="13.5" hidden="1" thickBot="1" x14ac:dyDescent="0.25">
      <c r="B222" s="110">
        <f t="shared" si="1"/>
        <v>2097</v>
      </c>
      <c r="C222" s="135">
        <f>[17]С2.5!$CD$11</f>
        <v>0</v>
      </c>
    </row>
    <row r="223" spans="2:3" ht="13.5" hidden="1" thickBot="1" x14ac:dyDescent="0.25">
      <c r="B223" s="110">
        <f t="shared" si="1"/>
        <v>2098</v>
      </c>
      <c r="C223" s="135">
        <f>[17]С2.5!$CE$11</f>
        <v>0</v>
      </c>
    </row>
    <row r="224" spans="2:3" ht="13.5" hidden="1" thickBot="1" x14ac:dyDescent="0.25">
      <c r="B224" s="110">
        <f t="shared" si="1"/>
        <v>2099</v>
      </c>
      <c r="C224" s="135">
        <f>[17]С2.5!$CF$11</f>
        <v>0</v>
      </c>
    </row>
    <row r="225" spans="2:3" ht="13.5" hidden="1" thickBot="1" x14ac:dyDescent="0.25">
      <c r="B225" s="112">
        <f>B162+1</f>
        <v>2038</v>
      </c>
      <c r="C225" s="136" t="e">
        <f>[17]С2.5!#REF!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8]!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13314" r:id="rId4" name="Button 2">
              <controlPr defaultSize="0" print="0" autoFill="0" autoPict="0" macro="[17]!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[18]И1!D13</f>
        <v>Субъект Российской Федерации</v>
      </c>
      <c r="C4" s="10" t="str">
        <f>[18]И1!E13</f>
        <v>Новосибирская область</v>
      </c>
    </row>
    <row r="5" spans="1:3" ht="46.9" customHeight="1" x14ac:dyDescent="0.2">
      <c r="A5" s="8"/>
      <c r="B5" s="9" t="str">
        <f>[18]И1!D14</f>
        <v>Тип муниципального образования (выберите из списка)</v>
      </c>
      <c r="C5" s="10" t="str">
        <f>[18]И1!E14</f>
        <v>поселок Степной, Искитимский муниципальный район</v>
      </c>
    </row>
    <row r="6" spans="1:3" x14ac:dyDescent="0.2">
      <c r="A6" s="8"/>
      <c r="B6" s="9" t="str">
        <f>IF([18]И1!E15="","",[18]И1!D15)</f>
        <v/>
      </c>
      <c r="C6" s="10" t="str">
        <f>IF([18]И1!E15="","",[18]И1!E15)</f>
        <v/>
      </c>
    </row>
    <row r="7" spans="1:3" x14ac:dyDescent="0.2">
      <c r="A7" s="8"/>
      <c r="B7" s="9" t="str">
        <f>[18]И1!D16</f>
        <v>Код ОКТМО</v>
      </c>
      <c r="C7" s="11" t="str">
        <f>[18]И1!E16</f>
        <v xml:space="preserve"> (50615425101)</v>
      </c>
    </row>
    <row r="8" spans="1:3" x14ac:dyDescent="0.2">
      <c r="A8" s="8"/>
      <c r="B8" s="12" t="str">
        <f>[18]И1!D17</f>
        <v>Система теплоснабжения</v>
      </c>
      <c r="C8" s="13">
        <f>[18]И1!E17</f>
        <v>0</v>
      </c>
    </row>
    <row r="9" spans="1:3" x14ac:dyDescent="0.2">
      <c r="A9" s="8"/>
      <c r="B9" s="9" t="str">
        <f>[18]И1!D8</f>
        <v>Период регулирования (i)-й</v>
      </c>
      <c r="C9" s="14">
        <f>[18]И1!E8</f>
        <v>2024</v>
      </c>
    </row>
    <row r="10" spans="1:3" x14ac:dyDescent="0.2">
      <c r="A10" s="8"/>
      <c r="B10" s="9" t="str">
        <f>[18]И1!D9</f>
        <v>Период регулирования (i-1)-й</v>
      </c>
      <c r="C10" s="14">
        <f>[18]И1!E9</f>
        <v>2023</v>
      </c>
    </row>
    <row r="11" spans="1:3" x14ac:dyDescent="0.2">
      <c r="A11" s="8"/>
      <c r="B11" s="9" t="str">
        <f>[18]И1!D10</f>
        <v>Период регулирования (i-2)-й</v>
      </c>
      <c r="C11" s="14">
        <f>[18]И1!E10</f>
        <v>2022</v>
      </c>
    </row>
    <row r="12" spans="1:3" x14ac:dyDescent="0.2">
      <c r="A12" s="8"/>
      <c r="B12" s="9" t="str">
        <f>[18]И1!D11</f>
        <v>Базовый год (б)</v>
      </c>
      <c r="C12" s="14">
        <f>[18]И1!E11</f>
        <v>2019</v>
      </c>
    </row>
    <row r="13" spans="1:3" ht="38.25" x14ac:dyDescent="0.2">
      <c r="A13" s="8"/>
      <c r="B13" s="9" t="str">
        <f>[18]И1!D18</f>
        <v>Вид топлива, использование которого преобладает в системе теплоснабжения</v>
      </c>
      <c r="C13" s="15" t="str">
        <f>[18]С1.1!E13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3738.6091205254761</v>
      </c>
    </row>
    <row r="18" spans="1:3" ht="42.75" x14ac:dyDescent="0.2">
      <c r="A18" s="22" t="s">
        <v>8</v>
      </c>
      <c r="B18" s="25" t="s">
        <v>9</v>
      </c>
      <c r="C18" s="26">
        <f>[18]С1!F12</f>
        <v>744.53988101969924</v>
      </c>
    </row>
    <row r="19" spans="1:3" ht="42.75" x14ac:dyDescent="0.2">
      <c r="A19" s="22" t="s">
        <v>10</v>
      </c>
      <c r="B19" s="25" t="s">
        <v>11</v>
      </c>
      <c r="C19" s="26">
        <f>[18]С2!F12</f>
        <v>2000.3680279558928</v>
      </c>
    </row>
    <row r="20" spans="1:3" ht="30" x14ac:dyDescent="0.2">
      <c r="A20" s="22" t="s">
        <v>12</v>
      </c>
      <c r="B20" s="25" t="s">
        <v>13</v>
      </c>
      <c r="C20" s="26">
        <f>[18]С3!F12</f>
        <v>475.74490066496389</v>
      </c>
    </row>
    <row r="21" spans="1:3" ht="42.75" x14ac:dyDescent="0.2">
      <c r="A21" s="22" t="s">
        <v>14</v>
      </c>
      <c r="B21" s="25" t="s">
        <v>15</v>
      </c>
      <c r="C21" s="26">
        <f>[18]С4!F12</f>
        <v>444.6502496981459</v>
      </c>
    </row>
    <row r="22" spans="1:3" ht="30" x14ac:dyDescent="0.2">
      <c r="A22" s="22" t="s">
        <v>16</v>
      </c>
      <c r="B22" s="25" t="s">
        <v>17</v>
      </c>
      <c r="C22" s="26">
        <f>[18]С5!F12</f>
        <v>73.306061186774045</v>
      </c>
    </row>
    <row r="23" spans="1:3" ht="43.5" thickBot="1" x14ac:dyDescent="0.25">
      <c r="A23" s="27" t="s">
        <v>18</v>
      </c>
      <c r="B23" s="140" t="s">
        <v>19</v>
      </c>
      <c r="C23" s="28" t="str">
        <f>[18]С6!F12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[18]С1.1!E16</f>
        <v>5100</v>
      </c>
    </row>
    <row r="29" spans="1:3" ht="42.75" x14ac:dyDescent="0.2">
      <c r="A29" s="22" t="s">
        <v>10</v>
      </c>
      <c r="B29" s="33" t="s">
        <v>22</v>
      </c>
      <c r="C29" s="34">
        <f>[18]С1.1!E27</f>
        <v>3345.2500000000005</v>
      </c>
    </row>
    <row r="30" spans="1:3" ht="17.25" x14ac:dyDescent="0.2">
      <c r="A30" s="22" t="s">
        <v>12</v>
      </c>
      <c r="B30" s="33" t="s">
        <v>23</v>
      </c>
      <c r="C30" s="35">
        <f>[18]С1.1!E19</f>
        <v>-0.19900000000000001</v>
      </c>
    </row>
    <row r="31" spans="1:3" ht="17.25" x14ac:dyDescent="0.2">
      <c r="A31" s="22" t="s">
        <v>14</v>
      </c>
      <c r="B31" s="33" t="s">
        <v>24</v>
      </c>
      <c r="C31" s="35">
        <f>[18]С1.1!E20</f>
        <v>5.7000000000000002E-2</v>
      </c>
    </row>
    <row r="32" spans="1:3" ht="30" x14ac:dyDescent="0.2">
      <c r="A32" s="22" t="s">
        <v>16</v>
      </c>
      <c r="B32" s="36" t="s">
        <v>25</v>
      </c>
      <c r="C32" s="37">
        <f>[18]С1!F13</f>
        <v>176.4</v>
      </c>
    </row>
    <row r="33" spans="1:3" x14ac:dyDescent="0.2">
      <c r="A33" s="22" t="s">
        <v>18</v>
      </c>
      <c r="B33" s="36" t="s">
        <v>26</v>
      </c>
      <c r="C33" s="38">
        <f>[18]С1!F16</f>
        <v>7000</v>
      </c>
    </row>
    <row r="34" spans="1:3" ht="14.25" x14ac:dyDescent="0.2">
      <c r="A34" s="22" t="s">
        <v>27</v>
      </c>
      <c r="B34" s="39" t="s">
        <v>28</v>
      </c>
      <c r="C34" s="40">
        <f>[18]С1!F17</f>
        <v>0.72857142857142854</v>
      </c>
    </row>
    <row r="35" spans="1:3" ht="15.75" x14ac:dyDescent="0.2">
      <c r="A35" s="41" t="s">
        <v>29</v>
      </c>
      <c r="B35" s="42" t="s">
        <v>30</v>
      </c>
      <c r="C35" s="40">
        <f>[18]С1!F20</f>
        <v>21.588411179999994</v>
      </c>
    </row>
    <row r="36" spans="1:3" ht="15.75" x14ac:dyDescent="0.2">
      <c r="A36" s="41" t="s">
        <v>31</v>
      </c>
      <c r="B36" s="43" t="s">
        <v>32</v>
      </c>
      <c r="C36" s="40">
        <f>[18]С1!F21</f>
        <v>20.818139999999996</v>
      </c>
    </row>
    <row r="37" spans="1:3" ht="14.25" x14ac:dyDescent="0.2">
      <c r="A37" s="41" t="s">
        <v>33</v>
      </c>
      <c r="B37" s="44" t="s">
        <v>34</v>
      </c>
      <c r="C37" s="40">
        <f>[18]С1!F22</f>
        <v>1.0369999999999999</v>
      </c>
    </row>
    <row r="38" spans="1:3" ht="53.25" thickBot="1" x14ac:dyDescent="0.25">
      <c r="A38" s="27" t="s">
        <v>35</v>
      </c>
      <c r="B38" s="45" t="s">
        <v>36</v>
      </c>
      <c r="C38" s="46">
        <f>[18]С1!F23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[18]С2.1!E12</f>
        <v>V</v>
      </c>
    </row>
    <row r="42" spans="1:3" ht="25.5" x14ac:dyDescent="0.2">
      <c r="A42" s="22" t="s">
        <v>41</v>
      </c>
      <c r="B42" s="33" t="s">
        <v>42</v>
      </c>
      <c r="C42" s="51" t="str">
        <f>[18]С2.1!E13</f>
        <v>6 и менее баллов</v>
      </c>
    </row>
    <row r="43" spans="1:3" ht="25.5" x14ac:dyDescent="0.2">
      <c r="A43" s="22" t="s">
        <v>43</v>
      </c>
      <c r="B43" s="33" t="s">
        <v>44</v>
      </c>
      <c r="C43" s="51" t="str">
        <f>[18]С2.1!E14</f>
        <v>от 200 до 500</v>
      </c>
    </row>
    <row r="44" spans="1:3" ht="25.5" x14ac:dyDescent="0.2">
      <c r="A44" s="22" t="s">
        <v>45</v>
      </c>
      <c r="B44" s="33" t="s">
        <v>46</v>
      </c>
      <c r="C44" s="52" t="str">
        <f>[18]С2.1!E15</f>
        <v>нет</v>
      </c>
    </row>
    <row r="45" spans="1:3" ht="30" x14ac:dyDescent="0.2">
      <c r="A45" s="22" t="s">
        <v>47</v>
      </c>
      <c r="B45" s="33" t="s">
        <v>48</v>
      </c>
      <c r="C45" s="34">
        <f>[18]С2!F18</f>
        <v>35106.652004551666</v>
      </c>
    </row>
    <row r="46" spans="1:3" ht="30" x14ac:dyDescent="0.2">
      <c r="A46" s="22" t="s">
        <v>49</v>
      </c>
      <c r="B46" s="53" t="s">
        <v>50</v>
      </c>
      <c r="C46" s="34">
        <f>IF([18]С2!F19&gt;0,[18]С2!F19,[18]С2!F20)</f>
        <v>23441.524932855718</v>
      </c>
    </row>
    <row r="47" spans="1:3" ht="25.5" x14ac:dyDescent="0.2">
      <c r="A47" s="22" t="s">
        <v>51</v>
      </c>
      <c r="B47" s="54" t="s">
        <v>52</v>
      </c>
      <c r="C47" s="34">
        <f>[18]С2.1!E19</f>
        <v>-38</v>
      </c>
    </row>
    <row r="48" spans="1:3" ht="25.5" x14ac:dyDescent="0.2">
      <c r="A48" s="22" t="s">
        <v>53</v>
      </c>
      <c r="B48" s="54" t="s">
        <v>54</v>
      </c>
      <c r="C48" s="34" t="str">
        <f>[18]С2.1!E22</f>
        <v>нет</v>
      </c>
    </row>
    <row r="49" spans="1:3" ht="38.25" x14ac:dyDescent="0.2">
      <c r="A49" s="22" t="s">
        <v>55</v>
      </c>
      <c r="B49" s="55" t="s">
        <v>56</v>
      </c>
      <c r="C49" s="34">
        <f>[18]С2.2!E10</f>
        <v>1287</v>
      </c>
    </row>
    <row r="50" spans="1:3" ht="25.5" x14ac:dyDescent="0.2">
      <c r="A50" s="22" t="s">
        <v>57</v>
      </c>
      <c r="B50" s="56" t="s">
        <v>58</v>
      </c>
      <c r="C50" s="34">
        <f>[18]С2.2!E12</f>
        <v>5.97</v>
      </c>
    </row>
    <row r="51" spans="1:3" ht="52.5" x14ac:dyDescent="0.2">
      <c r="A51" s="22" t="s">
        <v>59</v>
      </c>
      <c r="B51" s="57" t="s">
        <v>60</v>
      </c>
      <c r="C51" s="34">
        <f>[18]С2.2!E13</f>
        <v>1</v>
      </c>
    </row>
    <row r="52" spans="1:3" ht="27.75" x14ac:dyDescent="0.2">
      <c r="A52" s="22" t="s">
        <v>61</v>
      </c>
      <c r="B52" s="56" t="s">
        <v>62</v>
      </c>
      <c r="C52" s="34">
        <f>[18]С2.2!E14</f>
        <v>12104</v>
      </c>
    </row>
    <row r="53" spans="1:3" ht="25.5" x14ac:dyDescent="0.2">
      <c r="A53" s="22" t="s">
        <v>63</v>
      </c>
      <c r="B53" s="57" t="s">
        <v>64</v>
      </c>
      <c r="C53" s="35">
        <f>[18]С2.2!E15</f>
        <v>4.8000000000000001E-2</v>
      </c>
    </row>
    <row r="54" spans="1:3" x14ac:dyDescent="0.2">
      <c r="A54" s="22" t="s">
        <v>65</v>
      </c>
      <c r="B54" s="57" t="s">
        <v>66</v>
      </c>
      <c r="C54" s="34">
        <f>[18]С2.2!E16</f>
        <v>1</v>
      </c>
    </row>
    <row r="55" spans="1:3" ht="15.75" x14ac:dyDescent="0.2">
      <c r="A55" s="22" t="s">
        <v>67</v>
      </c>
      <c r="B55" s="58" t="s">
        <v>68</v>
      </c>
      <c r="C55" s="34">
        <f>[18]С2!F21</f>
        <v>1</v>
      </c>
    </row>
    <row r="56" spans="1:3" ht="30" x14ac:dyDescent="0.2">
      <c r="A56" s="59" t="s">
        <v>69</v>
      </c>
      <c r="B56" s="33" t="s">
        <v>70</v>
      </c>
      <c r="C56" s="34">
        <f>[18]С2!F13</f>
        <v>183796.83936385796</v>
      </c>
    </row>
    <row r="57" spans="1:3" ht="30" x14ac:dyDescent="0.2">
      <c r="A57" s="59" t="s">
        <v>71</v>
      </c>
      <c r="B57" s="58" t="s">
        <v>72</v>
      </c>
      <c r="C57" s="34">
        <f>[18]С2!F14</f>
        <v>113455</v>
      </c>
    </row>
    <row r="58" spans="1:3" ht="15.75" x14ac:dyDescent="0.2">
      <c r="A58" s="59" t="s">
        <v>73</v>
      </c>
      <c r="B58" s="60" t="s">
        <v>74</v>
      </c>
      <c r="C58" s="40">
        <f>[18]С2!F15</f>
        <v>1.071</v>
      </c>
    </row>
    <row r="59" spans="1:3" ht="15.75" x14ac:dyDescent="0.2">
      <c r="A59" s="59" t="s">
        <v>75</v>
      </c>
      <c r="B59" s="60" t="s">
        <v>76</v>
      </c>
      <c r="C59" s="40">
        <f>[18]С2!F16</f>
        <v>1</v>
      </c>
    </row>
    <row r="60" spans="1:3" ht="17.25" x14ac:dyDescent="0.2">
      <c r="A60" s="59" t="s">
        <v>77</v>
      </c>
      <c r="B60" s="58" t="s">
        <v>78</v>
      </c>
      <c r="C60" s="34">
        <f>[18]С2!F17</f>
        <v>1.01</v>
      </c>
    </row>
    <row r="61" spans="1:3" s="63" customFormat="1" ht="14.25" x14ac:dyDescent="0.2">
      <c r="A61" s="59" t="s">
        <v>79</v>
      </c>
      <c r="B61" s="61" t="s">
        <v>80</v>
      </c>
      <c r="C61" s="62">
        <f>[18]С2!F33</f>
        <v>10</v>
      </c>
    </row>
    <row r="62" spans="1:3" ht="30" x14ac:dyDescent="0.2">
      <c r="A62" s="59" t="s">
        <v>81</v>
      </c>
      <c r="B62" s="64" t="s">
        <v>82</v>
      </c>
      <c r="C62" s="34">
        <f>[18]С2!F26</f>
        <v>2780.7867618428891</v>
      </c>
    </row>
    <row r="63" spans="1:3" ht="17.25" x14ac:dyDescent="0.2">
      <c r="A63" s="59" t="s">
        <v>83</v>
      </c>
      <c r="B63" s="53" t="s">
        <v>84</v>
      </c>
      <c r="C63" s="34">
        <f>[18]С2!F27</f>
        <v>0.44209422600000003</v>
      </c>
    </row>
    <row r="64" spans="1:3" ht="17.25" x14ac:dyDescent="0.2">
      <c r="A64" s="59" t="s">
        <v>85</v>
      </c>
      <c r="B64" s="58" t="s">
        <v>86</v>
      </c>
      <c r="C64" s="62">
        <f>[18]С2!F28</f>
        <v>4200</v>
      </c>
    </row>
    <row r="65" spans="1:3" ht="42.75" x14ac:dyDescent="0.2">
      <c r="A65" s="59" t="s">
        <v>87</v>
      </c>
      <c r="B65" s="33" t="s">
        <v>88</v>
      </c>
      <c r="C65" s="34">
        <f>[18]С2!F22</f>
        <v>38698.422798410109</v>
      </c>
    </row>
    <row r="66" spans="1:3" ht="30" x14ac:dyDescent="0.2">
      <c r="A66" s="59" t="s">
        <v>89</v>
      </c>
      <c r="B66" s="60" t="s">
        <v>90</v>
      </c>
      <c r="C66" s="34">
        <f>[18]С2!F23</f>
        <v>1990</v>
      </c>
    </row>
    <row r="67" spans="1:3" ht="30" x14ac:dyDescent="0.2">
      <c r="A67" s="59" t="s">
        <v>91</v>
      </c>
      <c r="B67" s="53" t="s">
        <v>92</v>
      </c>
      <c r="C67" s="34">
        <f>[18]С2.1!E27</f>
        <v>14307.876789999998</v>
      </c>
    </row>
    <row r="68" spans="1:3" ht="38.25" x14ac:dyDescent="0.2">
      <c r="A68" s="59" t="s">
        <v>93</v>
      </c>
      <c r="B68" s="65" t="s">
        <v>94</v>
      </c>
      <c r="C68" s="52">
        <f>[18]С2.3!E21</f>
        <v>0</v>
      </c>
    </row>
    <row r="69" spans="1:3" ht="25.5" x14ac:dyDescent="0.2">
      <c r="A69" s="59" t="s">
        <v>95</v>
      </c>
      <c r="B69" s="66" t="s">
        <v>96</v>
      </c>
      <c r="C69" s="67">
        <f>[18]С2.3!E11</f>
        <v>9.89</v>
      </c>
    </row>
    <row r="70" spans="1:3" ht="25.5" x14ac:dyDescent="0.2">
      <c r="A70" s="59" t="s">
        <v>97</v>
      </c>
      <c r="B70" s="66" t="s">
        <v>98</v>
      </c>
      <c r="C70" s="62">
        <f>[18]С2.3!E13</f>
        <v>300</v>
      </c>
    </row>
    <row r="71" spans="1:3" ht="25.5" x14ac:dyDescent="0.2">
      <c r="A71" s="59" t="s">
        <v>99</v>
      </c>
      <c r="B71" s="65" t="s">
        <v>100</v>
      </c>
      <c r="C71" s="68">
        <f>IF([18]С2.3!E22&gt;0,[18]С2.3!E22,[18]С2.3!E14)</f>
        <v>61211</v>
      </c>
    </row>
    <row r="72" spans="1:3" ht="38.25" x14ac:dyDescent="0.2">
      <c r="A72" s="59" t="s">
        <v>101</v>
      </c>
      <c r="B72" s="65" t="s">
        <v>102</v>
      </c>
      <c r="C72" s="68">
        <f>IF([18]С2.3!E23&gt;0,[18]С2.3!E23,[18]С2.3!E15)</f>
        <v>45675</v>
      </c>
    </row>
    <row r="73" spans="1:3" ht="30" x14ac:dyDescent="0.2">
      <c r="A73" s="59" t="s">
        <v>103</v>
      </c>
      <c r="B73" s="53" t="s">
        <v>104</v>
      </c>
      <c r="C73" s="34">
        <f>[18]С2.1!E28</f>
        <v>9541.9567200000001</v>
      </c>
    </row>
    <row r="74" spans="1:3" ht="38.25" x14ac:dyDescent="0.2">
      <c r="A74" s="59" t="s">
        <v>105</v>
      </c>
      <c r="B74" s="65" t="s">
        <v>106</v>
      </c>
      <c r="C74" s="52">
        <f>[18]С2.3!E25</f>
        <v>0</v>
      </c>
    </row>
    <row r="75" spans="1:3" ht="25.5" x14ac:dyDescent="0.2">
      <c r="A75" s="59" t="s">
        <v>107</v>
      </c>
      <c r="B75" s="66" t="s">
        <v>108</v>
      </c>
      <c r="C75" s="67">
        <f>[18]С2.3!E12</f>
        <v>0.56000000000000005</v>
      </c>
    </row>
    <row r="76" spans="1:3" ht="25.5" x14ac:dyDescent="0.2">
      <c r="A76" s="59" t="s">
        <v>109</v>
      </c>
      <c r="B76" s="66" t="s">
        <v>98</v>
      </c>
      <c r="C76" s="62">
        <f>[18]С2.3!E13</f>
        <v>300</v>
      </c>
    </row>
    <row r="77" spans="1:3" ht="25.5" x14ac:dyDescent="0.2">
      <c r="A77" s="59" t="s">
        <v>110</v>
      </c>
      <c r="B77" s="69" t="s">
        <v>111</v>
      </c>
      <c r="C77" s="68">
        <f>IF([18]С2.3!E26&gt;0,[18]С2.3!E26,[18]С2.3!E16)</f>
        <v>65637</v>
      </c>
    </row>
    <row r="78" spans="1:3" ht="38.25" x14ac:dyDescent="0.2">
      <c r="A78" s="59" t="s">
        <v>112</v>
      </c>
      <c r="B78" s="69" t="s">
        <v>113</v>
      </c>
      <c r="C78" s="68">
        <f>IF([18]С2.3!E27&gt;0,[18]С2.3!E27,[18]С2.3!E17)</f>
        <v>31684</v>
      </c>
    </row>
    <row r="79" spans="1:3" ht="17.25" x14ac:dyDescent="0.2">
      <c r="A79" s="59" t="s">
        <v>114</v>
      </c>
      <c r="B79" s="33" t="s">
        <v>115</v>
      </c>
      <c r="C79" s="35">
        <f>[18]С2!F29</f>
        <v>9.5962865259740182E-2</v>
      </c>
    </row>
    <row r="80" spans="1:3" ht="30" x14ac:dyDescent="0.2">
      <c r="A80" s="59" t="s">
        <v>116</v>
      </c>
      <c r="B80" s="53" t="s">
        <v>117</v>
      </c>
      <c r="C80" s="70">
        <f>[18]С2!F30</f>
        <v>8.4029304029304031E-2</v>
      </c>
    </row>
    <row r="81" spans="1:3" ht="17.25" x14ac:dyDescent="0.2">
      <c r="A81" s="59" t="s">
        <v>118</v>
      </c>
      <c r="B81" s="71" t="s">
        <v>119</v>
      </c>
      <c r="C81" s="35">
        <f>[18]С2!F31</f>
        <v>0.13880000000000001</v>
      </c>
    </row>
    <row r="82" spans="1:3" s="63" customFormat="1" ht="18" thickBot="1" x14ac:dyDescent="0.25">
      <c r="A82" s="72" t="s">
        <v>120</v>
      </c>
      <c r="B82" s="73" t="s">
        <v>121</v>
      </c>
      <c r="C82" s="74">
        <f>[18]С2!F32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[18]С3!F14</f>
        <v>6117.6201782637581</v>
      </c>
    </row>
    <row r="86" spans="1:3" s="63" customFormat="1" ht="42.75" x14ac:dyDescent="0.2">
      <c r="A86" s="77" t="s">
        <v>126</v>
      </c>
      <c r="B86" s="53" t="s">
        <v>127</v>
      </c>
      <c r="C86" s="78">
        <f>[18]С3!F15</f>
        <v>0.2</v>
      </c>
    </row>
    <row r="87" spans="1:3" s="63" customFormat="1" ht="14.25" x14ac:dyDescent="0.2">
      <c r="A87" s="77" t="s">
        <v>128</v>
      </c>
      <c r="B87" s="79" t="s">
        <v>129</v>
      </c>
      <c r="C87" s="62">
        <f>[18]С3!F18</f>
        <v>15</v>
      </c>
    </row>
    <row r="88" spans="1:3" s="63" customFormat="1" ht="17.25" x14ac:dyDescent="0.2">
      <c r="A88" s="77" t="s">
        <v>130</v>
      </c>
      <c r="B88" s="33" t="s">
        <v>131</v>
      </c>
      <c r="C88" s="34">
        <f>[18]С3!F19</f>
        <v>3778.1614077800232</v>
      </c>
    </row>
    <row r="89" spans="1:3" s="63" customFormat="1" ht="55.5" x14ac:dyDescent="0.2">
      <c r="A89" s="77" t="s">
        <v>132</v>
      </c>
      <c r="B89" s="53" t="s">
        <v>133</v>
      </c>
      <c r="C89" s="80">
        <f>[18]С3!F20</f>
        <v>2.1999999999999999E-2</v>
      </c>
    </row>
    <row r="90" spans="1:3" s="63" customFormat="1" ht="14.25" x14ac:dyDescent="0.2">
      <c r="A90" s="77" t="s">
        <v>134</v>
      </c>
      <c r="B90" s="58" t="s">
        <v>80</v>
      </c>
      <c r="C90" s="62">
        <f>[18]С3!F21</f>
        <v>10</v>
      </c>
    </row>
    <row r="91" spans="1:3" s="63" customFormat="1" ht="17.25" x14ac:dyDescent="0.2">
      <c r="A91" s="77" t="s">
        <v>135</v>
      </c>
      <c r="B91" s="33" t="s">
        <v>136</v>
      </c>
      <c r="C91" s="34">
        <f>[18]С3!F22</f>
        <v>8.3423602855286667</v>
      </c>
    </row>
    <row r="92" spans="1:3" s="63" customFormat="1" ht="55.5" x14ac:dyDescent="0.2">
      <c r="A92" s="77" t="s">
        <v>137</v>
      </c>
      <c r="B92" s="53" t="s">
        <v>138</v>
      </c>
      <c r="C92" s="80">
        <f>[18]С3!F23</f>
        <v>3.0000000000000001E-3</v>
      </c>
    </row>
    <row r="93" spans="1:3" s="63" customFormat="1" ht="27.75" thickBot="1" x14ac:dyDescent="0.25">
      <c r="A93" s="81" t="s">
        <v>139</v>
      </c>
      <c r="B93" s="82" t="s">
        <v>140</v>
      </c>
      <c r="C93" s="83">
        <f>[18]С3!F24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[18]С4!F16</f>
        <v>1652.5</v>
      </c>
    </row>
    <row r="97" spans="1:3" ht="30" x14ac:dyDescent="0.2">
      <c r="A97" s="59" t="s">
        <v>145</v>
      </c>
      <c r="B97" s="58" t="s">
        <v>146</v>
      </c>
      <c r="C97" s="34">
        <f>[18]С4!F17</f>
        <v>73547</v>
      </c>
    </row>
    <row r="98" spans="1:3" ht="17.25" x14ac:dyDescent="0.2">
      <c r="A98" s="59" t="s">
        <v>147</v>
      </c>
      <c r="B98" s="58" t="s">
        <v>148</v>
      </c>
      <c r="C98" s="40">
        <f>[18]С4!F18</f>
        <v>0.02</v>
      </c>
    </row>
    <row r="99" spans="1:3" ht="30" x14ac:dyDescent="0.2">
      <c r="A99" s="59" t="s">
        <v>149</v>
      </c>
      <c r="B99" s="58" t="s">
        <v>150</v>
      </c>
      <c r="C99" s="34">
        <f>[18]С4!F19</f>
        <v>12104</v>
      </c>
    </row>
    <row r="100" spans="1:3" ht="31.5" x14ac:dyDescent="0.2">
      <c r="A100" s="59" t="s">
        <v>151</v>
      </c>
      <c r="B100" s="58" t="s">
        <v>152</v>
      </c>
      <c r="C100" s="40">
        <f>[18]С4!F20</f>
        <v>1.4999999999999999E-2</v>
      </c>
    </row>
    <row r="101" spans="1:3" ht="30" x14ac:dyDescent="0.2">
      <c r="A101" s="59" t="s">
        <v>153</v>
      </c>
      <c r="B101" s="33" t="s">
        <v>154</v>
      </c>
      <c r="C101" s="34">
        <f>[18]С4!F21</f>
        <v>1933.1949342509995</v>
      </c>
    </row>
    <row r="102" spans="1:3" ht="24" customHeight="1" x14ac:dyDescent="0.2">
      <c r="A102" s="59" t="s">
        <v>155</v>
      </c>
      <c r="B102" s="53" t="s">
        <v>156</v>
      </c>
      <c r="C102" s="85">
        <f>IF([18]С4.2!F8="да",[18]С4.2!D21,[18]С4.2!D15)</f>
        <v>0</v>
      </c>
    </row>
    <row r="103" spans="1:3" ht="68.25" x14ac:dyDescent="0.2">
      <c r="A103" s="59" t="s">
        <v>157</v>
      </c>
      <c r="B103" s="53" t="s">
        <v>158</v>
      </c>
      <c r="C103" s="34">
        <f>[18]С4!F22</f>
        <v>3.6112641666666665</v>
      </c>
    </row>
    <row r="104" spans="1:3" ht="30" x14ac:dyDescent="0.2">
      <c r="A104" s="59" t="s">
        <v>159</v>
      </c>
      <c r="B104" s="58" t="s">
        <v>160</v>
      </c>
      <c r="C104" s="34">
        <f>[18]С4!F23</f>
        <v>180</v>
      </c>
    </row>
    <row r="105" spans="1:3" ht="14.25" x14ac:dyDescent="0.2">
      <c r="A105" s="59" t="s">
        <v>161</v>
      </c>
      <c r="B105" s="53" t="s">
        <v>162</v>
      </c>
      <c r="C105" s="34">
        <f>[18]С4!F24</f>
        <v>8497.1999999999989</v>
      </c>
    </row>
    <row r="106" spans="1:3" ht="14.25" x14ac:dyDescent="0.2">
      <c r="A106" s="59" t="s">
        <v>163</v>
      </c>
      <c r="B106" s="58" t="s">
        <v>164</v>
      </c>
      <c r="C106" s="40">
        <f>[18]С4!F25</f>
        <v>0.35</v>
      </c>
    </row>
    <row r="107" spans="1:3" ht="17.25" x14ac:dyDescent="0.2">
      <c r="A107" s="59" t="s">
        <v>165</v>
      </c>
      <c r="B107" s="33" t="s">
        <v>166</v>
      </c>
      <c r="C107" s="34">
        <f>[18]С4!F26</f>
        <v>85.988129999999998</v>
      </c>
    </row>
    <row r="108" spans="1:3" ht="25.5" x14ac:dyDescent="0.2">
      <c r="A108" s="59" t="s">
        <v>167</v>
      </c>
      <c r="B108" s="53" t="s">
        <v>94</v>
      </c>
      <c r="C108" s="85">
        <f>[18]С4.3!E16</f>
        <v>0</v>
      </c>
    </row>
    <row r="109" spans="1:3" ht="25.5" x14ac:dyDescent="0.2">
      <c r="A109" s="59" t="s">
        <v>168</v>
      </c>
      <c r="B109" s="53" t="s">
        <v>169</v>
      </c>
      <c r="C109" s="34">
        <f>[18]С4.3!E17</f>
        <v>20.350000000000001</v>
      </c>
    </row>
    <row r="110" spans="1:3" ht="38.25" x14ac:dyDescent="0.2">
      <c r="A110" s="59" t="s">
        <v>170</v>
      </c>
      <c r="B110" s="53" t="s">
        <v>106</v>
      </c>
      <c r="C110" s="85">
        <f>[18]С4.3!E18</f>
        <v>0</v>
      </c>
    </row>
    <row r="111" spans="1:3" x14ac:dyDescent="0.2">
      <c r="A111" s="59" t="s">
        <v>171</v>
      </c>
      <c r="B111" s="53" t="s">
        <v>172</v>
      </c>
      <c r="C111" s="34">
        <f>[18]С4.3!E19</f>
        <v>71.67</v>
      </c>
    </row>
    <row r="112" spans="1:3" x14ac:dyDescent="0.2">
      <c r="A112" s="59" t="s">
        <v>173</v>
      </c>
      <c r="B112" s="58" t="s">
        <v>174</v>
      </c>
      <c r="C112" s="34">
        <f>[18]С4.3!E11</f>
        <v>1871</v>
      </c>
    </row>
    <row r="113" spans="1:3" x14ac:dyDescent="0.2">
      <c r="A113" s="59" t="s">
        <v>175</v>
      </c>
      <c r="B113" s="58" t="s">
        <v>176</v>
      </c>
      <c r="C113" s="52">
        <f>[18]С4.3!E12</f>
        <v>1636</v>
      </c>
    </row>
    <row r="114" spans="1:3" x14ac:dyDescent="0.2">
      <c r="A114" s="59" t="s">
        <v>177</v>
      </c>
      <c r="B114" s="58" t="s">
        <v>178</v>
      </c>
      <c r="C114" s="52">
        <f>[18]С4.3!E13</f>
        <v>204</v>
      </c>
    </row>
    <row r="115" spans="1:3" ht="30" x14ac:dyDescent="0.2">
      <c r="A115" s="59" t="s">
        <v>179</v>
      </c>
      <c r="B115" s="33" t="s">
        <v>180</v>
      </c>
      <c r="C115" s="34">
        <f>[18]С4!F27</f>
        <v>1291.2863994686898</v>
      </c>
    </row>
    <row r="116" spans="1:3" ht="25.5" x14ac:dyDescent="0.2">
      <c r="A116" s="59" t="s">
        <v>181</v>
      </c>
      <c r="B116" s="53" t="s">
        <v>182</v>
      </c>
      <c r="C116" s="34">
        <f>[18]С4!F28</f>
        <v>991.77142816335618</v>
      </c>
    </row>
    <row r="117" spans="1:3" ht="42.75" x14ac:dyDescent="0.2">
      <c r="A117" s="59" t="s">
        <v>183</v>
      </c>
      <c r="B117" s="53" t="s">
        <v>184</v>
      </c>
      <c r="C117" s="34">
        <f>[18]С4!F29</f>
        <v>299.51497130533357</v>
      </c>
    </row>
    <row r="118" spans="1:3" ht="30" x14ac:dyDescent="0.2">
      <c r="A118" s="59" t="s">
        <v>185</v>
      </c>
      <c r="B118" s="39" t="s">
        <v>186</v>
      </c>
      <c r="C118" s="34">
        <f>[18]С4!F30</f>
        <v>1824.1159128452543</v>
      </c>
    </row>
    <row r="119" spans="1:3" ht="42.75" x14ac:dyDescent="0.2">
      <c r="A119" s="59" t="s">
        <v>187</v>
      </c>
      <c r="B119" s="86" t="s">
        <v>188</v>
      </c>
      <c r="C119" s="34">
        <f>[18]С4!F33</f>
        <v>1102.0361645056007</v>
      </c>
    </row>
    <row r="120" spans="1:3" ht="30" x14ac:dyDescent="0.2">
      <c r="A120" s="59" t="s">
        <v>189</v>
      </c>
      <c r="B120" s="87" t="s">
        <v>190</v>
      </c>
      <c r="C120" s="34">
        <f>[18]С4!F35</f>
        <v>17.040680999999999</v>
      </c>
    </row>
    <row r="121" spans="1:3" ht="14.25" x14ac:dyDescent="0.2">
      <c r="A121" s="59" t="s">
        <v>191</v>
      </c>
      <c r="B121" s="56" t="s">
        <v>192</v>
      </c>
      <c r="C121" s="34">
        <f>[18]С4!F36</f>
        <v>14319.9</v>
      </c>
    </row>
    <row r="122" spans="1:3" ht="28.5" thickBot="1" x14ac:dyDescent="0.25">
      <c r="A122" s="72" t="s">
        <v>193</v>
      </c>
      <c r="B122" s="88" t="s">
        <v>194</v>
      </c>
      <c r="C122" s="83">
        <f>[18]С4!F37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[18]С5!F17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[18]С2!F37</f>
        <v>20.818139999999996</v>
      </c>
    </row>
    <row r="136" spans="1:4" ht="14.25" x14ac:dyDescent="0.2">
      <c r="A136" s="59" t="s">
        <v>216</v>
      </c>
      <c r="B136" s="101" t="s">
        <v>217</v>
      </c>
      <c r="C136" s="34">
        <f>[18]С2!F38</f>
        <v>7</v>
      </c>
    </row>
    <row r="137" spans="1:4" ht="17.25" x14ac:dyDescent="0.2">
      <c r="A137" s="59" t="s">
        <v>218</v>
      </c>
      <c r="B137" s="101" t="s">
        <v>219</v>
      </c>
      <c r="C137" s="34">
        <f>[18]С2!F40</f>
        <v>0.97</v>
      </c>
    </row>
    <row r="138" spans="1:4" ht="15" thickBot="1" x14ac:dyDescent="0.25">
      <c r="A138" s="72" t="s">
        <v>220</v>
      </c>
      <c r="B138" s="102" t="s">
        <v>221</v>
      </c>
      <c r="C138" s="46">
        <f>[18]С2!F42</f>
        <v>0.35</v>
      </c>
    </row>
    <row r="139" spans="1:4" s="89" customFormat="1" ht="13.5" thickBot="1" x14ac:dyDescent="0.25">
      <c r="A139" s="47"/>
      <c r="B139" s="75"/>
      <c r="C139" s="15"/>
    </row>
    <row r="140" spans="1:4" ht="30" x14ac:dyDescent="0.2">
      <c r="A140" s="84" t="s">
        <v>222</v>
      </c>
      <c r="B140" s="103" t="s">
        <v>223</v>
      </c>
      <c r="C140" s="104">
        <f>[18]С2!F35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[18]С2.5!$E$11</f>
        <v>-2.9000000000000026E-2</v>
      </c>
      <c r="D143" s="89"/>
    </row>
    <row r="144" spans="1:4" x14ac:dyDescent="0.2">
      <c r="A144" s="105"/>
      <c r="B144" s="110">
        <f>B143+1</f>
        <v>2021</v>
      </c>
      <c r="C144" s="111">
        <f>[18]С2.5!$F$11</f>
        <v>0.245</v>
      </c>
      <c r="D144" s="89"/>
    </row>
    <row r="145" spans="1:4" x14ac:dyDescent="0.2">
      <c r="A145" s="105"/>
      <c r="B145" s="110">
        <f t="shared" ref="B145:B208" si="0">B144+1</f>
        <v>2022</v>
      </c>
      <c r="C145" s="111">
        <f>[18]С2.5!$G$11</f>
        <v>0.114</v>
      </c>
      <c r="D145" s="89"/>
    </row>
    <row r="146" spans="1:4" ht="13.5" thickBot="1" x14ac:dyDescent="0.25">
      <c r="A146" s="105"/>
      <c r="B146" s="112">
        <f t="shared" si="0"/>
        <v>2023</v>
      </c>
      <c r="C146" s="113">
        <f>[18]С2.5!$H$11</f>
        <v>2.4E-2</v>
      </c>
      <c r="D146" s="89"/>
    </row>
    <row r="147" spans="1:4" x14ac:dyDescent="0.2">
      <c r="A147" s="105"/>
      <c r="B147" s="114">
        <f t="shared" si="0"/>
        <v>2024</v>
      </c>
      <c r="C147" s="115">
        <f>[18]С2.5!$I$11</f>
        <v>8.5999999999999993E-2</v>
      </c>
      <c r="D147" s="89"/>
    </row>
    <row r="148" spans="1:4" hidden="1" x14ac:dyDescent="0.2">
      <c r="A148" s="105"/>
      <c r="B148" s="110">
        <f t="shared" si="0"/>
        <v>2025</v>
      </c>
      <c r="C148" s="111">
        <f>[18]С2.5!$J$11</f>
        <v>0.21215960863291</v>
      </c>
      <c r="D148" s="89"/>
    </row>
    <row r="149" spans="1:4" hidden="1" x14ac:dyDescent="0.2">
      <c r="A149" s="105"/>
      <c r="B149" s="110">
        <f t="shared" si="0"/>
        <v>2026</v>
      </c>
      <c r="C149" s="111">
        <f>[18]С2.5!$K$11</f>
        <v>3.5813361771260002E-2</v>
      </c>
      <c r="D149" s="89"/>
    </row>
    <row r="150" spans="1:4" hidden="1" x14ac:dyDescent="0.2">
      <c r="A150" s="105"/>
      <c r="B150" s="110">
        <f t="shared" si="0"/>
        <v>2027</v>
      </c>
      <c r="C150" s="111">
        <f>[18]С2.5!$L$11</f>
        <v>3.2682303599220003E-2</v>
      </c>
      <c r="D150" s="89"/>
    </row>
    <row r="151" spans="1:4" hidden="1" x14ac:dyDescent="0.2">
      <c r="A151" s="105"/>
      <c r="B151" s="110">
        <f t="shared" si="0"/>
        <v>2028</v>
      </c>
      <c r="C151" s="111">
        <f>[18]С2.5!$M$11</f>
        <v>0</v>
      </c>
      <c r="D151" s="89"/>
    </row>
    <row r="152" spans="1:4" hidden="1" x14ac:dyDescent="0.2">
      <c r="A152" s="105"/>
      <c r="B152" s="110">
        <f t="shared" si="0"/>
        <v>2029</v>
      </c>
      <c r="C152" s="111">
        <f>[18]С2.5!$N$11</f>
        <v>0</v>
      </c>
      <c r="D152" s="89"/>
    </row>
    <row r="153" spans="1:4" hidden="1" x14ac:dyDescent="0.2">
      <c r="A153" s="105"/>
      <c r="B153" s="110">
        <f t="shared" si="0"/>
        <v>2030</v>
      </c>
      <c r="C153" s="111">
        <f>[18]С2.5!$O$11</f>
        <v>0</v>
      </c>
      <c r="D153" s="89"/>
    </row>
    <row r="154" spans="1:4" hidden="1" x14ac:dyDescent="0.2">
      <c r="A154" s="105"/>
      <c r="B154" s="110">
        <f t="shared" si="0"/>
        <v>2031</v>
      </c>
      <c r="C154" s="111">
        <f>[18]С2.5!$P$11</f>
        <v>0</v>
      </c>
      <c r="D154" s="89"/>
    </row>
    <row r="155" spans="1:4" hidden="1" x14ac:dyDescent="0.2">
      <c r="A155" s="89"/>
      <c r="B155" s="110">
        <f t="shared" si="0"/>
        <v>2032</v>
      </c>
      <c r="C155" s="111">
        <f>[18]С2.5!$Q$11</f>
        <v>0</v>
      </c>
      <c r="D155" s="89"/>
    </row>
    <row r="156" spans="1:4" hidden="1" x14ac:dyDescent="0.2">
      <c r="A156" s="89"/>
      <c r="B156" s="110">
        <f t="shared" si="0"/>
        <v>2033</v>
      </c>
      <c r="C156" s="111">
        <f>[18]С2.5!$R$11</f>
        <v>0</v>
      </c>
      <c r="D156" s="89"/>
    </row>
    <row r="157" spans="1:4" hidden="1" x14ac:dyDescent="0.2">
      <c r="B157" s="110">
        <f t="shared" si="0"/>
        <v>2034</v>
      </c>
      <c r="C157" s="111">
        <f>[18]С2.5!$S$11</f>
        <v>0</v>
      </c>
    </row>
    <row r="158" spans="1:4" hidden="1" x14ac:dyDescent="0.2">
      <c r="B158" s="110">
        <f t="shared" si="0"/>
        <v>2035</v>
      </c>
      <c r="C158" s="111">
        <f>[18]С2.5!$T$11</f>
        <v>0</v>
      </c>
    </row>
    <row r="159" spans="1:4" hidden="1" x14ac:dyDescent="0.2">
      <c r="B159" s="110">
        <f t="shared" si="0"/>
        <v>2036</v>
      </c>
      <c r="C159" s="111">
        <f>[18]С2.5!$U$11</f>
        <v>0</v>
      </c>
    </row>
    <row r="160" spans="1:4" hidden="1" x14ac:dyDescent="0.2">
      <c r="B160" s="110">
        <f t="shared" si="0"/>
        <v>2037</v>
      </c>
      <c r="C160" s="111">
        <f>[18]С2.5!$V$11</f>
        <v>0</v>
      </c>
    </row>
    <row r="161" spans="2:3" hidden="1" x14ac:dyDescent="0.2">
      <c r="B161" s="110">
        <f t="shared" si="0"/>
        <v>2038</v>
      </c>
      <c r="C161" s="111">
        <f>[18]С2.5!$W$11</f>
        <v>0</v>
      </c>
    </row>
    <row r="162" spans="2:3" hidden="1" x14ac:dyDescent="0.2">
      <c r="B162" s="110">
        <f t="shared" si="0"/>
        <v>2039</v>
      </c>
      <c r="C162" s="111">
        <f>[18]С2.5!$X$11</f>
        <v>0</v>
      </c>
    </row>
    <row r="163" spans="2:3" hidden="1" x14ac:dyDescent="0.2">
      <c r="B163" s="110">
        <f t="shared" si="0"/>
        <v>2040</v>
      </c>
      <c r="C163" s="111">
        <f>[18]С2.5!$Y$11</f>
        <v>0</v>
      </c>
    </row>
    <row r="164" spans="2:3" hidden="1" x14ac:dyDescent="0.2">
      <c r="B164" s="110">
        <f t="shared" si="0"/>
        <v>2041</v>
      </c>
      <c r="C164" s="111">
        <f>[18]С2.5!$Z$11</f>
        <v>0</v>
      </c>
    </row>
    <row r="165" spans="2:3" hidden="1" x14ac:dyDescent="0.2">
      <c r="B165" s="110">
        <f t="shared" si="0"/>
        <v>2042</v>
      </c>
      <c r="C165" s="111">
        <f>[18]С2.5!$AA$11</f>
        <v>0</v>
      </c>
    </row>
    <row r="166" spans="2:3" hidden="1" x14ac:dyDescent="0.2">
      <c r="B166" s="110">
        <f t="shared" si="0"/>
        <v>2043</v>
      </c>
      <c r="C166" s="111">
        <f>[18]С2.5!$AB$11</f>
        <v>0</v>
      </c>
    </row>
    <row r="167" spans="2:3" hidden="1" x14ac:dyDescent="0.2">
      <c r="B167" s="110">
        <f t="shared" si="0"/>
        <v>2044</v>
      </c>
      <c r="C167" s="111">
        <f>[18]С2.5!$AC$11</f>
        <v>0</v>
      </c>
    </row>
    <row r="168" spans="2:3" hidden="1" x14ac:dyDescent="0.2">
      <c r="B168" s="110">
        <f t="shared" si="0"/>
        <v>2045</v>
      </c>
      <c r="C168" s="111">
        <f>[18]С2.5!$AD$11</f>
        <v>0</v>
      </c>
    </row>
    <row r="169" spans="2:3" hidden="1" x14ac:dyDescent="0.2">
      <c r="B169" s="110">
        <f t="shared" si="0"/>
        <v>2046</v>
      </c>
      <c r="C169" s="111">
        <f>[18]С2.5!$AE$11</f>
        <v>0</v>
      </c>
    </row>
    <row r="170" spans="2:3" hidden="1" x14ac:dyDescent="0.2">
      <c r="B170" s="110">
        <f t="shared" si="0"/>
        <v>2047</v>
      </c>
      <c r="C170" s="111">
        <f>[18]С2.5!$AF$11</f>
        <v>0</v>
      </c>
    </row>
    <row r="171" spans="2:3" hidden="1" x14ac:dyDescent="0.2">
      <c r="B171" s="110">
        <f t="shared" si="0"/>
        <v>2048</v>
      </c>
      <c r="C171" s="111">
        <f>[18]С2.5!$AG$11</f>
        <v>0</v>
      </c>
    </row>
    <row r="172" spans="2:3" hidden="1" x14ac:dyDescent="0.2">
      <c r="B172" s="110">
        <f t="shared" si="0"/>
        <v>2049</v>
      </c>
      <c r="C172" s="111">
        <f>[18]С2.5!$AH$11</f>
        <v>0</v>
      </c>
    </row>
    <row r="173" spans="2:3" hidden="1" x14ac:dyDescent="0.2">
      <c r="B173" s="110">
        <f t="shared" si="0"/>
        <v>2050</v>
      </c>
      <c r="C173" s="111">
        <f>[18]С2.5!$AI$11</f>
        <v>0</v>
      </c>
    </row>
    <row r="174" spans="2:3" hidden="1" x14ac:dyDescent="0.2">
      <c r="B174" s="110">
        <f t="shared" si="0"/>
        <v>2051</v>
      </c>
      <c r="C174" s="111">
        <f>[18]С2.5!$AJ$11</f>
        <v>0</v>
      </c>
    </row>
    <row r="175" spans="2:3" hidden="1" x14ac:dyDescent="0.2">
      <c r="B175" s="110">
        <f t="shared" si="0"/>
        <v>2052</v>
      </c>
      <c r="C175" s="111">
        <f>[18]С2.5!$AK$11</f>
        <v>0</v>
      </c>
    </row>
    <row r="176" spans="2:3" hidden="1" x14ac:dyDescent="0.2">
      <c r="B176" s="110">
        <f t="shared" si="0"/>
        <v>2053</v>
      </c>
      <c r="C176" s="111">
        <f>[18]С2.5!$AL$11</f>
        <v>0</v>
      </c>
    </row>
    <row r="177" spans="2:3" hidden="1" x14ac:dyDescent="0.2">
      <c r="B177" s="110">
        <f t="shared" si="0"/>
        <v>2054</v>
      </c>
      <c r="C177" s="111">
        <f>[18]С2.5!$AM$11</f>
        <v>0</v>
      </c>
    </row>
    <row r="178" spans="2:3" hidden="1" x14ac:dyDescent="0.2">
      <c r="B178" s="110">
        <f t="shared" si="0"/>
        <v>2055</v>
      </c>
      <c r="C178" s="111">
        <f>[18]С2.5!$AN$11</f>
        <v>0</v>
      </c>
    </row>
    <row r="179" spans="2:3" hidden="1" x14ac:dyDescent="0.2">
      <c r="B179" s="110">
        <f t="shared" si="0"/>
        <v>2056</v>
      </c>
      <c r="C179" s="111">
        <f>[18]С2.5!$AO$11</f>
        <v>0</v>
      </c>
    </row>
    <row r="180" spans="2:3" hidden="1" x14ac:dyDescent="0.2">
      <c r="B180" s="110">
        <f t="shared" si="0"/>
        <v>2057</v>
      </c>
      <c r="C180" s="111">
        <f>[18]С2.5!$AP$11</f>
        <v>0</v>
      </c>
    </row>
    <row r="181" spans="2:3" hidden="1" x14ac:dyDescent="0.2">
      <c r="B181" s="110">
        <f t="shared" si="0"/>
        <v>2058</v>
      </c>
      <c r="C181" s="111">
        <f>[18]С2.5!$AQ$11</f>
        <v>0</v>
      </c>
    </row>
    <row r="182" spans="2:3" hidden="1" x14ac:dyDescent="0.2">
      <c r="B182" s="110">
        <f t="shared" si="0"/>
        <v>2059</v>
      </c>
      <c r="C182" s="111">
        <f>[18]С2.5!$AR$11</f>
        <v>0</v>
      </c>
    </row>
    <row r="183" spans="2:3" hidden="1" x14ac:dyDescent="0.2">
      <c r="B183" s="110">
        <f t="shared" si="0"/>
        <v>2060</v>
      </c>
      <c r="C183" s="111">
        <f>[18]С2.5!$AS$11</f>
        <v>0</v>
      </c>
    </row>
    <row r="184" spans="2:3" hidden="1" x14ac:dyDescent="0.2">
      <c r="B184" s="110">
        <f t="shared" si="0"/>
        <v>2061</v>
      </c>
      <c r="C184" s="111">
        <f>[18]С2.5!$AT$11</f>
        <v>0</v>
      </c>
    </row>
    <row r="185" spans="2:3" hidden="1" x14ac:dyDescent="0.2">
      <c r="B185" s="110">
        <f t="shared" si="0"/>
        <v>2062</v>
      </c>
      <c r="C185" s="111">
        <f>[18]С2.5!$AU$11</f>
        <v>0</v>
      </c>
    </row>
    <row r="186" spans="2:3" hidden="1" x14ac:dyDescent="0.2">
      <c r="B186" s="110">
        <f t="shared" si="0"/>
        <v>2063</v>
      </c>
      <c r="C186" s="111">
        <f>[18]С2.5!$AV$11</f>
        <v>0</v>
      </c>
    </row>
    <row r="187" spans="2:3" hidden="1" x14ac:dyDescent="0.2">
      <c r="B187" s="110">
        <f t="shared" si="0"/>
        <v>2064</v>
      </c>
      <c r="C187" s="111">
        <f>[18]С2.5!$AW$11</f>
        <v>0</v>
      </c>
    </row>
    <row r="188" spans="2:3" hidden="1" x14ac:dyDescent="0.2">
      <c r="B188" s="110">
        <f t="shared" si="0"/>
        <v>2065</v>
      </c>
      <c r="C188" s="111">
        <f>[18]С2.5!$AX$11</f>
        <v>0</v>
      </c>
    </row>
    <row r="189" spans="2:3" hidden="1" x14ac:dyDescent="0.2">
      <c r="B189" s="110">
        <f t="shared" si="0"/>
        <v>2066</v>
      </c>
      <c r="C189" s="111">
        <f>[18]С2.5!$AY$11</f>
        <v>0</v>
      </c>
    </row>
    <row r="190" spans="2:3" hidden="1" x14ac:dyDescent="0.2">
      <c r="B190" s="110">
        <f t="shared" si="0"/>
        <v>2067</v>
      </c>
      <c r="C190" s="111">
        <f>[18]С2.5!$AZ$11</f>
        <v>0</v>
      </c>
    </row>
    <row r="191" spans="2:3" hidden="1" x14ac:dyDescent="0.2">
      <c r="B191" s="110">
        <f t="shared" si="0"/>
        <v>2068</v>
      </c>
      <c r="C191" s="111">
        <f>[18]С2.5!$BA$11</f>
        <v>0</v>
      </c>
    </row>
    <row r="192" spans="2:3" hidden="1" x14ac:dyDescent="0.2">
      <c r="B192" s="110">
        <f t="shared" si="0"/>
        <v>2069</v>
      </c>
      <c r="C192" s="111">
        <f>[18]С2.5!$BB$11</f>
        <v>0</v>
      </c>
    </row>
    <row r="193" spans="2:3" hidden="1" x14ac:dyDescent="0.2">
      <c r="B193" s="110">
        <f t="shared" si="0"/>
        <v>2070</v>
      </c>
      <c r="C193" s="111">
        <f>[18]С2.5!$BC$11</f>
        <v>0</v>
      </c>
    </row>
    <row r="194" spans="2:3" hidden="1" x14ac:dyDescent="0.2">
      <c r="B194" s="110">
        <f t="shared" si="0"/>
        <v>2071</v>
      </c>
      <c r="C194" s="111">
        <f>[18]С2.5!$BD$11</f>
        <v>0</v>
      </c>
    </row>
    <row r="195" spans="2:3" hidden="1" x14ac:dyDescent="0.2">
      <c r="B195" s="110">
        <f t="shared" si="0"/>
        <v>2072</v>
      </c>
      <c r="C195" s="111">
        <f>[18]С2.5!$BE$11</f>
        <v>0</v>
      </c>
    </row>
    <row r="196" spans="2:3" hidden="1" x14ac:dyDescent="0.2">
      <c r="B196" s="110">
        <f t="shared" si="0"/>
        <v>2073</v>
      </c>
      <c r="C196" s="111">
        <f>[18]С2.5!$BF$11</f>
        <v>0</v>
      </c>
    </row>
    <row r="197" spans="2:3" hidden="1" x14ac:dyDescent="0.2">
      <c r="B197" s="110">
        <f t="shared" si="0"/>
        <v>2074</v>
      </c>
      <c r="C197" s="111">
        <f>[18]С2.5!$BG$11</f>
        <v>0</v>
      </c>
    </row>
    <row r="198" spans="2:3" hidden="1" x14ac:dyDescent="0.2">
      <c r="B198" s="110">
        <f t="shared" si="0"/>
        <v>2075</v>
      </c>
      <c r="C198" s="111">
        <f>[18]С2.5!$BH$11</f>
        <v>0</v>
      </c>
    </row>
    <row r="199" spans="2:3" hidden="1" x14ac:dyDescent="0.2">
      <c r="B199" s="110">
        <f t="shared" si="0"/>
        <v>2076</v>
      </c>
      <c r="C199" s="111">
        <f>[18]С2.5!$BI$11</f>
        <v>0</v>
      </c>
    </row>
    <row r="200" spans="2:3" hidden="1" x14ac:dyDescent="0.2">
      <c r="B200" s="110">
        <f t="shared" si="0"/>
        <v>2077</v>
      </c>
      <c r="C200" s="111">
        <f>[18]С2.5!$BJ$11</f>
        <v>0</v>
      </c>
    </row>
    <row r="201" spans="2:3" hidden="1" x14ac:dyDescent="0.2">
      <c r="B201" s="110">
        <f t="shared" si="0"/>
        <v>2078</v>
      </c>
      <c r="C201" s="111">
        <f>[18]С2.5!$BK$11</f>
        <v>0</v>
      </c>
    </row>
    <row r="202" spans="2:3" hidden="1" x14ac:dyDescent="0.2">
      <c r="B202" s="110">
        <f t="shared" si="0"/>
        <v>2079</v>
      </c>
      <c r="C202" s="111">
        <f>[18]С2.5!$BL$11</f>
        <v>0</v>
      </c>
    </row>
    <row r="203" spans="2:3" hidden="1" x14ac:dyDescent="0.2">
      <c r="B203" s="110">
        <f t="shared" si="0"/>
        <v>2080</v>
      </c>
      <c r="C203" s="111">
        <f>[18]С2.5!$BM$11</f>
        <v>0</v>
      </c>
    </row>
    <row r="204" spans="2:3" hidden="1" x14ac:dyDescent="0.2">
      <c r="B204" s="110">
        <f t="shared" si="0"/>
        <v>2081</v>
      </c>
      <c r="C204" s="111">
        <f>[18]С2.5!$BN$11</f>
        <v>0</v>
      </c>
    </row>
    <row r="205" spans="2:3" hidden="1" x14ac:dyDescent="0.2">
      <c r="B205" s="110">
        <f t="shared" si="0"/>
        <v>2082</v>
      </c>
      <c r="C205" s="111">
        <f>[18]С2.5!$BO$11</f>
        <v>0</v>
      </c>
    </row>
    <row r="206" spans="2:3" hidden="1" x14ac:dyDescent="0.2">
      <c r="B206" s="110">
        <f t="shared" si="0"/>
        <v>2083</v>
      </c>
      <c r="C206" s="111">
        <f>[18]С2.5!$BP$11</f>
        <v>0</v>
      </c>
    </row>
    <row r="207" spans="2:3" hidden="1" x14ac:dyDescent="0.2">
      <c r="B207" s="110">
        <f t="shared" si="0"/>
        <v>2084</v>
      </c>
      <c r="C207" s="111">
        <f>[18]С2.5!$BQ$11</f>
        <v>0</v>
      </c>
    </row>
    <row r="208" spans="2:3" hidden="1" x14ac:dyDescent="0.2">
      <c r="B208" s="110">
        <f t="shared" si="0"/>
        <v>2085</v>
      </c>
      <c r="C208" s="111">
        <f>[18]С2.5!$BR$11</f>
        <v>0</v>
      </c>
    </row>
    <row r="209" spans="2:3" hidden="1" x14ac:dyDescent="0.2">
      <c r="B209" s="110">
        <f t="shared" ref="B209:B223" si="1">B208+1</f>
        <v>2086</v>
      </c>
      <c r="C209" s="111">
        <f>[18]С2.5!$BS$11</f>
        <v>0</v>
      </c>
    </row>
    <row r="210" spans="2:3" hidden="1" x14ac:dyDescent="0.2">
      <c r="B210" s="110">
        <f t="shared" si="1"/>
        <v>2087</v>
      </c>
      <c r="C210" s="111">
        <f>[18]С2.5!$BT$11</f>
        <v>0</v>
      </c>
    </row>
    <row r="211" spans="2:3" hidden="1" x14ac:dyDescent="0.2">
      <c r="B211" s="110">
        <f t="shared" si="1"/>
        <v>2088</v>
      </c>
      <c r="C211" s="111">
        <f>[18]С2.5!$BU$11</f>
        <v>0</v>
      </c>
    </row>
    <row r="212" spans="2:3" hidden="1" x14ac:dyDescent="0.2">
      <c r="B212" s="110">
        <f t="shared" si="1"/>
        <v>2089</v>
      </c>
      <c r="C212" s="111">
        <f>[18]С2.5!$BV$11</f>
        <v>0</v>
      </c>
    </row>
    <row r="213" spans="2:3" hidden="1" x14ac:dyDescent="0.2">
      <c r="B213" s="110">
        <f t="shared" si="1"/>
        <v>2090</v>
      </c>
      <c r="C213" s="111">
        <f>[18]С2.5!$BW$11</f>
        <v>0</v>
      </c>
    </row>
    <row r="214" spans="2:3" hidden="1" x14ac:dyDescent="0.2">
      <c r="B214" s="110">
        <f t="shared" si="1"/>
        <v>2091</v>
      </c>
      <c r="C214" s="111">
        <f>[18]С2.5!$BX$11</f>
        <v>0</v>
      </c>
    </row>
    <row r="215" spans="2:3" hidden="1" x14ac:dyDescent="0.2">
      <c r="B215" s="110">
        <f t="shared" si="1"/>
        <v>2092</v>
      </c>
      <c r="C215" s="111">
        <f>[18]С2.5!$BY$11</f>
        <v>0</v>
      </c>
    </row>
    <row r="216" spans="2:3" hidden="1" x14ac:dyDescent="0.2">
      <c r="B216" s="110">
        <f t="shared" si="1"/>
        <v>2093</v>
      </c>
      <c r="C216" s="111">
        <f>[18]С2.5!$BZ$11</f>
        <v>0</v>
      </c>
    </row>
    <row r="217" spans="2:3" hidden="1" x14ac:dyDescent="0.2">
      <c r="B217" s="110">
        <f t="shared" si="1"/>
        <v>2094</v>
      </c>
      <c r="C217" s="111">
        <f>[18]С2.5!$CA$11</f>
        <v>0</v>
      </c>
    </row>
    <row r="218" spans="2:3" hidden="1" x14ac:dyDescent="0.2">
      <c r="B218" s="110">
        <f t="shared" si="1"/>
        <v>2095</v>
      </c>
      <c r="C218" s="111">
        <f>[18]С2.5!$CB$11</f>
        <v>0</v>
      </c>
    </row>
    <row r="219" spans="2:3" hidden="1" x14ac:dyDescent="0.2">
      <c r="B219" s="110">
        <f t="shared" si="1"/>
        <v>2096</v>
      </c>
      <c r="C219" s="111">
        <f>[18]С2.5!$CC$11</f>
        <v>0</v>
      </c>
    </row>
    <row r="220" spans="2:3" hidden="1" x14ac:dyDescent="0.2">
      <c r="B220" s="110">
        <f t="shared" si="1"/>
        <v>2097</v>
      </c>
      <c r="C220" s="111">
        <f>[18]С2.5!$CD$11</f>
        <v>0</v>
      </c>
    </row>
    <row r="221" spans="2:3" hidden="1" x14ac:dyDescent="0.2">
      <c r="B221" s="110">
        <f t="shared" si="1"/>
        <v>2098</v>
      </c>
      <c r="C221" s="111">
        <f>[18]С2.5!$CE$11</f>
        <v>0</v>
      </c>
    </row>
    <row r="222" spans="2:3" hidden="1" x14ac:dyDescent="0.2">
      <c r="B222" s="110">
        <f t="shared" si="1"/>
        <v>2099</v>
      </c>
      <c r="C222" s="111">
        <f>[18]С2.5!$CF$11</f>
        <v>0</v>
      </c>
    </row>
    <row r="223" spans="2:3" ht="13.5" hidden="1" thickBot="1" x14ac:dyDescent="0.25">
      <c r="B223" s="112">
        <f t="shared" si="1"/>
        <v>2100</v>
      </c>
      <c r="C223" s="113">
        <f>[18]С2.5!$CG$11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4338" r:id="rId4" name="Button 2">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3"/>
      <c r="B1" s="163" t="s">
        <v>227</v>
      </c>
      <c r="C1" s="163"/>
    </row>
    <row r="2" spans="1:3" x14ac:dyDescent="0.2">
      <c r="A2" s="3"/>
      <c r="B2" s="4" t="s">
        <v>1</v>
      </c>
      <c r="C2" s="5">
        <v>45317</v>
      </c>
    </row>
    <row r="3" spans="1:3" x14ac:dyDescent="0.2">
      <c r="A3" s="3"/>
      <c r="B3" s="117" t="s">
        <v>2</v>
      </c>
      <c r="C3" s="7"/>
    </row>
    <row r="4" spans="1:3" ht="25.5" x14ac:dyDescent="0.2">
      <c r="A4" s="8"/>
      <c r="B4" s="9" t="str">
        <f>[19]И1!D13</f>
        <v>Субъект Российской Федерации</v>
      </c>
      <c r="C4" s="10" t="str">
        <f>[19]И1!E13</f>
        <v>Новосибирская область</v>
      </c>
    </row>
    <row r="5" spans="1:3" ht="48.6" customHeight="1" x14ac:dyDescent="0.2">
      <c r="A5" s="8"/>
      <c r="B5" s="9" t="str">
        <f>[19]И1!D14</f>
        <v>Тип муниципального образования (выберите из списка)</v>
      </c>
      <c r="C5" s="10" t="str">
        <f>[19]И1!E14</f>
        <v xml:space="preserve">село Тальменка, Искитимский муниципальный район </v>
      </c>
    </row>
    <row r="6" spans="1:3" x14ac:dyDescent="0.2">
      <c r="A6" s="8"/>
      <c r="B6" s="9" t="str">
        <f>IF([19]И1!E15="","",[19]И1!D15)</f>
        <v/>
      </c>
      <c r="C6" s="7" t="str">
        <f>IF([19]И1!E15="","",[19]И1!E15)</f>
        <v/>
      </c>
    </row>
    <row r="7" spans="1:3" x14ac:dyDescent="0.2">
      <c r="A7" s="8"/>
      <c r="B7" s="9" t="str">
        <f>[19]И1!D16</f>
        <v>Код ОКТМО</v>
      </c>
      <c r="C7" s="11" t="str">
        <f>[19]И1!E16</f>
        <v>(50615428101)</v>
      </c>
    </row>
    <row r="8" spans="1:3" x14ac:dyDescent="0.2">
      <c r="A8" s="8"/>
      <c r="B8" s="12" t="str">
        <f>[19]И1!D17</f>
        <v>Система теплоснабжения</v>
      </c>
      <c r="C8" s="13">
        <f>[19]И1!E17</f>
        <v>0</v>
      </c>
    </row>
    <row r="9" spans="1:3" x14ac:dyDescent="0.2">
      <c r="A9" s="8"/>
      <c r="B9" s="9" t="str">
        <f>[19]И1!D8</f>
        <v>Период регулирования (i)-й</v>
      </c>
      <c r="C9" s="14">
        <f>[19]И1!E8</f>
        <v>2024</v>
      </c>
    </row>
    <row r="10" spans="1:3" x14ac:dyDescent="0.2">
      <c r="A10" s="8"/>
      <c r="B10" s="9" t="str">
        <f>[19]И1!D9</f>
        <v>Период регулирования (i-1)-й</v>
      </c>
      <c r="C10" s="14">
        <f>[19]И1!E9</f>
        <v>2023</v>
      </c>
    </row>
    <row r="11" spans="1:3" x14ac:dyDescent="0.2">
      <c r="A11" s="8"/>
      <c r="B11" s="9" t="str">
        <f>[19]И1!D10</f>
        <v>Период регулирования (i-2)-й</v>
      </c>
      <c r="C11" s="14">
        <f>[19]И1!E10</f>
        <v>2022</v>
      </c>
    </row>
    <row r="12" spans="1:3" x14ac:dyDescent="0.2">
      <c r="A12" s="8"/>
      <c r="B12" s="9" t="str">
        <f>[19]И1!D11</f>
        <v>Базовый год (б)</v>
      </c>
      <c r="C12" s="14">
        <f>[19]И1!E11</f>
        <v>2019</v>
      </c>
    </row>
    <row r="13" spans="1:3" x14ac:dyDescent="0.2">
      <c r="A13" s="8"/>
      <c r="B13" s="9" t="str">
        <f>[19]И1!D18</f>
        <v>Вид топлива, использование которого преобладает в системе теплоснабжения</v>
      </c>
      <c r="C13" s="15" t="str">
        <f>[19]И1!E18</f>
        <v>Газ</v>
      </c>
    </row>
    <row r="14" spans="1:3" ht="26.25" customHeight="1" thickBot="1" x14ac:dyDescent="0.25">
      <c r="A14" s="167" t="s">
        <v>3</v>
      </c>
      <c r="B14" s="167"/>
      <c r="C14" s="16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2939.204068798766</v>
      </c>
    </row>
    <row r="18" spans="1:3" ht="42.75" x14ac:dyDescent="0.2">
      <c r="A18" s="22" t="s">
        <v>8</v>
      </c>
      <c r="B18" s="25" t="s">
        <v>9</v>
      </c>
      <c r="C18" s="26">
        <f>[19]С1!F12</f>
        <v>994.35037159416254</v>
      </c>
    </row>
    <row r="19" spans="1:3" ht="42.75" x14ac:dyDescent="0.2">
      <c r="A19" s="22" t="s">
        <v>10</v>
      </c>
      <c r="B19" s="25" t="s">
        <v>11</v>
      </c>
      <c r="C19" s="26">
        <f>[19]С2!F12</f>
        <v>1338.5714783459885</v>
      </c>
    </row>
    <row r="20" spans="1:3" ht="30" x14ac:dyDescent="0.2">
      <c r="A20" s="22" t="s">
        <v>12</v>
      </c>
      <c r="B20" s="25" t="s">
        <v>13</v>
      </c>
      <c r="C20" s="26">
        <f>[19]С3!F12</f>
        <v>317.98065232680995</v>
      </c>
    </row>
    <row r="21" spans="1:3" ht="42.75" x14ac:dyDescent="0.2">
      <c r="A21" s="22" t="s">
        <v>14</v>
      </c>
      <c r="B21" s="25" t="s">
        <v>228</v>
      </c>
      <c r="C21" s="26">
        <f>[19]С4!F12</f>
        <v>230.67011420241766</v>
      </c>
    </row>
    <row r="22" spans="1:3" ht="33" customHeight="1" x14ac:dyDescent="0.2">
      <c r="A22" s="22" t="s">
        <v>16</v>
      </c>
      <c r="B22" s="25" t="s">
        <v>229</v>
      </c>
      <c r="C22" s="26">
        <f>[19]С5!F12</f>
        <v>57.631452329387571</v>
      </c>
    </row>
    <row r="23" spans="1:3" ht="45.75" customHeight="1" thickBot="1" x14ac:dyDescent="0.25">
      <c r="A23" s="27" t="s">
        <v>18</v>
      </c>
      <c r="B23" s="140" t="s">
        <v>230</v>
      </c>
      <c r="C23" s="28">
        <f>[19]С6!F12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231</v>
      </c>
      <c r="C28" s="34">
        <f>[19]С1.1!E16</f>
        <v>7900</v>
      </c>
    </row>
    <row r="29" spans="1:3" ht="42.75" x14ac:dyDescent="0.2">
      <c r="A29" s="22" t="s">
        <v>10</v>
      </c>
      <c r="B29" s="33" t="s">
        <v>232</v>
      </c>
      <c r="C29" s="34">
        <f>[19]С1.1!E32</f>
        <v>5751.37</v>
      </c>
    </row>
    <row r="30" spans="1:3" ht="38.25" x14ac:dyDescent="0.2">
      <c r="A30" s="22" t="s">
        <v>233</v>
      </c>
      <c r="B30" s="33" t="s">
        <v>234</v>
      </c>
      <c r="C30" s="85" t="str">
        <f>[19]С1.1!E25</f>
        <v>ООО "Газпром газораспределение Томск"</v>
      </c>
    </row>
    <row r="31" spans="1:3" ht="38.25" x14ac:dyDescent="0.2">
      <c r="A31" s="22" t="s">
        <v>235</v>
      </c>
      <c r="B31" s="33" t="str">
        <f>[19]С1.1!D26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[19]С1.1!E26</f>
        <v>4699.5</v>
      </c>
    </row>
    <row r="32" spans="1:3" ht="25.5" x14ac:dyDescent="0.2">
      <c r="A32" s="22" t="s">
        <v>236</v>
      </c>
      <c r="B32" s="33" t="str">
        <f>[19]С1.1!D27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[19]С1.1!E27</f>
        <v>795.43</v>
      </c>
    </row>
    <row r="33" spans="1:3" ht="25.5" x14ac:dyDescent="0.2">
      <c r="A33" s="22" t="s">
        <v>237</v>
      </c>
      <c r="B33" s="33" t="str">
        <f>[19]С1.1!D28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[19]С1.1!E28</f>
        <v>136.54</v>
      </c>
    </row>
    <row r="34" spans="1:3" ht="38.25" x14ac:dyDescent="0.2">
      <c r="A34" s="22" t="s">
        <v>238</v>
      </c>
      <c r="B34" s="33" t="str">
        <f>[19]С1.1!D29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[19]С1.1!E29</f>
        <v>119.9</v>
      </c>
    </row>
    <row r="35" spans="1:3" ht="17.25" x14ac:dyDescent="0.2">
      <c r="A35" s="22" t="s">
        <v>12</v>
      </c>
      <c r="B35" s="33" t="s">
        <v>23</v>
      </c>
      <c r="C35" s="35">
        <f>[19]С1.1!E20</f>
        <v>8.5000000000000006E-2</v>
      </c>
    </row>
    <row r="36" spans="1:3" ht="17.25" x14ac:dyDescent="0.2">
      <c r="A36" s="22" t="s">
        <v>14</v>
      </c>
      <c r="B36" s="33" t="s">
        <v>24</v>
      </c>
      <c r="C36" s="35">
        <f>[19]С1.1!E21</f>
        <v>0.112</v>
      </c>
    </row>
    <row r="37" spans="1:3" ht="30" x14ac:dyDescent="0.2">
      <c r="A37" s="22" t="s">
        <v>16</v>
      </c>
      <c r="B37" s="36" t="s">
        <v>239</v>
      </c>
      <c r="C37" s="121">
        <f>[19]С1!F13</f>
        <v>156.1</v>
      </c>
    </row>
    <row r="38" spans="1:3" x14ac:dyDescent="0.2">
      <c r="A38" s="22" t="s">
        <v>18</v>
      </c>
      <c r="B38" s="36" t="s">
        <v>26</v>
      </c>
      <c r="C38" s="38">
        <f>[19]С1!F16</f>
        <v>7000</v>
      </c>
    </row>
    <row r="39" spans="1:3" ht="14.25" x14ac:dyDescent="0.2">
      <c r="A39" s="122" t="s">
        <v>27</v>
      </c>
      <c r="B39" s="39" t="s">
        <v>240</v>
      </c>
      <c r="C39" s="40">
        <f>[19]С1!F17</f>
        <v>1.1285714285714286</v>
      </c>
    </row>
    <row r="40" spans="1:3" ht="15.75" x14ac:dyDescent="0.2">
      <c r="A40" s="123" t="s">
        <v>29</v>
      </c>
      <c r="B40" s="42" t="s">
        <v>30</v>
      </c>
      <c r="C40" s="40">
        <f>[19]С1!F20</f>
        <v>22.307053372799995</v>
      </c>
    </row>
    <row r="41" spans="1:3" ht="15.75" x14ac:dyDescent="0.2">
      <c r="A41" s="123" t="s">
        <v>31</v>
      </c>
      <c r="B41" s="43" t="s">
        <v>32</v>
      </c>
      <c r="C41" s="40">
        <f>[19]С1!F21</f>
        <v>21.531904799999996</v>
      </c>
    </row>
    <row r="42" spans="1:3" ht="14.25" x14ac:dyDescent="0.2">
      <c r="A42" s="123" t="s">
        <v>33</v>
      </c>
      <c r="B42" s="44" t="s">
        <v>34</v>
      </c>
      <c r="C42" s="40">
        <f>[19]С1!F22</f>
        <v>1.036</v>
      </c>
    </row>
    <row r="43" spans="1:3" ht="53.25" thickBot="1" x14ac:dyDescent="0.25">
      <c r="A43" s="27" t="s">
        <v>35</v>
      </c>
      <c r="B43" s="45" t="s">
        <v>36</v>
      </c>
      <c r="C43" s="46" t="str">
        <f>[19]С1!F23</f>
        <v>-</v>
      </c>
    </row>
    <row r="44" spans="1:3" ht="13.5" thickBot="1" x14ac:dyDescent="0.25">
      <c r="A44" s="47"/>
      <c r="B44" s="75"/>
      <c r="C44" s="15"/>
    </row>
    <row r="45" spans="1:3" ht="30" customHeight="1" x14ac:dyDescent="0.2">
      <c r="A45" s="50" t="s">
        <v>37</v>
      </c>
      <c r="B45" s="165" t="s">
        <v>38</v>
      </c>
      <c r="C45" s="165"/>
    </row>
    <row r="46" spans="1:3" ht="25.5" x14ac:dyDescent="0.2">
      <c r="A46" s="22" t="s">
        <v>39</v>
      </c>
      <c r="B46" s="36" t="s">
        <v>40</v>
      </c>
      <c r="C46" s="51" t="str">
        <f>[19]С2.1!E12</f>
        <v>V</v>
      </c>
    </row>
    <row r="47" spans="1:3" ht="25.5" x14ac:dyDescent="0.2">
      <c r="A47" s="22" t="s">
        <v>41</v>
      </c>
      <c r="B47" s="33" t="s">
        <v>42</v>
      </c>
      <c r="C47" s="51" t="str">
        <f>[19]С2.1!E13</f>
        <v>6 и менее баллов</v>
      </c>
    </row>
    <row r="48" spans="1:3" ht="25.5" x14ac:dyDescent="0.2">
      <c r="A48" s="22" t="s">
        <v>43</v>
      </c>
      <c r="B48" s="33" t="s">
        <v>241</v>
      </c>
      <c r="C48" s="51" t="str">
        <f>[19]С2.1!E14</f>
        <v>от 200 до 500</v>
      </c>
    </row>
    <row r="49" spans="1:3" ht="25.5" x14ac:dyDescent="0.2">
      <c r="A49" s="22" t="s">
        <v>45</v>
      </c>
      <c r="B49" s="33" t="s">
        <v>242</v>
      </c>
      <c r="C49" s="52" t="str">
        <f>[19]С2.1!E15</f>
        <v>нет</v>
      </c>
    </row>
    <row r="50" spans="1:3" ht="30" x14ac:dyDescent="0.2">
      <c r="A50" s="22" t="s">
        <v>47</v>
      </c>
      <c r="B50" s="33" t="s">
        <v>48</v>
      </c>
      <c r="C50" s="34">
        <f>[19]С2!F18</f>
        <v>35106.652004551666</v>
      </c>
    </row>
    <row r="51" spans="1:3" ht="30" x14ac:dyDescent="0.2">
      <c r="A51" s="22" t="s">
        <v>49</v>
      </c>
      <c r="B51" s="53" t="s">
        <v>50</v>
      </c>
      <c r="C51" s="34">
        <f>IF([19]С2!F19&gt;0,[19]С2!F19,[19]С2!F20)</f>
        <v>23441.524932855718</v>
      </c>
    </row>
    <row r="52" spans="1:3" ht="25.5" x14ac:dyDescent="0.2">
      <c r="A52" s="22" t="s">
        <v>51</v>
      </c>
      <c r="B52" s="54" t="s">
        <v>52</v>
      </c>
      <c r="C52" s="34">
        <f>[19]С2.1!E20</f>
        <v>-38</v>
      </c>
    </row>
    <row r="53" spans="1:3" ht="25.5" x14ac:dyDescent="0.2">
      <c r="A53" s="22" t="s">
        <v>53</v>
      </c>
      <c r="B53" s="54" t="s">
        <v>54</v>
      </c>
      <c r="C53" s="34" t="str">
        <f>[19]С2.1!E23</f>
        <v>нет</v>
      </c>
    </row>
    <row r="54" spans="1:3" ht="38.25" x14ac:dyDescent="0.2">
      <c r="A54" s="22" t="s">
        <v>55</v>
      </c>
      <c r="B54" s="55" t="s">
        <v>56</v>
      </c>
      <c r="C54" s="34">
        <f>[19]С2.2!E10</f>
        <v>1287</v>
      </c>
    </row>
    <row r="55" spans="1:3" ht="25.5" x14ac:dyDescent="0.2">
      <c r="A55" s="22" t="s">
        <v>57</v>
      </c>
      <c r="B55" s="56" t="s">
        <v>58</v>
      </c>
      <c r="C55" s="34">
        <f>[19]С2.2!E12</f>
        <v>5.97</v>
      </c>
    </row>
    <row r="56" spans="1:3" ht="52.5" x14ac:dyDescent="0.2">
      <c r="A56" s="22" t="s">
        <v>59</v>
      </c>
      <c r="B56" s="57" t="s">
        <v>60</v>
      </c>
      <c r="C56" s="34">
        <f>[19]С2.2!E13</f>
        <v>1</v>
      </c>
    </row>
    <row r="57" spans="1:3" ht="27.75" x14ac:dyDescent="0.2">
      <c r="A57" s="22" t="s">
        <v>61</v>
      </c>
      <c r="B57" s="56" t="s">
        <v>62</v>
      </c>
      <c r="C57" s="34">
        <f>[19]С2.2!E14</f>
        <v>12104</v>
      </c>
    </row>
    <row r="58" spans="1:3" ht="25.5" x14ac:dyDescent="0.2">
      <c r="A58" s="22" t="s">
        <v>63</v>
      </c>
      <c r="B58" s="57" t="s">
        <v>64</v>
      </c>
      <c r="C58" s="35">
        <f>[19]С2.2!E15</f>
        <v>4.8000000000000001E-2</v>
      </c>
    </row>
    <row r="59" spans="1:3" x14ac:dyDescent="0.2">
      <c r="A59" s="22" t="s">
        <v>65</v>
      </c>
      <c r="B59" s="57" t="s">
        <v>66</v>
      </c>
      <c r="C59" s="124">
        <f>[19]С2.2!E16</f>
        <v>1</v>
      </c>
    </row>
    <row r="60" spans="1:3" ht="15.75" x14ac:dyDescent="0.2">
      <c r="A60" s="22" t="s">
        <v>67</v>
      </c>
      <c r="B60" s="58" t="s">
        <v>68</v>
      </c>
      <c r="C60" s="34">
        <f>[19]С2!F21</f>
        <v>1</v>
      </c>
    </row>
    <row r="61" spans="1:3" ht="30" x14ac:dyDescent="0.2">
      <c r="A61" s="59" t="s">
        <v>69</v>
      </c>
      <c r="B61" s="33" t="s">
        <v>243</v>
      </c>
      <c r="C61" s="34">
        <f>[19]С2!F13</f>
        <v>105136.23090983224</v>
      </c>
    </row>
    <row r="62" spans="1:3" ht="30" x14ac:dyDescent="0.2">
      <c r="A62" s="59" t="s">
        <v>71</v>
      </c>
      <c r="B62" s="60" t="s">
        <v>244</v>
      </c>
      <c r="C62" s="34">
        <f>[19]С2!F14</f>
        <v>64899</v>
      </c>
    </row>
    <row r="63" spans="1:3" ht="15.75" x14ac:dyDescent="0.2">
      <c r="A63" s="59" t="s">
        <v>73</v>
      </c>
      <c r="B63" s="60" t="s">
        <v>74</v>
      </c>
      <c r="C63" s="40">
        <f>[19]С2!F15</f>
        <v>1.071</v>
      </c>
    </row>
    <row r="64" spans="1:3" ht="15.75" x14ac:dyDescent="0.2">
      <c r="A64" s="59" t="s">
        <v>75</v>
      </c>
      <c r="B64" s="60" t="s">
        <v>76</v>
      </c>
      <c r="C64" s="125">
        <f>[19]С2!F16</f>
        <v>1</v>
      </c>
    </row>
    <row r="65" spans="1:3" ht="17.25" x14ac:dyDescent="0.2">
      <c r="A65" s="59" t="s">
        <v>77</v>
      </c>
      <c r="B65" s="60" t="s">
        <v>78</v>
      </c>
      <c r="C65" s="126">
        <f>[19]С2!F17</f>
        <v>1.01</v>
      </c>
    </row>
    <row r="66" spans="1:3" s="63" customFormat="1" ht="14.25" x14ac:dyDescent="0.2">
      <c r="A66" s="59" t="s">
        <v>79</v>
      </c>
      <c r="B66" s="61" t="s">
        <v>80</v>
      </c>
      <c r="C66" s="62">
        <f>[19]С2!F35</f>
        <v>10</v>
      </c>
    </row>
    <row r="67" spans="1:3" ht="30" x14ac:dyDescent="0.2">
      <c r="A67" s="59" t="s">
        <v>81</v>
      </c>
      <c r="B67" s="64" t="s">
        <v>82</v>
      </c>
      <c r="C67" s="34">
        <f>[19]С2!F28</f>
        <v>331.04604307653443</v>
      </c>
    </row>
    <row r="68" spans="1:3" ht="17.25" x14ac:dyDescent="0.2">
      <c r="A68" s="59" t="s">
        <v>83</v>
      </c>
      <c r="B68" s="53" t="s">
        <v>245</v>
      </c>
      <c r="C68" s="40">
        <f>[19]С2!F29</f>
        <v>0.44209422600000003</v>
      </c>
    </row>
    <row r="69" spans="1:3" ht="17.25" x14ac:dyDescent="0.2">
      <c r="A69" s="59" t="s">
        <v>85</v>
      </c>
      <c r="B69" s="58" t="s">
        <v>246</v>
      </c>
      <c r="C69" s="62">
        <f>[19]С2!F30</f>
        <v>500</v>
      </c>
    </row>
    <row r="70" spans="1:3" ht="42.75" x14ac:dyDescent="0.2">
      <c r="A70" s="59" t="s">
        <v>87</v>
      </c>
      <c r="B70" s="33" t="s">
        <v>247</v>
      </c>
      <c r="C70" s="34">
        <f>[19]С2!F22</f>
        <v>39638.324046481182</v>
      </c>
    </row>
    <row r="71" spans="1:3" ht="30" x14ac:dyDescent="0.2">
      <c r="A71" s="59" t="s">
        <v>89</v>
      </c>
      <c r="B71" s="60" t="s">
        <v>248</v>
      </c>
      <c r="C71" s="34">
        <f>[19]С2!F23</f>
        <v>21</v>
      </c>
    </row>
    <row r="72" spans="1:3" ht="30" x14ac:dyDescent="0.2">
      <c r="A72" s="59" t="s">
        <v>91</v>
      </c>
      <c r="B72" s="53" t="s">
        <v>92</v>
      </c>
      <c r="C72" s="34">
        <f>[19]С2.1!E28</f>
        <v>14036.09995</v>
      </c>
    </row>
    <row r="73" spans="1:3" ht="38.25" x14ac:dyDescent="0.2">
      <c r="A73" s="59" t="s">
        <v>93</v>
      </c>
      <c r="B73" s="65" t="s">
        <v>94</v>
      </c>
      <c r="C73" s="52">
        <f>[19]С2.3!E21</f>
        <v>0</v>
      </c>
    </row>
    <row r="74" spans="1:3" ht="25.5" x14ac:dyDescent="0.2">
      <c r="A74" s="59" t="s">
        <v>95</v>
      </c>
      <c r="B74" s="66" t="s">
        <v>96</v>
      </c>
      <c r="C74" s="67">
        <f>[19]С2.3!E11</f>
        <v>5.45</v>
      </c>
    </row>
    <row r="75" spans="1:3" ht="25.5" x14ac:dyDescent="0.2">
      <c r="A75" s="59" t="s">
        <v>97</v>
      </c>
      <c r="B75" s="66" t="s">
        <v>98</v>
      </c>
      <c r="C75" s="62">
        <f>[19]С2.3!E13</f>
        <v>300</v>
      </c>
    </row>
    <row r="76" spans="1:3" ht="25.5" x14ac:dyDescent="0.2">
      <c r="A76" s="59" t="s">
        <v>99</v>
      </c>
      <c r="B76" s="65" t="s">
        <v>100</v>
      </c>
      <c r="C76" s="68">
        <f>IF([19]С2.3!E22&gt;0,[19]С2.3!E22,[19]С2.3!E14)</f>
        <v>61211</v>
      </c>
    </row>
    <row r="77" spans="1:3" ht="38.25" x14ac:dyDescent="0.2">
      <c r="A77" s="59" t="s">
        <v>101</v>
      </c>
      <c r="B77" s="65" t="s">
        <v>102</v>
      </c>
      <c r="C77" s="68">
        <f>IF([19]С2.3!E23&gt;0,[19]С2.3!E23,[19]С2.3!E15)</f>
        <v>45675</v>
      </c>
    </row>
    <row r="78" spans="1:3" ht="30" x14ac:dyDescent="0.2">
      <c r="A78" s="59" t="s">
        <v>103</v>
      </c>
      <c r="B78" s="53" t="s">
        <v>104</v>
      </c>
      <c r="C78" s="34">
        <f>[19]С2.1!E29</f>
        <v>9518.3274000000001</v>
      </c>
    </row>
    <row r="79" spans="1:3" ht="38.25" x14ac:dyDescent="0.2">
      <c r="A79" s="59" t="s">
        <v>105</v>
      </c>
      <c r="B79" s="65" t="s">
        <v>106</v>
      </c>
      <c r="C79" s="52">
        <f>[19]С2.3!E25</f>
        <v>0</v>
      </c>
    </row>
    <row r="80" spans="1:3" ht="25.5" x14ac:dyDescent="0.2">
      <c r="A80" s="59" t="s">
        <v>107</v>
      </c>
      <c r="B80" s="66" t="s">
        <v>108</v>
      </c>
      <c r="C80" s="67">
        <f>[19]С2.3!E12</f>
        <v>0.2</v>
      </c>
    </row>
    <row r="81" spans="1:3" ht="25.5" x14ac:dyDescent="0.2">
      <c r="A81" s="59" t="s">
        <v>109</v>
      </c>
      <c r="B81" s="66" t="s">
        <v>98</v>
      </c>
      <c r="C81" s="62">
        <f>[19]С2.3!E13</f>
        <v>300</v>
      </c>
    </row>
    <row r="82" spans="1:3" ht="25.5" x14ac:dyDescent="0.2">
      <c r="A82" s="59" t="s">
        <v>110</v>
      </c>
      <c r="B82" s="69" t="s">
        <v>111</v>
      </c>
      <c r="C82" s="68">
        <f>IF([19]С2.3!E26&gt;0,[19]С2.3!E26,[19]С2.3!E16)</f>
        <v>65637</v>
      </c>
    </row>
    <row r="83" spans="1:3" ht="38.25" x14ac:dyDescent="0.2">
      <c r="A83" s="59" t="s">
        <v>112</v>
      </c>
      <c r="B83" s="69" t="s">
        <v>113</v>
      </c>
      <c r="C83" s="68">
        <f>IF([19]С2.3!E27&gt;0,[19]С2.3!E27,[19]С2.3!E17)</f>
        <v>31684</v>
      </c>
    </row>
    <row r="84" spans="1:3" ht="30" x14ac:dyDescent="0.2">
      <c r="A84" s="59" t="s">
        <v>249</v>
      </c>
      <c r="B84" s="60" t="s">
        <v>250</v>
      </c>
      <c r="C84" s="68">
        <f>IF([19]С2.1!E19&gt;0,[19]С2.1!E19,[19]С2!F26)</f>
        <v>2892</v>
      </c>
    </row>
    <row r="85" spans="1:3" ht="17.25" x14ac:dyDescent="0.2">
      <c r="A85" s="59" t="s">
        <v>114</v>
      </c>
      <c r="B85" s="33" t="s">
        <v>115</v>
      </c>
      <c r="C85" s="35">
        <f>[19]С2!F31</f>
        <v>9.5962865259740182E-2</v>
      </c>
    </row>
    <row r="86" spans="1:3" ht="30" x14ac:dyDescent="0.2">
      <c r="A86" s="59" t="s">
        <v>116</v>
      </c>
      <c r="B86" s="53" t="s">
        <v>117</v>
      </c>
      <c r="C86" s="70">
        <f>[19]С2!F32</f>
        <v>8.4029304029304031E-2</v>
      </c>
    </row>
    <row r="87" spans="1:3" ht="17.25" x14ac:dyDescent="0.2">
      <c r="A87" s="59" t="s">
        <v>118</v>
      </c>
      <c r="B87" s="71" t="s">
        <v>119</v>
      </c>
      <c r="C87" s="35">
        <f>[19]С2!F33</f>
        <v>0.13880000000000001</v>
      </c>
    </row>
    <row r="88" spans="1:3" s="63" customFormat="1" ht="18" thickBot="1" x14ac:dyDescent="0.25">
      <c r="A88" s="72" t="s">
        <v>120</v>
      </c>
      <c r="B88" s="73" t="s">
        <v>121</v>
      </c>
      <c r="C88" s="74">
        <f>[19]С2!F34</f>
        <v>0.12640000000000001</v>
      </c>
    </row>
    <row r="89" spans="1:3" ht="13.5" thickBot="1" x14ac:dyDescent="0.25">
      <c r="A89" s="47"/>
      <c r="B89" s="75"/>
      <c r="C89" s="15"/>
    </row>
    <row r="90" spans="1:3" s="63" customFormat="1" ht="30" customHeight="1" x14ac:dyDescent="0.2">
      <c r="A90" s="76" t="s">
        <v>122</v>
      </c>
      <c r="B90" s="165" t="s">
        <v>123</v>
      </c>
      <c r="C90" s="165"/>
    </row>
    <row r="91" spans="1:3" s="63" customFormat="1" ht="30" x14ac:dyDescent="0.2">
      <c r="A91" s="77" t="s">
        <v>124</v>
      </c>
      <c r="B91" s="33" t="s">
        <v>125</v>
      </c>
      <c r="C91" s="34">
        <f>[19]С3!F14</f>
        <v>4207.4782939208517</v>
      </c>
    </row>
    <row r="92" spans="1:3" s="63" customFormat="1" ht="42.75" x14ac:dyDescent="0.2">
      <c r="A92" s="77" t="s">
        <v>126</v>
      </c>
      <c r="B92" s="53" t="s">
        <v>127</v>
      </c>
      <c r="C92" s="78">
        <f>[19]С3!F15</f>
        <v>0.2</v>
      </c>
    </row>
    <row r="93" spans="1:3" s="63" customFormat="1" ht="14.25" x14ac:dyDescent="0.2">
      <c r="A93" s="77" t="s">
        <v>128</v>
      </c>
      <c r="B93" s="79" t="s">
        <v>129</v>
      </c>
      <c r="C93" s="62">
        <f>[19]С3!F18</f>
        <v>15</v>
      </c>
    </row>
    <row r="94" spans="1:3" s="63" customFormat="1" ht="17.25" x14ac:dyDescent="0.2">
      <c r="A94" s="77" t="s">
        <v>130</v>
      </c>
      <c r="B94" s="33" t="s">
        <v>131</v>
      </c>
      <c r="C94" s="34">
        <f>[19]С3!F19</f>
        <v>2638.2577020926874</v>
      </c>
    </row>
    <row r="95" spans="1:3" s="63" customFormat="1" ht="55.5" x14ac:dyDescent="0.2">
      <c r="A95" s="77" t="s">
        <v>132</v>
      </c>
      <c r="B95" s="53" t="s">
        <v>133</v>
      </c>
      <c r="C95" s="80">
        <f>[19]С3!F20</f>
        <v>2.1999999999999999E-2</v>
      </c>
    </row>
    <row r="96" spans="1:3" s="63" customFormat="1" ht="14.25" x14ac:dyDescent="0.2">
      <c r="A96" s="77" t="s">
        <v>134</v>
      </c>
      <c r="B96" s="58" t="s">
        <v>80</v>
      </c>
      <c r="C96" s="62">
        <f>[19]С3!F21</f>
        <v>10</v>
      </c>
    </row>
    <row r="97" spans="1:3" s="63" customFormat="1" ht="17.25" x14ac:dyDescent="0.2">
      <c r="A97" s="77" t="s">
        <v>135</v>
      </c>
      <c r="B97" s="33" t="s">
        <v>136</v>
      </c>
      <c r="C97" s="34">
        <f>[19]С3!F22</f>
        <v>0.99313812922960332</v>
      </c>
    </row>
    <row r="98" spans="1:3" s="63" customFormat="1" ht="55.5" x14ac:dyDescent="0.2">
      <c r="A98" s="77" t="s">
        <v>137</v>
      </c>
      <c r="B98" s="53" t="s">
        <v>138</v>
      </c>
      <c r="C98" s="80">
        <f>[19]С3!F23</f>
        <v>3.0000000000000001E-3</v>
      </c>
    </row>
    <row r="99" spans="1:3" s="63" customFormat="1" ht="30.75" thickBot="1" x14ac:dyDescent="0.25">
      <c r="A99" s="81" t="s">
        <v>139</v>
      </c>
      <c r="B99" s="82" t="s">
        <v>82</v>
      </c>
      <c r="C99" s="83">
        <f>[19]С3!F24</f>
        <v>331.04604307653443</v>
      </c>
    </row>
    <row r="100" spans="1:3" ht="13.5" thickBot="1" x14ac:dyDescent="0.25">
      <c r="A100" s="47"/>
      <c r="B100" s="75"/>
      <c r="C100" s="15"/>
    </row>
    <row r="101" spans="1:3" ht="30" customHeight="1" x14ac:dyDescent="0.2">
      <c r="A101" s="84" t="s">
        <v>141</v>
      </c>
      <c r="B101" s="165" t="s">
        <v>142</v>
      </c>
      <c r="C101" s="165"/>
    </row>
    <row r="102" spans="1:3" ht="30" x14ac:dyDescent="0.2">
      <c r="A102" s="59" t="s">
        <v>143</v>
      </c>
      <c r="B102" s="33" t="s">
        <v>251</v>
      </c>
      <c r="C102" s="34">
        <f>[19]С4!F16</f>
        <v>832.33500000000004</v>
      </c>
    </row>
    <row r="103" spans="1:3" ht="30" x14ac:dyDescent="0.2">
      <c r="A103" s="59" t="s">
        <v>145</v>
      </c>
      <c r="B103" s="58" t="s">
        <v>252</v>
      </c>
      <c r="C103" s="34">
        <f>[19]С4!F17</f>
        <v>43385</v>
      </c>
    </row>
    <row r="104" spans="1:3" ht="17.25" x14ac:dyDescent="0.2">
      <c r="A104" s="59" t="s">
        <v>147</v>
      </c>
      <c r="B104" s="58" t="s">
        <v>148</v>
      </c>
      <c r="C104" s="40">
        <f>[19]С4!F18</f>
        <v>1.4999999999999999E-2</v>
      </c>
    </row>
    <row r="105" spans="1:3" ht="30" x14ac:dyDescent="0.2">
      <c r="A105" s="59" t="s">
        <v>149</v>
      </c>
      <c r="B105" s="58" t="s">
        <v>150</v>
      </c>
      <c r="C105" s="34">
        <f>[19]С4!F19</f>
        <v>12104</v>
      </c>
    </row>
    <row r="106" spans="1:3" ht="31.5" x14ac:dyDescent="0.2">
      <c r="A106" s="59" t="s">
        <v>151</v>
      </c>
      <c r="B106" s="58" t="s">
        <v>152</v>
      </c>
      <c r="C106" s="40">
        <f>[19]С4!F20</f>
        <v>1.4999999999999999E-2</v>
      </c>
    </row>
    <row r="107" spans="1:3" ht="30" x14ac:dyDescent="0.2">
      <c r="A107" s="59" t="s">
        <v>153</v>
      </c>
      <c r="B107" s="33" t="s">
        <v>253</v>
      </c>
      <c r="C107" s="34">
        <f>[19]С4!F21</f>
        <v>1221.9019409821399</v>
      </c>
    </row>
    <row r="108" spans="1:3" ht="45.6" customHeight="1" x14ac:dyDescent="0.2">
      <c r="A108" s="59" t="s">
        <v>155</v>
      </c>
      <c r="B108" s="53" t="s">
        <v>156</v>
      </c>
      <c r="C108" s="85" t="str">
        <f>IF([19]С4.2!F8="да",[19]С4.2!D21,[19]С4.2!D15)</f>
        <v>АО "Новосибирскэнергосбыт"</v>
      </c>
    </row>
    <row r="109" spans="1:3" ht="68.25" customHeight="1" x14ac:dyDescent="0.2">
      <c r="A109" s="59" t="s">
        <v>157</v>
      </c>
      <c r="B109" s="53" t="s">
        <v>158</v>
      </c>
      <c r="C109" s="34">
        <f>[19]С4!F22</f>
        <v>3.6112641666666665</v>
      </c>
    </row>
    <row r="110" spans="1:3" ht="30" x14ac:dyDescent="0.2">
      <c r="A110" s="59" t="s">
        <v>159</v>
      </c>
      <c r="B110" s="58" t="s">
        <v>254</v>
      </c>
      <c r="C110" s="62">
        <f>[19]С4!F23</f>
        <v>110</v>
      </c>
    </row>
    <row r="111" spans="1:3" ht="14.25" x14ac:dyDescent="0.2">
      <c r="A111" s="59" t="s">
        <v>161</v>
      </c>
      <c r="B111" s="53" t="s">
        <v>162</v>
      </c>
      <c r="C111" s="34">
        <f>[19]С4!F24</f>
        <v>8497.1999999999989</v>
      </c>
    </row>
    <row r="112" spans="1:3" ht="14.25" x14ac:dyDescent="0.2">
      <c r="A112" s="59" t="s">
        <v>163</v>
      </c>
      <c r="B112" s="58" t="s">
        <v>164</v>
      </c>
      <c r="C112" s="40">
        <f>[19]С4!F25</f>
        <v>0.36199999999999999</v>
      </c>
    </row>
    <row r="113" spans="1:3" ht="17.25" x14ac:dyDescent="0.2">
      <c r="A113" s="59" t="s">
        <v>165</v>
      </c>
      <c r="B113" s="33" t="s">
        <v>166</v>
      </c>
      <c r="C113" s="34">
        <f>[19]С4!F26</f>
        <v>40.123830000000005</v>
      </c>
    </row>
    <row r="114" spans="1:3" ht="25.5" x14ac:dyDescent="0.2">
      <c r="A114" s="59" t="s">
        <v>167</v>
      </c>
      <c r="B114" s="53" t="s">
        <v>94</v>
      </c>
      <c r="C114" s="85">
        <f>[19]С4.3!E16</f>
        <v>0</v>
      </c>
    </row>
    <row r="115" spans="1:3" ht="25.5" x14ac:dyDescent="0.2">
      <c r="A115" s="59" t="s">
        <v>168</v>
      </c>
      <c r="B115" s="53" t="s">
        <v>169</v>
      </c>
      <c r="C115" s="34">
        <f>[19]С4.3!E17</f>
        <v>18.059999999999999</v>
      </c>
    </row>
    <row r="116" spans="1:3" ht="38.25" x14ac:dyDescent="0.2">
      <c r="A116" s="59" t="s">
        <v>170</v>
      </c>
      <c r="B116" s="53" t="s">
        <v>106</v>
      </c>
      <c r="C116" s="85">
        <f>[19]С4.3!E18</f>
        <v>0</v>
      </c>
    </row>
    <row r="117" spans="1:3" x14ac:dyDescent="0.2">
      <c r="A117" s="59" t="s">
        <v>171</v>
      </c>
      <c r="B117" s="53" t="s">
        <v>172</v>
      </c>
      <c r="C117" s="34">
        <f>[19]С4.3!E19</f>
        <v>71.67</v>
      </c>
    </row>
    <row r="118" spans="1:3" x14ac:dyDescent="0.2">
      <c r="A118" s="59" t="s">
        <v>173</v>
      </c>
      <c r="B118" s="58" t="s">
        <v>174</v>
      </c>
      <c r="C118" s="62">
        <f>[19]С4.3!E11</f>
        <v>1871</v>
      </c>
    </row>
    <row r="119" spans="1:3" x14ac:dyDescent="0.2">
      <c r="A119" s="59" t="s">
        <v>175</v>
      </c>
      <c r="B119" s="58" t="s">
        <v>176</v>
      </c>
      <c r="C119" s="52">
        <f>[19]С4.3!E12</f>
        <v>61</v>
      </c>
    </row>
    <row r="120" spans="1:3" x14ac:dyDescent="0.2">
      <c r="A120" s="59" t="s">
        <v>177</v>
      </c>
      <c r="B120" s="58" t="s">
        <v>178</v>
      </c>
      <c r="C120" s="52">
        <f>[19]С4.3!E13</f>
        <v>73</v>
      </c>
    </row>
    <row r="121" spans="1:3" ht="30" x14ac:dyDescent="0.2">
      <c r="A121" s="59" t="s">
        <v>179</v>
      </c>
      <c r="B121" s="33" t="s">
        <v>255</v>
      </c>
      <c r="C121" s="34">
        <f>[19]С4!F27</f>
        <v>904.62444244124072</v>
      </c>
    </row>
    <row r="122" spans="1:3" ht="25.5" x14ac:dyDescent="0.2">
      <c r="A122" s="59" t="s">
        <v>181</v>
      </c>
      <c r="B122" s="53" t="s">
        <v>256</v>
      </c>
      <c r="C122" s="34">
        <f>[19]С4!F28</f>
        <v>694.79603874135228</v>
      </c>
    </row>
    <row r="123" spans="1:3" ht="42.75" x14ac:dyDescent="0.2">
      <c r="A123" s="59" t="s">
        <v>183</v>
      </c>
      <c r="B123" s="53" t="s">
        <v>184</v>
      </c>
      <c r="C123" s="34">
        <f>[19]С4!F29</f>
        <v>209.82840369988838</v>
      </c>
    </row>
    <row r="124" spans="1:3" ht="30.75" thickBot="1" x14ac:dyDescent="0.25">
      <c r="A124" s="72" t="s">
        <v>185</v>
      </c>
      <c r="B124" s="90" t="s">
        <v>186</v>
      </c>
      <c r="C124" s="83">
        <f>[19]С4!F30</f>
        <v>475.40681839948314</v>
      </c>
    </row>
    <row r="125" spans="1:3" s="89" customFormat="1" ht="13.5" thickBot="1" x14ac:dyDescent="0.25">
      <c r="A125" s="47"/>
      <c r="B125" s="75"/>
      <c r="C125" s="15"/>
    </row>
    <row r="126" spans="1:3" s="63" customFormat="1" ht="30" customHeight="1" x14ac:dyDescent="0.2">
      <c r="A126" s="76" t="s">
        <v>195</v>
      </c>
      <c r="B126" s="165" t="s">
        <v>196</v>
      </c>
      <c r="C126" s="165"/>
    </row>
    <row r="127" spans="1:3" ht="30.6" customHeight="1" thickBot="1" x14ac:dyDescent="0.25">
      <c r="A127" s="27" t="s">
        <v>197</v>
      </c>
      <c r="B127" s="90" t="s">
        <v>198</v>
      </c>
      <c r="C127" s="83">
        <f>[19]С5!F17</f>
        <v>0.02</v>
      </c>
    </row>
    <row r="128" spans="1:3" s="89" customFormat="1" ht="13.5" thickBot="1" x14ac:dyDescent="0.25">
      <c r="A128" s="47"/>
      <c r="B128" s="75"/>
      <c r="C128" s="15"/>
    </row>
    <row r="129" spans="1:4" ht="42.75" customHeight="1" x14ac:dyDescent="0.2">
      <c r="A129" s="84" t="s">
        <v>199</v>
      </c>
      <c r="B129" s="165" t="s">
        <v>200</v>
      </c>
      <c r="C129" s="165"/>
    </row>
    <row r="130" spans="1:4" ht="68.25" x14ac:dyDescent="0.2">
      <c r="A130" s="59" t="s">
        <v>201</v>
      </c>
      <c r="B130" s="91" t="s">
        <v>202</v>
      </c>
      <c r="C130" s="34" t="str">
        <f>IF([19]С6.1!E11="нет",[19]С6!F13,"")</f>
        <v/>
      </c>
    </row>
    <row r="131" spans="1:4" ht="42.75" x14ac:dyDescent="0.2">
      <c r="A131" s="59" t="s">
        <v>204</v>
      </c>
      <c r="B131" s="86" t="s">
        <v>205</v>
      </c>
      <c r="C131" s="92" t="str">
        <f>IF([19]С6.1!E12="нет",[19]С6.1!E17,"")</f>
        <v/>
      </c>
    </row>
    <row r="132" spans="1:4" ht="68.25" x14ac:dyDescent="0.2">
      <c r="A132" s="59" t="s">
        <v>206</v>
      </c>
      <c r="B132" s="91" t="s">
        <v>207</v>
      </c>
      <c r="C132" s="127" t="str">
        <f>IF([19]С6.1!E18="нет",[19]С6!F19,"")</f>
        <v/>
      </c>
    </row>
    <row r="133" spans="1:4" ht="55.5" x14ac:dyDescent="0.2">
      <c r="A133" s="59" t="s">
        <v>208</v>
      </c>
      <c r="B133" s="86" t="s">
        <v>209</v>
      </c>
      <c r="C133" s="35" t="str">
        <f>IF([19]С6.1!E18="нет",[19]С6.1!E19,"")</f>
        <v/>
      </c>
    </row>
    <row r="134" spans="1:4" ht="61.5" customHeight="1" x14ac:dyDescent="0.2">
      <c r="A134" s="59" t="s">
        <v>210</v>
      </c>
      <c r="B134" s="86" t="s">
        <v>257</v>
      </c>
      <c r="C134" s="35" t="str">
        <f>IF([19]С6.1!E18="нет",[19]С6.1!E22,"")</f>
        <v/>
      </c>
    </row>
    <row r="135" spans="1:4" ht="69" thickBot="1" x14ac:dyDescent="0.25">
      <c r="A135" s="72" t="s">
        <v>212</v>
      </c>
      <c r="B135" s="98" t="s">
        <v>213</v>
      </c>
      <c r="C135" s="74" t="str">
        <f>IF([19]С6.1!E18="нет",[19]С6.1!E23,"")</f>
        <v/>
      </c>
    </row>
    <row r="136" spans="1:4" s="89" customFormat="1" ht="13.5" thickBot="1" x14ac:dyDescent="0.25">
      <c r="A136" s="47"/>
      <c r="B136" s="75"/>
      <c r="C136" s="15"/>
    </row>
    <row r="137" spans="1:4" ht="15.75" x14ac:dyDescent="0.2">
      <c r="A137" s="84" t="s">
        <v>214</v>
      </c>
      <c r="B137" s="99" t="s">
        <v>215</v>
      </c>
      <c r="C137" s="100">
        <f>[19]С2!F39</f>
        <v>21.531904799999996</v>
      </c>
    </row>
    <row r="138" spans="1:4" ht="14.25" x14ac:dyDescent="0.2">
      <c r="A138" s="59" t="s">
        <v>216</v>
      </c>
      <c r="B138" s="58" t="s">
        <v>217</v>
      </c>
      <c r="C138" s="34">
        <f>[19]С2!F40</f>
        <v>7</v>
      </c>
    </row>
    <row r="139" spans="1:4" ht="17.25" x14ac:dyDescent="0.2">
      <c r="A139" s="59" t="s">
        <v>218</v>
      </c>
      <c r="B139" s="58" t="s">
        <v>219</v>
      </c>
      <c r="C139" s="34">
        <f>[19]С2!F42</f>
        <v>0.97</v>
      </c>
    </row>
    <row r="140" spans="1:4" ht="15" thickBot="1" x14ac:dyDescent="0.25">
      <c r="A140" s="72" t="s">
        <v>220</v>
      </c>
      <c r="B140" s="73" t="s">
        <v>221</v>
      </c>
      <c r="C140" s="46">
        <f>[19]С2!F44</f>
        <v>0.36199999999999999</v>
      </c>
    </row>
    <row r="141" spans="1:4" s="89" customFormat="1" ht="13.5" thickBot="1" x14ac:dyDescent="0.25">
      <c r="A141" s="47"/>
      <c r="B141" s="75"/>
      <c r="C141" s="15"/>
    </row>
    <row r="142" spans="1:4" ht="17.25" x14ac:dyDescent="0.2">
      <c r="A142" s="84" t="s">
        <v>222</v>
      </c>
      <c r="B142" s="103" t="s">
        <v>258</v>
      </c>
      <c r="C142" s="128">
        <f>[19]С2!F37</f>
        <v>1.4976266307379205</v>
      </c>
      <c r="D142" s="89"/>
    </row>
    <row r="143" spans="1:4" ht="17.25" customHeight="1" thickBot="1" x14ac:dyDescent="0.25">
      <c r="A143" s="72" t="s">
        <v>224</v>
      </c>
      <c r="B143" s="161" t="s">
        <v>225</v>
      </c>
      <c r="C143" s="161"/>
      <c r="D143" s="89"/>
    </row>
    <row r="144" spans="1:4" x14ac:dyDescent="0.2">
      <c r="A144" s="105"/>
      <c r="B144" s="129" t="s">
        <v>226</v>
      </c>
      <c r="C144" s="130"/>
    </row>
    <row r="145" spans="1:3" x14ac:dyDescent="0.2">
      <c r="A145" s="105"/>
      <c r="B145" s="131">
        <v>2020</v>
      </c>
      <c r="C145" s="132">
        <f>[19]С2.5!$E$11</f>
        <v>-2.9000000000000026E-2</v>
      </c>
    </row>
    <row r="146" spans="1:3" x14ac:dyDescent="0.2">
      <c r="B146" s="131">
        <f>B145+1</f>
        <v>2021</v>
      </c>
      <c r="C146" s="133">
        <f>[19]С2.5!$F$11</f>
        <v>0.245</v>
      </c>
    </row>
    <row r="147" spans="1:3" x14ac:dyDescent="0.2">
      <c r="B147" s="131">
        <f t="shared" ref="B147:B210" si="0">B146+1</f>
        <v>2022</v>
      </c>
      <c r="C147" s="134">
        <f>[19]С2.5!$G$11</f>
        <v>0.114</v>
      </c>
    </row>
    <row r="148" spans="1:3" x14ac:dyDescent="0.2">
      <c r="B148" s="110">
        <f t="shared" si="0"/>
        <v>2023</v>
      </c>
      <c r="C148" s="135">
        <f>[19]С2.5!$H$11</f>
        <v>2.4E-2</v>
      </c>
    </row>
    <row r="149" spans="1:3" ht="13.5" thickBot="1" x14ac:dyDescent="0.25">
      <c r="B149" s="110">
        <f t="shared" si="0"/>
        <v>2024</v>
      </c>
      <c r="C149" s="135">
        <f>[19]С2.5!$I$11</f>
        <v>8.5999999999999993E-2</v>
      </c>
    </row>
    <row r="150" spans="1:3" ht="13.5" hidden="1" thickBot="1" x14ac:dyDescent="0.25">
      <c r="B150" s="110">
        <f t="shared" si="0"/>
        <v>2025</v>
      </c>
      <c r="C150" s="135">
        <f>[19]С2.5!$J$11</f>
        <v>0</v>
      </c>
    </row>
    <row r="151" spans="1:3" ht="13.5" hidden="1" thickBot="1" x14ac:dyDescent="0.25">
      <c r="B151" s="110">
        <f t="shared" si="0"/>
        <v>2026</v>
      </c>
      <c r="C151" s="135">
        <f>[19]С2.5!$K$11</f>
        <v>0</v>
      </c>
    </row>
    <row r="152" spans="1:3" ht="13.5" hidden="1" thickBot="1" x14ac:dyDescent="0.25">
      <c r="B152" s="110">
        <f t="shared" si="0"/>
        <v>2027</v>
      </c>
      <c r="C152" s="135">
        <f>[19]С2.5!$L$11</f>
        <v>0</v>
      </c>
    </row>
    <row r="153" spans="1:3" ht="13.5" hidden="1" thickBot="1" x14ac:dyDescent="0.25">
      <c r="B153" s="110">
        <f t="shared" si="0"/>
        <v>2028</v>
      </c>
      <c r="C153" s="135">
        <f>[19]С2.5!$M$11</f>
        <v>0</v>
      </c>
    </row>
    <row r="154" spans="1:3" ht="13.5" hidden="1" thickBot="1" x14ac:dyDescent="0.25">
      <c r="B154" s="110">
        <f t="shared" si="0"/>
        <v>2029</v>
      </c>
      <c r="C154" s="135">
        <f>[19]С2.5!$N$11</f>
        <v>0</v>
      </c>
    </row>
    <row r="155" spans="1:3" ht="13.5" hidden="1" thickBot="1" x14ac:dyDescent="0.25">
      <c r="B155" s="110">
        <f t="shared" si="0"/>
        <v>2030</v>
      </c>
      <c r="C155" s="135">
        <f>[19]С2.5!$O$11</f>
        <v>0</v>
      </c>
    </row>
    <row r="156" spans="1:3" ht="13.5" hidden="1" thickBot="1" x14ac:dyDescent="0.25">
      <c r="B156" s="110">
        <f t="shared" si="0"/>
        <v>2031</v>
      </c>
      <c r="C156" s="135">
        <f>[19]С2.5!$P$11</f>
        <v>0</v>
      </c>
    </row>
    <row r="157" spans="1:3" ht="13.5" hidden="1" thickBot="1" x14ac:dyDescent="0.25">
      <c r="B157" s="110">
        <f t="shared" si="0"/>
        <v>2032</v>
      </c>
      <c r="C157" s="135">
        <f>[19]С2.5!$Q$11</f>
        <v>0</v>
      </c>
    </row>
    <row r="158" spans="1:3" ht="13.5" hidden="1" thickBot="1" x14ac:dyDescent="0.25">
      <c r="B158" s="110">
        <f t="shared" si="0"/>
        <v>2033</v>
      </c>
      <c r="C158" s="135">
        <f>[19]С2.5!$R$11</f>
        <v>0</v>
      </c>
    </row>
    <row r="159" spans="1:3" ht="13.5" hidden="1" thickBot="1" x14ac:dyDescent="0.25">
      <c r="B159" s="110">
        <f t="shared" si="0"/>
        <v>2034</v>
      </c>
      <c r="C159" s="135">
        <f>[19]С2.5!$S$11</f>
        <v>0</v>
      </c>
    </row>
    <row r="160" spans="1:3" ht="13.5" hidden="1" thickBot="1" x14ac:dyDescent="0.25">
      <c r="B160" s="110">
        <f t="shared" si="0"/>
        <v>2035</v>
      </c>
      <c r="C160" s="135">
        <f>[19]С2.5!$T$11</f>
        <v>0</v>
      </c>
    </row>
    <row r="161" spans="2:3" ht="13.5" hidden="1" thickBot="1" x14ac:dyDescent="0.25">
      <c r="B161" s="110">
        <f t="shared" si="0"/>
        <v>2036</v>
      </c>
      <c r="C161" s="135">
        <f>[19]С2.5!$U$11</f>
        <v>0</v>
      </c>
    </row>
    <row r="162" spans="2:3" ht="13.5" hidden="1" thickBot="1" x14ac:dyDescent="0.25">
      <c r="B162" s="110">
        <f t="shared" si="0"/>
        <v>2037</v>
      </c>
      <c r="C162" s="135">
        <f>[19]С2.5!$V$11</f>
        <v>0</v>
      </c>
    </row>
    <row r="163" spans="2:3" ht="13.5" hidden="1" thickBot="1" x14ac:dyDescent="0.25">
      <c r="B163" s="110">
        <f t="shared" si="0"/>
        <v>2038</v>
      </c>
      <c r="C163" s="135">
        <f>[19]С2.5!$W$11</f>
        <v>0</v>
      </c>
    </row>
    <row r="164" spans="2:3" ht="13.5" hidden="1" thickBot="1" x14ac:dyDescent="0.25">
      <c r="B164" s="110">
        <f t="shared" si="0"/>
        <v>2039</v>
      </c>
      <c r="C164" s="135">
        <f>[19]С2.5!$X$11</f>
        <v>0</v>
      </c>
    </row>
    <row r="165" spans="2:3" ht="13.5" hidden="1" thickBot="1" x14ac:dyDescent="0.25">
      <c r="B165" s="110">
        <f t="shared" si="0"/>
        <v>2040</v>
      </c>
      <c r="C165" s="135">
        <f>[19]С2.5!$Y$11</f>
        <v>0</v>
      </c>
    </row>
    <row r="166" spans="2:3" ht="13.5" hidden="1" thickBot="1" x14ac:dyDescent="0.25">
      <c r="B166" s="110">
        <f t="shared" si="0"/>
        <v>2041</v>
      </c>
      <c r="C166" s="135">
        <f>[19]С2.5!$Z$11</f>
        <v>0</v>
      </c>
    </row>
    <row r="167" spans="2:3" ht="13.5" hidden="1" thickBot="1" x14ac:dyDescent="0.25">
      <c r="B167" s="110">
        <f t="shared" si="0"/>
        <v>2042</v>
      </c>
      <c r="C167" s="135">
        <f>[19]С2.5!$AA$11</f>
        <v>0</v>
      </c>
    </row>
    <row r="168" spans="2:3" ht="13.5" hidden="1" thickBot="1" x14ac:dyDescent="0.25">
      <c r="B168" s="110">
        <f t="shared" si="0"/>
        <v>2043</v>
      </c>
      <c r="C168" s="135">
        <f>[19]С2.5!$AB$11</f>
        <v>0</v>
      </c>
    </row>
    <row r="169" spans="2:3" ht="13.5" hidden="1" thickBot="1" x14ac:dyDescent="0.25">
      <c r="B169" s="110">
        <f t="shared" si="0"/>
        <v>2044</v>
      </c>
      <c r="C169" s="135">
        <f>[19]С2.5!$AC$11</f>
        <v>0</v>
      </c>
    </row>
    <row r="170" spans="2:3" ht="13.5" hidden="1" thickBot="1" x14ac:dyDescent="0.25">
      <c r="B170" s="110">
        <f t="shared" si="0"/>
        <v>2045</v>
      </c>
      <c r="C170" s="135">
        <f>[19]С2.5!$AD$11</f>
        <v>0</v>
      </c>
    </row>
    <row r="171" spans="2:3" ht="13.5" hidden="1" thickBot="1" x14ac:dyDescent="0.25">
      <c r="B171" s="110">
        <f t="shared" si="0"/>
        <v>2046</v>
      </c>
      <c r="C171" s="135">
        <f>[19]С2.5!$AE$11</f>
        <v>0</v>
      </c>
    </row>
    <row r="172" spans="2:3" ht="13.5" hidden="1" thickBot="1" x14ac:dyDescent="0.25">
      <c r="B172" s="110">
        <f t="shared" si="0"/>
        <v>2047</v>
      </c>
      <c r="C172" s="135">
        <f>[19]С2.5!$AF$11</f>
        <v>0</v>
      </c>
    </row>
    <row r="173" spans="2:3" ht="13.5" hidden="1" thickBot="1" x14ac:dyDescent="0.25">
      <c r="B173" s="110">
        <f t="shared" si="0"/>
        <v>2048</v>
      </c>
      <c r="C173" s="135">
        <f>[19]С2.5!$AG$11</f>
        <v>0</v>
      </c>
    </row>
    <row r="174" spans="2:3" ht="13.5" hidden="1" thickBot="1" x14ac:dyDescent="0.25">
      <c r="B174" s="110">
        <f t="shared" si="0"/>
        <v>2049</v>
      </c>
      <c r="C174" s="135">
        <f>[19]С2.5!$AH$11</f>
        <v>0</v>
      </c>
    </row>
    <row r="175" spans="2:3" ht="13.5" hidden="1" thickBot="1" x14ac:dyDescent="0.25">
      <c r="B175" s="110">
        <f t="shared" si="0"/>
        <v>2050</v>
      </c>
      <c r="C175" s="135">
        <f>[19]С2.5!$AI$11</f>
        <v>0</v>
      </c>
    </row>
    <row r="176" spans="2:3" ht="13.5" hidden="1" thickBot="1" x14ac:dyDescent="0.25">
      <c r="B176" s="110">
        <f t="shared" si="0"/>
        <v>2051</v>
      </c>
      <c r="C176" s="135">
        <f>[19]С2.5!$AJ$11</f>
        <v>0</v>
      </c>
    </row>
    <row r="177" spans="2:3" ht="13.5" hidden="1" thickBot="1" x14ac:dyDescent="0.25">
      <c r="B177" s="110">
        <f t="shared" si="0"/>
        <v>2052</v>
      </c>
      <c r="C177" s="135">
        <f>[19]С2.5!$AK$11</f>
        <v>0</v>
      </c>
    </row>
    <row r="178" spans="2:3" ht="13.5" hidden="1" thickBot="1" x14ac:dyDescent="0.25">
      <c r="B178" s="110">
        <f t="shared" si="0"/>
        <v>2053</v>
      </c>
      <c r="C178" s="135">
        <f>[19]С2.5!$AL$11</f>
        <v>0</v>
      </c>
    </row>
    <row r="179" spans="2:3" ht="13.5" hidden="1" thickBot="1" x14ac:dyDescent="0.25">
      <c r="B179" s="110">
        <f t="shared" si="0"/>
        <v>2054</v>
      </c>
      <c r="C179" s="135">
        <f>[19]С2.5!$AM$11</f>
        <v>0</v>
      </c>
    </row>
    <row r="180" spans="2:3" ht="13.5" hidden="1" thickBot="1" x14ac:dyDescent="0.25">
      <c r="B180" s="110">
        <f t="shared" si="0"/>
        <v>2055</v>
      </c>
      <c r="C180" s="135">
        <f>[19]С2.5!$AN$11</f>
        <v>0</v>
      </c>
    </row>
    <row r="181" spans="2:3" ht="13.5" hidden="1" thickBot="1" x14ac:dyDescent="0.25">
      <c r="B181" s="110">
        <f t="shared" si="0"/>
        <v>2056</v>
      </c>
      <c r="C181" s="135">
        <f>[19]С2.5!$AO$11</f>
        <v>0</v>
      </c>
    </row>
    <row r="182" spans="2:3" ht="13.5" hidden="1" thickBot="1" x14ac:dyDescent="0.25">
      <c r="B182" s="110">
        <f t="shared" si="0"/>
        <v>2057</v>
      </c>
      <c r="C182" s="135">
        <f>[19]С2.5!$AP$11</f>
        <v>0</v>
      </c>
    </row>
    <row r="183" spans="2:3" ht="13.5" hidden="1" thickBot="1" x14ac:dyDescent="0.25">
      <c r="B183" s="110">
        <f t="shared" si="0"/>
        <v>2058</v>
      </c>
      <c r="C183" s="135">
        <f>[19]С2.5!$AQ$11</f>
        <v>0</v>
      </c>
    </row>
    <row r="184" spans="2:3" ht="13.5" hidden="1" thickBot="1" x14ac:dyDescent="0.25">
      <c r="B184" s="110">
        <f t="shared" si="0"/>
        <v>2059</v>
      </c>
      <c r="C184" s="135">
        <f>[19]С2.5!$AR$11</f>
        <v>0</v>
      </c>
    </row>
    <row r="185" spans="2:3" ht="13.5" hidden="1" thickBot="1" x14ac:dyDescent="0.25">
      <c r="B185" s="110">
        <f t="shared" si="0"/>
        <v>2060</v>
      </c>
      <c r="C185" s="135">
        <f>[19]С2.5!$AS$11</f>
        <v>0</v>
      </c>
    </row>
    <row r="186" spans="2:3" ht="13.5" hidden="1" thickBot="1" x14ac:dyDescent="0.25">
      <c r="B186" s="110">
        <f t="shared" si="0"/>
        <v>2061</v>
      </c>
      <c r="C186" s="135">
        <f>[19]С2.5!$AT$11</f>
        <v>0</v>
      </c>
    </row>
    <row r="187" spans="2:3" ht="13.5" hidden="1" thickBot="1" x14ac:dyDescent="0.25">
      <c r="B187" s="110">
        <f t="shared" si="0"/>
        <v>2062</v>
      </c>
      <c r="C187" s="135">
        <f>[19]С2.5!$AU$11</f>
        <v>0</v>
      </c>
    </row>
    <row r="188" spans="2:3" ht="13.5" hidden="1" thickBot="1" x14ac:dyDescent="0.25">
      <c r="B188" s="110">
        <f t="shared" si="0"/>
        <v>2063</v>
      </c>
      <c r="C188" s="135">
        <f>[19]С2.5!$AV$11</f>
        <v>0</v>
      </c>
    </row>
    <row r="189" spans="2:3" ht="13.5" hidden="1" thickBot="1" x14ac:dyDescent="0.25">
      <c r="B189" s="110">
        <f t="shared" si="0"/>
        <v>2064</v>
      </c>
      <c r="C189" s="135">
        <f>[19]С2.5!$AW$11</f>
        <v>0</v>
      </c>
    </row>
    <row r="190" spans="2:3" ht="13.5" hidden="1" thickBot="1" x14ac:dyDescent="0.25">
      <c r="B190" s="110">
        <f t="shared" si="0"/>
        <v>2065</v>
      </c>
      <c r="C190" s="135">
        <f>[19]С2.5!$AX$11</f>
        <v>0</v>
      </c>
    </row>
    <row r="191" spans="2:3" ht="13.5" hidden="1" thickBot="1" x14ac:dyDescent="0.25">
      <c r="B191" s="110">
        <f t="shared" si="0"/>
        <v>2066</v>
      </c>
      <c r="C191" s="135">
        <f>[19]С2.5!$AY$11</f>
        <v>0</v>
      </c>
    </row>
    <row r="192" spans="2:3" ht="13.5" hidden="1" thickBot="1" x14ac:dyDescent="0.25">
      <c r="B192" s="110">
        <f t="shared" si="0"/>
        <v>2067</v>
      </c>
      <c r="C192" s="135">
        <f>[19]С2.5!$AZ$11</f>
        <v>0</v>
      </c>
    </row>
    <row r="193" spans="2:3" ht="13.5" hidden="1" thickBot="1" x14ac:dyDescent="0.25">
      <c r="B193" s="110">
        <f t="shared" si="0"/>
        <v>2068</v>
      </c>
      <c r="C193" s="135">
        <f>[19]С2.5!$BA$11</f>
        <v>0</v>
      </c>
    </row>
    <row r="194" spans="2:3" ht="13.5" hidden="1" thickBot="1" x14ac:dyDescent="0.25">
      <c r="B194" s="110">
        <f t="shared" si="0"/>
        <v>2069</v>
      </c>
      <c r="C194" s="135">
        <f>[19]С2.5!$BB$11</f>
        <v>0</v>
      </c>
    </row>
    <row r="195" spans="2:3" ht="13.5" hidden="1" thickBot="1" x14ac:dyDescent="0.25">
      <c r="B195" s="110">
        <f t="shared" si="0"/>
        <v>2070</v>
      </c>
      <c r="C195" s="135">
        <f>[19]С2.5!$BC$11</f>
        <v>0</v>
      </c>
    </row>
    <row r="196" spans="2:3" ht="13.5" hidden="1" thickBot="1" x14ac:dyDescent="0.25">
      <c r="B196" s="110">
        <f t="shared" si="0"/>
        <v>2071</v>
      </c>
      <c r="C196" s="135">
        <f>[19]С2.5!$BD$11</f>
        <v>0</v>
      </c>
    </row>
    <row r="197" spans="2:3" ht="13.5" hidden="1" thickBot="1" x14ac:dyDescent="0.25">
      <c r="B197" s="110">
        <f t="shared" si="0"/>
        <v>2072</v>
      </c>
      <c r="C197" s="135">
        <f>[19]С2.5!$BE$11</f>
        <v>0</v>
      </c>
    </row>
    <row r="198" spans="2:3" ht="13.5" hidden="1" thickBot="1" x14ac:dyDescent="0.25">
      <c r="B198" s="110">
        <f t="shared" si="0"/>
        <v>2073</v>
      </c>
      <c r="C198" s="135">
        <f>[19]С2.5!$BF$11</f>
        <v>0</v>
      </c>
    </row>
    <row r="199" spans="2:3" ht="13.5" hidden="1" thickBot="1" x14ac:dyDescent="0.25">
      <c r="B199" s="110">
        <f t="shared" si="0"/>
        <v>2074</v>
      </c>
      <c r="C199" s="135">
        <f>[19]С2.5!$BG$11</f>
        <v>0</v>
      </c>
    </row>
    <row r="200" spans="2:3" ht="13.5" hidden="1" thickBot="1" x14ac:dyDescent="0.25">
      <c r="B200" s="110">
        <f t="shared" si="0"/>
        <v>2075</v>
      </c>
      <c r="C200" s="135">
        <f>[19]С2.5!$BH$11</f>
        <v>0</v>
      </c>
    </row>
    <row r="201" spans="2:3" ht="13.5" hidden="1" thickBot="1" x14ac:dyDescent="0.25">
      <c r="B201" s="110">
        <f t="shared" si="0"/>
        <v>2076</v>
      </c>
      <c r="C201" s="135">
        <f>[19]С2.5!$BI$11</f>
        <v>0</v>
      </c>
    </row>
    <row r="202" spans="2:3" ht="13.5" hidden="1" thickBot="1" x14ac:dyDescent="0.25">
      <c r="B202" s="110">
        <f t="shared" si="0"/>
        <v>2077</v>
      </c>
      <c r="C202" s="135">
        <f>[19]С2.5!$BJ$11</f>
        <v>0</v>
      </c>
    </row>
    <row r="203" spans="2:3" ht="13.5" hidden="1" thickBot="1" x14ac:dyDescent="0.25">
      <c r="B203" s="110">
        <f t="shared" si="0"/>
        <v>2078</v>
      </c>
      <c r="C203" s="135">
        <f>[19]С2.5!$BK$11</f>
        <v>0</v>
      </c>
    </row>
    <row r="204" spans="2:3" ht="13.5" hidden="1" thickBot="1" x14ac:dyDescent="0.25">
      <c r="B204" s="110">
        <f t="shared" si="0"/>
        <v>2079</v>
      </c>
      <c r="C204" s="135">
        <f>[19]С2.5!$BL$11</f>
        <v>0</v>
      </c>
    </row>
    <row r="205" spans="2:3" ht="13.5" hidden="1" thickBot="1" x14ac:dyDescent="0.25">
      <c r="B205" s="110">
        <f t="shared" si="0"/>
        <v>2080</v>
      </c>
      <c r="C205" s="135">
        <f>[19]С2.5!$BM$11</f>
        <v>0</v>
      </c>
    </row>
    <row r="206" spans="2:3" ht="13.5" hidden="1" thickBot="1" x14ac:dyDescent="0.25">
      <c r="B206" s="110">
        <f t="shared" si="0"/>
        <v>2081</v>
      </c>
      <c r="C206" s="135">
        <f>[19]С2.5!$BN$11</f>
        <v>0</v>
      </c>
    </row>
    <row r="207" spans="2:3" ht="13.5" hidden="1" thickBot="1" x14ac:dyDescent="0.25">
      <c r="B207" s="110">
        <f t="shared" si="0"/>
        <v>2082</v>
      </c>
      <c r="C207" s="135">
        <f>[19]С2.5!$BO$11</f>
        <v>0</v>
      </c>
    </row>
    <row r="208" spans="2:3" ht="13.5" hidden="1" thickBot="1" x14ac:dyDescent="0.25">
      <c r="B208" s="110">
        <f t="shared" si="0"/>
        <v>2083</v>
      </c>
      <c r="C208" s="135">
        <f>[19]С2.5!$BP$11</f>
        <v>0</v>
      </c>
    </row>
    <row r="209" spans="2:3" ht="13.5" hidden="1" thickBot="1" x14ac:dyDescent="0.25">
      <c r="B209" s="110">
        <f t="shared" si="0"/>
        <v>2084</v>
      </c>
      <c r="C209" s="135">
        <f>[19]С2.5!$BQ$11</f>
        <v>0</v>
      </c>
    </row>
    <row r="210" spans="2:3" ht="13.5" hidden="1" thickBot="1" x14ac:dyDescent="0.25">
      <c r="B210" s="110">
        <f t="shared" si="0"/>
        <v>2085</v>
      </c>
      <c r="C210" s="135">
        <f>[19]С2.5!$BR$11</f>
        <v>0</v>
      </c>
    </row>
    <row r="211" spans="2:3" ht="13.5" hidden="1" thickBot="1" x14ac:dyDescent="0.25">
      <c r="B211" s="110">
        <f t="shared" ref="B211:B224" si="1">B210+1</f>
        <v>2086</v>
      </c>
      <c r="C211" s="135">
        <f>[19]С2.5!$BS$11</f>
        <v>0</v>
      </c>
    </row>
    <row r="212" spans="2:3" ht="13.5" hidden="1" thickBot="1" x14ac:dyDescent="0.25">
      <c r="B212" s="110">
        <f t="shared" si="1"/>
        <v>2087</v>
      </c>
      <c r="C212" s="135">
        <f>[19]С2.5!$BT$11</f>
        <v>0</v>
      </c>
    </row>
    <row r="213" spans="2:3" ht="13.5" hidden="1" thickBot="1" x14ac:dyDescent="0.25">
      <c r="B213" s="110">
        <f t="shared" si="1"/>
        <v>2088</v>
      </c>
      <c r="C213" s="135">
        <f>[19]С2.5!$BU$11</f>
        <v>0</v>
      </c>
    </row>
    <row r="214" spans="2:3" ht="13.5" hidden="1" thickBot="1" x14ac:dyDescent="0.25">
      <c r="B214" s="110">
        <f t="shared" si="1"/>
        <v>2089</v>
      </c>
      <c r="C214" s="135">
        <f>[19]С2.5!$BV$11</f>
        <v>0</v>
      </c>
    </row>
    <row r="215" spans="2:3" ht="13.5" hidden="1" thickBot="1" x14ac:dyDescent="0.25">
      <c r="B215" s="110">
        <f t="shared" si="1"/>
        <v>2090</v>
      </c>
      <c r="C215" s="135">
        <f>[19]С2.5!$BW$11</f>
        <v>0</v>
      </c>
    </row>
    <row r="216" spans="2:3" ht="13.5" hidden="1" thickBot="1" x14ac:dyDescent="0.25">
      <c r="B216" s="110">
        <f t="shared" si="1"/>
        <v>2091</v>
      </c>
      <c r="C216" s="135">
        <f>[19]С2.5!$BX$11</f>
        <v>0</v>
      </c>
    </row>
    <row r="217" spans="2:3" ht="13.5" hidden="1" thickBot="1" x14ac:dyDescent="0.25">
      <c r="B217" s="110">
        <f t="shared" si="1"/>
        <v>2092</v>
      </c>
      <c r="C217" s="135">
        <f>[19]С2.5!$BY$11</f>
        <v>0</v>
      </c>
    </row>
    <row r="218" spans="2:3" ht="13.5" hidden="1" thickBot="1" x14ac:dyDescent="0.25">
      <c r="B218" s="110">
        <f t="shared" si="1"/>
        <v>2093</v>
      </c>
      <c r="C218" s="135">
        <f>[19]С2.5!$BZ$11</f>
        <v>0</v>
      </c>
    </row>
    <row r="219" spans="2:3" ht="13.5" hidden="1" thickBot="1" x14ac:dyDescent="0.25">
      <c r="B219" s="110">
        <f t="shared" si="1"/>
        <v>2094</v>
      </c>
      <c r="C219" s="135">
        <f>[19]С2.5!$CA$11</f>
        <v>0</v>
      </c>
    </row>
    <row r="220" spans="2:3" ht="13.5" hidden="1" thickBot="1" x14ac:dyDescent="0.25">
      <c r="B220" s="110">
        <f t="shared" si="1"/>
        <v>2095</v>
      </c>
      <c r="C220" s="135">
        <f>[19]С2.5!$CB$11</f>
        <v>0</v>
      </c>
    </row>
    <row r="221" spans="2:3" ht="13.5" hidden="1" thickBot="1" x14ac:dyDescent="0.25">
      <c r="B221" s="110">
        <f t="shared" si="1"/>
        <v>2096</v>
      </c>
      <c r="C221" s="135">
        <f>[19]С2.5!$CC$11</f>
        <v>0</v>
      </c>
    </row>
    <row r="222" spans="2:3" ht="13.5" hidden="1" thickBot="1" x14ac:dyDescent="0.25">
      <c r="B222" s="110">
        <f t="shared" si="1"/>
        <v>2097</v>
      </c>
      <c r="C222" s="135">
        <f>[19]С2.5!$CD$11</f>
        <v>0</v>
      </c>
    </row>
    <row r="223" spans="2:3" ht="13.5" hidden="1" thickBot="1" x14ac:dyDescent="0.25">
      <c r="B223" s="110">
        <f t="shared" si="1"/>
        <v>2098</v>
      </c>
      <c r="C223" s="135">
        <f>[19]С2.5!$CE$11</f>
        <v>0</v>
      </c>
    </row>
    <row r="224" spans="2:3" ht="13.5" hidden="1" thickBot="1" x14ac:dyDescent="0.25">
      <c r="B224" s="110">
        <f t="shared" si="1"/>
        <v>2099</v>
      </c>
      <c r="C224" s="135">
        <f>[19]С2.5!$CF$11</f>
        <v>0</v>
      </c>
    </row>
    <row r="225" spans="2:3" ht="13.5" hidden="1" thickBot="1" x14ac:dyDescent="0.25">
      <c r="B225" s="112">
        <f>B162+1</f>
        <v>2038</v>
      </c>
      <c r="C225" s="136" t="e">
        <f>[19]С2.5!#REF!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8]!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15362" r:id="rId4" name="Button 2">
              <controlPr defaultSize="0" print="0" autoFill="0" autoPict="0" macro="[19]!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[20]И1!D13</f>
        <v>Субъект Российской Федерации</v>
      </c>
      <c r="C4" s="10" t="str">
        <f>[20]И1!E13</f>
        <v>Новосибирская область</v>
      </c>
    </row>
    <row r="5" spans="1:3" ht="46.9" customHeight="1" x14ac:dyDescent="0.2">
      <c r="A5" s="8"/>
      <c r="B5" s="9" t="str">
        <f>[20]И1!D14</f>
        <v>Тип муниципального образования (выберите из списка)</v>
      </c>
      <c r="C5" s="10" t="str">
        <f>[20]И1!E14</f>
        <v>село Улыбино, Искитимский муниципальный район</v>
      </c>
    </row>
    <row r="6" spans="1:3" x14ac:dyDescent="0.2">
      <c r="A6" s="8"/>
      <c r="B6" s="9" t="str">
        <f>IF([20]И1!E15="","",[20]И1!D15)</f>
        <v/>
      </c>
      <c r="C6" s="10" t="str">
        <f>IF([20]И1!E15="","",[20]И1!E15)</f>
        <v/>
      </c>
    </row>
    <row r="7" spans="1:3" x14ac:dyDescent="0.2">
      <c r="A7" s="8"/>
      <c r="B7" s="9" t="str">
        <f>[20]И1!D16</f>
        <v>Код ОКТМО</v>
      </c>
      <c r="C7" s="11" t="str">
        <f>[20]И1!E16</f>
        <v xml:space="preserve"> (50615431101)</v>
      </c>
    </row>
    <row r="8" spans="1:3" x14ac:dyDescent="0.2">
      <c r="A8" s="8"/>
      <c r="B8" s="12" t="str">
        <f>[20]И1!D17</f>
        <v>Система теплоснабжения</v>
      </c>
      <c r="C8" s="13">
        <f>[20]И1!E17</f>
        <v>0</v>
      </c>
    </row>
    <row r="9" spans="1:3" x14ac:dyDescent="0.2">
      <c r="A9" s="8"/>
      <c r="B9" s="9" t="str">
        <f>[20]И1!D8</f>
        <v>Период регулирования (i)-й</v>
      </c>
      <c r="C9" s="14">
        <f>[20]И1!E8</f>
        <v>2024</v>
      </c>
    </row>
    <row r="10" spans="1:3" x14ac:dyDescent="0.2">
      <c r="A10" s="8"/>
      <c r="B10" s="9" t="str">
        <f>[20]И1!D9</f>
        <v>Период регулирования (i-1)-й</v>
      </c>
      <c r="C10" s="14">
        <f>[20]И1!E9</f>
        <v>2023</v>
      </c>
    </row>
    <row r="11" spans="1:3" x14ac:dyDescent="0.2">
      <c r="A11" s="8"/>
      <c r="B11" s="9" t="str">
        <f>[20]И1!D10</f>
        <v>Период регулирования (i-2)-й</v>
      </c>
      <c r="C11" s="14">
        <f>[20]И1!E10</f>
        <v>2022</v>
      </c>
    </row>
    <row r="12" spans="1:3" x14ac:dyDescent="0.2">
      <c r="A12" s="8"/>
      <c r="B12" s="9" t="str">
        <f>[20]И1!D11</f>
        <v>Базовый год (б)</v>
      </c>
      <c r="C12" s="14">
        <f>[20]И1!E11</f>
        <v>2019</v>
      </c>
    </row>
    <row r="13" spans="1:3" ht="38.25" x14ac:dyDescent="0.2">
      <c r="A13" s="8"/>
      <c r="B13" s="9" t="str">
        <f>[20]И1!D18</f>
        <v>Вид топлива, использование которого преобладает в системе теплоснабжения</v>
      </c>
      <c r="C13" s="15" t="str">
        <f>[20]С1.1!E13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3652.0526007687163</v>
      </c>
    </row>
    <row r="18" spans="1:3" ht="42.75" x14ac:dyDescent="0.2">
      <c r="A18" s="22" t="s">
        <v>8</v>
      </c>
      <c r="B18" s="25" t="s">
        <v>9</v>
      </c>
      <c r="C18" s="26">
        <f>[20]С1!F12</f>
        <v>665.23209308057574</v>
      </c>
    </row>
    <row r="19" spans="1:3" ht="42.75" x14ac:dyDescent="0.2">
      <c r="A19" s="22" t="s">
        <v>10</v>
      </c>
      <c r="B19" s="25" t="s">
        <v>11</v>
      </c>
      <c r="C19" s="26">
        <f>[20]С2!F12</f>
        <v>2000.3680279558928</v>
      </c>
    </row>
    <row r="20" spans="1:3" ht="30" x14ac:dyDescent="0.2">
      <c r="A20" s="22" t="s">
        <v>12</v>
      </c>
      <c r="B20" s="25" t="s">
        <v>13</v>
      </c>
      <c r="C20" s="26">
        <f>[20]С3!F12</f>
        <v>475.74490066496389</v>
      </c>
    </row>
    <row r="21" spans="1:3" ht="42.75" x14ac:dyDescent="0.2">
      <c r="A21" s="22" t="s">
        <v>14</v>
      </c>
      <c r="B21" s="25" t="s">
        <v>15</v>
      </c>
      <c r="C21" s="26">
        <f>[20]С4!F12</f>
        <v>439.09870454240729</v>
      </c>
    </row>
    <row r="22" spans="1:3" ht="30" x14ac:dyDescent="0.2">
      <c r="A22" s="22" t="s">
        <v>16</v>
      </c>
      <c r="B22" s="25" t="s">
        <v>17</v>
      </c>
      <c r="C22" s="26">
        <f>[20]С5!F12</f>
        <v>71.608874524876796</v>
      </c>
    </row>
    <row r="23" spans="1:3" ht="43.5" thickBot="1" x14ac:dyDescent="0.25">
      <c r="A23" s="27" t="s">
        <v>18</v>
      </c>
      <c r="B23" s="140" t="s">
        <v>19</v>
      </c>
      <c r="C23" s="28" t="str">
        <f>[20]С6!F12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[20]С1.1!E16</f>
        <v>5100</v>
      </c>
    </row>
    <row r="29" spans="1:3" ht="42.75" x14ac:dyDescent="0.2">
      <c r="A29" s="22" t="s">
        <v>10</v>
      </c>
      <c r="B29" s="33" t="s">
        <v>22</v>
      </c>
      <c r="C29" s="34">
        <f>[20]С1.1!E27</f>
        <v>2988.9166666666665</v>
      </c>
    </row>
    <row r="30" spans="1:3" ht="17.25" x14ac:dyDescent="0.2">
      <c r="A30" s="22" t="s">
        <v>12</v>
      </c>
      <c r="B30" s="33" t="s">
        <v>23</v>
      </c>
      <c r="C30" s="35">
        <f>[20]С1.1!E19</f>
        <v>-0.19900000000000001</v>
      </c>
    </row>
    <row r="31" spans="1:3" ht="17.25" x14ac:dyDescent="0.2">
      <c r="A31" s="22" t="s">
        <v>14</v>
      </c>
      <c r="B31" s="33" t="s">
        <v>24</v>
      </c>
      <c r="C31" s="35">
        <f>[20]С1.1!E20</f>
        <v>5.7000000000000002E-2</v>
      </c>
    </row>
    <row r="32" spans="1:3" ht="30" x14ac:dyDescent="0.2">
      <c r="A32" s="22" t="s">
        <v>16</v>
      </c>
      <c r="B32" s="36" t="s">
        <v>25</v>
      </c>
      <c r="C32" s="37">
        <f>[20]С1!F13</f>
        <v>176.4</v>
      </c>
    </row>
    <row r="33" spans="1:3" x14ac:dyDescent="0.2">
      <c r="A33" s="22" t="s">
        <v>18</v>
      </c>
      <c r="B33" s="36" t="s">
        <v>26</v>
      </c>
      <c r="C33" s="38">
        <f>[20]С1!F16</f>
        <v>7000</v>
      </c>
    </row>
    <row r="34" spans="1:3" ht="14.25" x14ac:dyDescent="0.2">
      <c r="A34" s="22" t="s">
        <v>27</v>
      </c>
      <c r="B34" s="39" t="s">
        <v>28</v>
      </c>
      <c r="C34" s="40">
        <f>[20]С1!F17</f>
        <v>0.72857142857142854</v>
      </c>
    </row>
    <row r="35" spans="1:3" ht="15.75" x14ac:dyDescent="0.2">
      <c r="A35" s="41" t="s">
        <v>29</v>
      </c>
      <c r="B35" s="42" t="s">
        <v>30</v>
      </c>
      <c r="C35" s="40">
        <f>[20]С1!F20</f>
        <v>21.588411179999994</v>
      </c>
    </row>
    <row r="36" spans="1:3" ht="15.75" x14ac:dyDescent="0.2">
      <c r="A36" s="41" t="s">
        <v>31</v>
      </c>
      <c r="B36" s="43" t="s">
        <v>32</v>
      </c>
      <c r="C36" s="40">
        <f>[20]С1!F21</f>
        <v>20.818139999999996</v>
      </c>
    </row>
    <row r="37" spans="1:3" ht="14.25" x14ac:dyDescent="0.2">
      <c r="A37" s="41" t="s">
        <v>33</v>
      </c>
      <c r="B37" s="44" t="s">
        <v>34</v>
      </c>
      <c r="C37" s="40">
        <f>[20]С1!F22</f>
        <v>1.0369999999999999</v>
      </c>
    </row>
    <row r="38" spans="1:3" ht="53.25" thickBot="1" x14ac:dyDescent="0.25">
      <c r="A38" s="27" t="s">
        <v>35</v>
      </c>
      <c r="B38" s="45" t="s">
        <v>36</v>
      </c>
      <c r="C38" s="46">
        <f>[20]С1!F23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[20]С2.1!E12</f>
        <v>V</v>
      </c>
    </row>
    <row r="42" spans="1:3" ht="25.5" x14ac:dyDescent="0.2">
      <c r="A42" s="22" t="s">
        <v>41</v>
      </c>
      <c r="B42" s="33" t="s">
        <v>42</v>
      </c>
      <c r="C42" s="51" t="str">
        <f>[20]С2.1!E13</f>
        <v>6 и менее баллов</v>
      </c>
    </row>
    <row r="43" spans="1:3" ht="25.5" x14ac:dyDescent="0.2">
      <c r="A43" s="22" t="s">
        <v>43</v>
      </c>
      <c r="B43" s="33" t="s">
        <v>44</v>
      </c>
      <c r="C43" s="51" t="str">
        <f>[20]С2.1!E14</f>
        <v>от 200 до 500</v>
      </c>
    </row>
    <row r="44" spans="1:3" ht="25.5" x14ac:dyDescent="0.2">
      <c r="A44" s="22" t="s">
        <v>45</v>
      </c>
      <c r="B44" s="33" t="s">
        <v>46</v>
      </c>
      <c r="C44" s="52" t="str">
        <f>[20]С2.1!E15</f>
        <v>нет</v>
      </c>
    </row>
    <row r="45" spans="1:3" ht="30" x14ac:dyDescent="0.2">
      <c r="A45" s="22" t="s">
        <v>47</v>
      </c>
      <c r="B45" s="33" t="s">
        <v>48</v>
      </c>
      <c r="C45" s="34">
        <f>[20]С2!F18</f>
        <v>35106.652004551666</v>
      </c>
    </row>
    <row r="46" spans="1:3" ht="30" x14ac:dyDescent="0.2">
      <c r="A46" s="22" t="s">
        <v>49</v>
      </c>
      <c r="B46" s="53" t="s">
        <v>50</v>
      </c>
      <c r="C46" s="34">
        <f>IF([20]С2!F19&gt;0,[20]С2!F19,[20]С2!F20)</f>
        <v>23441.524932855718</v>
      </c>
    </row>
    <row r="47" spans="1:3" ht="25.5" x14ac:dyDescent="0.2">
      <c r="A47" s="22" t="s">
        <v>51</v>
      </c>
      <c r="B47" s="54" t="s">
        <v>52</v>
      </c>
      <c r="C47" s="34">
        <f>[20]С2.1!E19</f>
        <v>-38</v>
      </c>
    </row>
    <row r="48" spans="1:3" ht="25.5" x14ac:dyDescent="0.2">
      <c r="A48" s="22" t="s">
        <v>53</v>
      </c>
      <c r="B48" s="54" t="s">
        <v>54</v>
      </c>
      <c r="C48" s="34" t="str">
        <f>[20]С2.1!E22</f>
        <v>нет</v>
      </c>
    </row>
    <row r="49" spans="1:3" ht="38.25" x14ac:dyDescent="0.2">
      <c r="A49" s="22" t="s">
        <v>55</v>
      </c>
      <c r="B49" s="55" t="s">
        <v>56</v>
      </c>
      <c r="C49" s="34">
        <f>[20]С2.2!E10</f>
        <v>1287</v>
      </c>
    </row>
    <row r="50" spans="1:3" ht="25.5" x14ac:dyDescent="0.2">
      <c r="A50" s="22" t="s">
        <v>57</v>
      </c>
      <c r="B50" s="56" t="s">
        <v>58</v>
      </c>
      <c r="C50" s="34">
        <f>[20]С2.2!E12</f>
        <v>5.97</v>
      </c>
    </row>
    <row r="51" spans="1:3" ht="52.5" x14ac:dyDescent="0.2">
      <c r="A51" s="22" t="s">
        <v>59</v>
      </c>
      <c r="B51" s="57" t="s">
        <v>60</v>
      </c>
      <c r="C51" s="34">
        <f>[20]С2.2!E13</f>
        <v>1</v>
      </c>
    </row>
    <row r="52" spans="1:3" ht="27.75" x14ac:dyDescent="0.2">
      <c r="A52" s="22" t="s">
        <v>61</v>
      </c>
      <c r="B52" s="56" t="s">
        <v>62</v>
      </c>
      <c r="C52" s="34">
        <f>[20]С2.2!E14</f>
        <v>12104</v>
      </c>
    </row>
    <row r="53" spans="1:3" ht="25.5" x14ac:dyDescent="0.2">
      <c r="A53" s="22" t="s">
        <v>63</v>
      </c>
      <c r="B53" s="57" t="s">
        <v>64</v>
      </c>
      <c r="C53" s="35">
        <f>[20]С2.2!E15</f>
        <v>4.8000000000000001E-2</v>
      </c>
    </row>
    <row r="54" spans="1:3" x14ac:dyDescent="0.2">
      <c r="A54" s="22" t="s">
        <v>65</v>
      </c>
      <c r="B54" s="57" t="s">
        <v>66</v>
      </c>
      <c r="C54" s="34">
        <f>[20]С2.2!E16</f>
        <v>1</v>
      </c>
    </row>
    <row r="55" spans="1:3" ht="15.75" x14ac:dyDescent="0.2">
      <c r="A55" s="22" t="s">
        <v>67</v>
      </c>
      <c r="B55" s="58" t="s">
        <v>68</v>
      </c>
      <c r="C55" s="34">
        <f>[20]С2!F21</f>
        <v>1</v>
      </c>
    </row>
    <row r="56" spans="1:3" ht="30" x14ac:dyDescent="0.2">
      <c r="A56" s="59" t="s">
        <v>69</v>
      </c>
      <c r="B56" s="33" t="s">
        <v>70</v>
      </c>
      <c r="C56" s="34">
        <f>[20]С2!F13</f>
        <v>183796.83936385796</v>
      </c>
    </row>
    <row r="57" spans="1:3" ht="30" x14ac:dyDescent="0.2">
      <c r="A57" s="59" t="s">
        <v>71</v>
      </c>
      <c r="B57" s="58" t="s">
        <v>72</v>
      </c>
      <c r="C57" s="34">
        <f>[20]С2!F14</f>
        <v>113455</v>
      </c>
    </row>
    <row r="58" spans="1:3" ht="15.75" x14ac:dyDescent="0.2">
      <c r="A58" s="59" t="s">
        <v>73</v>
      </c>
      <c r="B58" s="60" t="s">
        <v>74</v>
      </c>
      <c r="C58" s="40">
        <f>[20]С2!F15</f>
        <v>1.071</v>
      </c>
    </row>
    <row r="59" spans="1:3" ht="15.75" x14ac:dyDescent="0.2">
      <c r="A59" s="59" t="s">
        <v>75</v>
      </c>
      <c r="B59" s="60" t="s">
        <v>76</v>
      </c>
      <c r="C59" s="40">
        <f>[20]С2!F16</f>
        <v>1</v>
      </c>
    </row>
    <row r="60" spans="1:3" ht="17.25" x14ac:dyDescent="0.2">
      <c r="A60" s="59" t="s">
        <v>77</v>
      </c>
      <c r="B60" s="58" t="s">
        <v>78</v>
      </c>
      <c r="C60" s="34">
        <f>[20]С2!F17</f>
        <v>1.01</v>
      </c>
    </row>
    <row r="61" spans="1:3" s="63" customFormat="1" ht="14.25" x14ac:dyDescent="0.2">
      <c r="A61" s="59" t="s">
        <v>79</v>
      </c>
      <c r="B61" s="61" t="s">
        <v>80</v>
      </c>
      <c r="C61" s="62">
        <f>[20]С2!F33</f>
        <v>10</v>
      </c>
    </row>
    <row r="62" spans="1:3" ht="30" x14ac:dyDescent="0.2">
      <c r="A62" s="59" t="s">
        <v>81</v>
      </c>
      <c r="B62" s="64" t="s">
        <v>82</v>
      </c>
      <c r="C62" s="34">
        <f>[20]С2!F26</f>
        <v>2780.7867618428891</v>
      </c>
    </row>
    <row r="63" spans="1:3" ht="17.25" x14ac:dyDescent="0.2">
      <c r="A63" s="59" t="s">
        <v>83</v>
      </c>
      <c r="B63" s="53" t="s">
        <v>84</v>
      </c>
      <c r="C63" s="34">
        <f>[20]С2!F27</f>
        <v>0.44209422600000003</v>
      </c>
    </row>
    <row r="64" spans="1:3" ht="17.25" x14ac:dyDescent="0.2">
      <c r="A64" s="59" t="s">
        <v>85</v>
      </c>
      <c r="B64" s="58" t="s">
        <v>86</v>
      </c>
      <c r="C64" s="62">
        <f>[20]С2!F28</f>
        <v>4200</v>
      </c>
    </row>
    <row r="65" spans="1:3" ht="42.75" x14ac:dyDescent="0.2">
      <c r="A65" s="59" t="s">
        <v>87</v>
      </c>
      <c r="B65" s="33" t="s">
        <v>88</v>
      </c>
      <c r="C65" s="34">
        <f>[20]С2!F22</f>
        <v>38698.422798410109</v>
      </c>
    </row>
    <row r="66" spans="1:3" ht="30" x14ac:dyDescent="0.2">
      <c r="A66" s="59" t="s">
        <v>89</v>
      </c>
      <c r="B66" s="60" t="s">
        <v>90</v>
      </c>
      <c r="C66" s="34">
        <f>[20]С2!F23</f>
        <v>1990</v>
      </c>
    </row>
    <row r="67" spans="1:3" ht="30" x14ac:dyDescent="0.2">
      <c r="A67" s="59" t="s">
        <v>91</v>
      </c>
      <c r="B67" s="53" t="s">
        <v>92</v>
      </c>
      <c r="C67" s="34">
        <f>[20]С2.1!E27</f>
        <v>14307.876789999998</v>
      </c>
    </row>
    <row r="68" spans="1:3" ht="38.25" x14ac:dyDescent="0.2">
      <c r="A68" s="59" t="s">
        <v>93</v>
      </c>
      <c r="B68" s="65" t="s">
        <v>94</v>
      </c>
      <c r="C68" s="52">
        <f>[20]С2.3!E21</f>
        <v>0</v>
      </c>
    </row>
    <row r="69" spans="1:3" ht="25.5" x14ac:dyDescent="0.2">
      <c r="A69" s="59" t="s">
        <v>95</v>
      </c>
      <c r="B69" s="66" t="s">
        <v>96</v>
      </c>
      <c r="C69" s="67">
        <f>[20]С2.3!E11</f>
        <v>9.89</v>
      </c>
    </row>
    <row r="70" spans="1:3" ht="25.5" x14ac:dyDescent="0.2">
      <c r="A70" s="59" t="s">
        <v>97</v>
      </c>
      <c r="B70" s="66" t="s">
        <v>98</v>
      </c>
      <c r="C70" s="62">
        <f>[20]С2.3!E13</f>
        <v>300</v>
      </c>
    </row>
    <row r="71" spans="1:3" ht="25.5" x14ac:dyDescent="0.2">
      <c r="A71" s="59" t="s">
        <v>99</v>
      </c>
      <c r="B71" s="65" t="s">
        <v>100</v>
      </c>
      <c r="C71" s="68">
        <f>IF([20]С2.3!E22&gt;0,[20]С2.3!E22,[20]С2.3!E14)</f>
        <v>61211</v>
      </c>
    </row>
    <row r="72" spans="1:3" ht="38.25" x14ac:dyDescent="0.2">
      <c r="A72" s="59" t="s">
        <v>101</v>
      </c>
      <c r="B72" s="65" t="s">
        <v>102</v>
      </c>
      <c r="C72" s="68">
        <f>IF([20]С2.3!E23&gt;0,[20]С2.3!E23,[20]С2.3!E15)</f>
        <v>45675</v>
      </c>
    </row>
    <row r="73" spans="1:3" ht="30" x14ac:dyDescent="0.2">
      <c r="A73" s="59" t="s">
        <v>103</v>
      </c>
      <c r="B73" s="53" t="s">
        <v>104</v>
      </c>
      <c r="C73" s="34">
        <f>[20]С2.1!E28</f>
        <v>9541.9567200000001</v>
      </c>
    </row>
    <row r="74" spans="1:3" ht="38.25" x14ac:dyDescent="0.2">
      <c r="A74" s="59" t="s">
        <v>105</v>
      </c>
      <c r="B74" s="65" t="s">
        <v>106</v>
      </c>
      <c r="C74" s="52">
        <f>[20]С2.3!E25</f>
        <v>0</v>
      </c>
    </row>
    <row r="75" spans="1:3" ht="25.5" x14ac:dyDescent="0.2">
      <c r="A75" s="59" t="s">
        <v>107</v>
      </c>
      <c r="B75" s="66" t="s">
        <v>108</v>
      </c>
      <c r="C75" s="67">
        <f>[20]С2.3!E12</f>
        <v>0.56000000000000005</v>
      </c>
    </row>
    <row r="76" spans="1:3" ht="25.5" x14ac:dyDescent="0.2">
      <c r="A76" s="59" t="s">
        <v>109</v>
      </c>
      <c r="B76" s="66" t="s">
        <v>98</v>
      </c>
      <c r="C76" s="62">
        <f>[20]С2.3!E13</f>
        <v>300</v>
      </c>
    </row>
    <row r="77" spans="1:3" ht="25.5" x14ac:dyDescent="0.2">
      <c r="A77" s="59" t="s">
        <v>110</v>
      </c>
      <c r="B77" s="69" t="s">
        <v>111</v>
      </c>
      <c r="C77" s="68">
        <f>IF([20]С2.3!E26&gt;0,[20]С2.3!E26,[20]С2.3!E16)</f>
        <v>65637</v>
      </c>
    </row>
    <row r="78" spans="1:3" ht="38.25" x14ac:dyDescent="0.2">
      <c r="A78" s="59" t="s">
        <v>112</v>
      </c>
      <c r="B78" s="69" t="s">
        <v>113</v>
      </c>
      <c r="C78" s="68">
        <f>IF([20]С2.3!E27&gt;0,[20]С2.3!E27,[20]С2.3!E17)</f>
        <v>31684</v>
      </c>
    </row>
    <row r="79" spans="1:3" ht="17.25" x14ac:dyDescent="0.2">
      <c r="A79" s="59" t="s">
        <v>114</v>
      </c>
      <c r="B79" s="33" t="s">
        <v>115</v>
      </c>
      <c r="C79" s="35">
        <f>[20]С2!F29</f>
        <v>9.5962865259740182E-2</v>
      </c>
    </row>
    <row r="80" spans="1:3" ht="30" x14ac:dyDescent="0.2">
      <c r="A80" s="59" t="s">
        <v>116</v>
      </c>
      <c r="B80" s="53" t="s">
        <v>117</v>
      </c>
      <c r="C80" s="70">
        <f>[20]С2!F30</f>
        <v>8.4029304029304031E-2</v>
      </c>
    </row>
    <row r="81" spans="1:3" ht="17.25" x14ac:dyDescent="0.2">
      <c r="A81" s="59" t="s">
        <v>118</v>
      </c>
      <c r="B81" s="71" t="s">
        <v>119</v>
      </c>
      <c r="C81" s="35">
        <f>[20]С2!F31</f>
        <v>0.13880000000000001</v>
      </c>
    </row>
    <row r="82" spans="1:3" s="63" customFormat="1" ht="18" thickBot="1" x14ac:dyDescent="0.25">
      <c r="A82" s="72" t="s">
        <v>120</v>
      </c>
      <c r="B82" s="73" t="s">
        <v>121</v>
      </c>
      <c r="C82" s="74">
        <f>[20]С2!F32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[20]С3!F14</f>
        <v>6117.6201782637581</v>
      </c>
    </row>
    <row r="86" spans="1:3" s="63" customFormat="1" ht="42.75" x14ac:dyDescent="0.2">
      <c r="A86" s="77" t="s">
        <v>126</v>
      </c>
      <c r="B86" s="53" t="s">
        <v>127</v>
      </c>
      <c r="C86" s="78">
        <f>[20]С3!F15</f>
        <v>0.2</v>
      </c>
    </row>
    <row r="87" spans="1:3" s="63" customFormat="1" ht="14.25" x14ac:dyDescent="0.2">
      <c r="A87" s="77" t="s">
        <v>128</v>
      </c>
      <c r="B87" s="79" t="s">
        <v>129</v>
      </c>
      <c r="C87" s="62">
        <f>[20]С3!F18</f>
        <v>15</v>
      </c>
    </row>
    <row r="88" spans="1:3" s="63" customFormat="1" ht="17.25" x14ac:dyDescent="0.2">
      <c r="A88" s="77" t="s">
        <v>130</v>
      </c>
      <c r="B88" s="33" t="s">
        <v>131</v>
      </c>
      <c r="C88" s="34">
        <f>[20]С3!F19</f>
        <v>3778.1614077800232</v>
      </c>
    </row>
    <row r="89" spans="1:3" s="63" customFormat="1" ht="55.5" x14ac:dyDescent="0.2">
      <c r="A89" s="77" t="s">
        <v>132</v>
      </c>
      <c r="B89" s="53" t="s">
        <v>133</v>
      </c>
      <c r="C89" s="80">
        <f>[20]С3!F20</f>
        <v>2.1999999999999999E-2</v>
      </c>
    </row>
    <row r="90" spans="1:3" s="63" customFormat="1" ht="14.25" x14ac:dyDescent="0.2">
      <c r="A90" s="77" t="s">
        <v>134</v>
      </c>
      <c r="B90" s="58" t="s">
        <v>80</v>
      </c>
      <c r="C90" s="62">
        <f>[20]С3!F21</f>
        <v>10</v>
      </c>
    </row>
    <row r="91" spans="1:3" s="63" customFormat="1" ht="17.25" x14ac:dyDescent="0.2">
      <c r="A91" s="77" t="s">
        <v>135</v>
      </c>
      <c r="B91" s="33" t="s">
        <v>136</v>
      </c>
      <c r="C91" s="34">
        <f>[20]С3!F22</f>
        <v>8.3423602855286667</v>
      </c>
    </row>
    <row r="92" spans="1:3" s="63" customFormat="1" ht="55.5" x14ac:dyDescent="0.2">
      <c r="A92" s="77" t="s">
        <v>137</v>
      </c>
      <c r="B92" s="53" t="s">
        <v>138</v>
      </c>
      <c r="C92" s="80">
        <f>[20]С3!F23</f>
        <v>3.0000000000000001E-3</v>
      </c>
    </row>
    <row r="93" spans="1:3" s="63" customFormat="1" ht="27.75" thickBot="1" x14ac:dyDescent="0.25">
      <c r="A93" s="81" t="s">
        <v>139</v>
      </c>
      <c r="B93" s="82" t="s">
        <v>140</v>
      </c>
      <c r="C93" s="83">
        <f>[20]С3!F24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[20]С4!F16</f>
        <v>1652.5</v>
      </c>
    </row>
    <row r="97" spans="1:3" ht="30" x14ac:dyDescent="0.2">
      <c r="A97" s="59" t="s">
        <v>145</v>
      </c>
      <c r="B97" s="58" t="s">
        <v>146</v>
      </c>
      <c r="C97" s="34">
        <f>[20]С4!F17</f>
        <v>73547</v>
      </c>
    </row>
    <row r="98" spans="1:3" ht="17.25" x14ac:dyDescent="0.2">
      <c r="A98" s="59" t="s">
        <v>147</v>
      </c>
      <c r="B98" s="58" t="s">
        <v>148</v>
      </c>
      <c r="C98" s="40">
        <f>[20]С4!F18</f>
        <v>0.02</v>
      </c>
    </row>
    <row r="99" spans="1:3" ht="30" x14ac:dyDescent="0.2">
      <c r="A99" s="59" t="s">
        <v>149</v>
      </c>
      <c r="B99" s="58" t="s">
        <v>150</v>
      </c>
      <c r="C99" s="34">
        <f>[20]С4!F19</f>
        <v>12104</v>
      </c>
    </row>
    <row r="100" spans="1:3" ht="31.5" x14ac:dyDescent="0.2">
      <c r="A100" s="59" t="s">
        <v>151</v>
      </c>
      <c r="B100" s="58" t="s">
        <v>152</v>
      </c>
      <c r="C100" s="40">
        <f>[20]С4!F20</f>
        <v>1.4999999999999999E-2</v>
      </c>
    </row>
    <row r="101" spans="1:3" ht="30" x14ac:dyDescent="0.2">
      <c r="A101" s="59" t="s">
        <v>153</v>
      </c>
      <c r="B101" s="33" t="s">
        <v>154</v>
      </c>
      <c r="C101" s="34">
        <f>[20]С4!F21</f>
        <v>1933.1949342509995</v>
      </c>
    </row>
    <row r="102" spans="1:3" ht="24" customHeight="1" x14ac:dyDescent="0.2">
      <c r="A102" s="59" t="s">
        <v>155</v>
      </c>
      <c r="B102" s="53" t="s">
        <v>156</v>
      </c>
      <c r="C102" s="85">
        <f>IF([20]С4.2!F8="да",[20]С4.2!D21,[20]С4.2!D15)</f>
        <v>0</v>
      </c>
    </row>
    <row r="103" spans="1:3" ht="68.25" x14ac:dyDescent="0.2">
      <c r="A103" s="59" t="s">
        <v>157</v>
      </c>
      <c r="B103" s="53" t="s">
        <v>158</v>
      </c>
      <c r="C103" s="34">
        <f>[20]С4!F22</f>
        <v>3.6112641666666665</v>
      </c>
    </row>
    <row r="104" spans="1:3" ht="30" x14ac:dyDescent="0.2">
      <c r="A104" s="59" t="s">
        <v>159</v>
      </c>
      <c r="B104" s="58" t="s">
        <v>160</v>
      </c>
      <c r="C104" s="34">
        <f>[20]С4!F23</f>
        <v>180</v>
      </c>
    </row>
    <row r="105" spans="1:3" ht="14.25" x14ac:dyDescent="0.2">
      <c r="A105" s="59" t="s">
        <v>161</v>
      </c>
      <c r="B105" s="53" t="s">
        <v>162</v>
      </c>
      <c r="C105" s="34">
        <f>[20]С4!F24</f>
        <v>8497.1999999999989</v>
      </c>
    </row>
    <row r="106" spans="1:3" ht="14.25" x14ac:dyDescent="0.2">
      <c r="A106" s="59" t="s">
        <v>163</v>
      </c>
      <c r="B106" s="58" t="s">
        <v>164</v>
      </c>
      <c r="C106" s="40">
        <f>[20]С4!F25</f>
        <v>0.35</v>
      </c>
    </row>
    <row r="107" spans="1:3" ht="17.25" x14ac:dyDescent="0.2">
      <c r="A107" s="59" t="s">
        <v>165</v>
      </c>
      <c r="B107" s="33" t="s">
        <v>166</v>
      </c>
      <c r="C107" s="34">
        <f>[20]С4!F26</f>
        <v>85.988129999999998</v>
      </c>
    </row>
    <row r="108" spans="1:3" ht="25.5" x14ac:dyDescent="0.2">
      <c r="A108" s="59" t="s">
        <v>167</v>
      </c>
      <c r="B108" s="53" t="s">
        <v>94</v>
      </c>
      <c r="C108" s="85">
        <f>[20]С4.3!E16</f>
        <v>0</v>
      </c>
    </row>
    <row r="109" spans="1:3" ht="25.5" x14ac:dyDescent="0.2">
      <c r="A109" s="59" t="s">
        <v>168</v>
      </c>
      <c r="B109" s="53" t="s">
        <v>169</v>
      </c>
      <c r="C109" s="34">
        <f>[20]С4.3!E17</f>
        <v>20.350000000000001</v>
      </c>
    </row>
    <row r="110" spans="1:3" ht="38.25" x14ac:dyDescent="0.2">
      <c r="A110" s="59" t="s">
        <v>170</v>
      </c>
      <c r="B110" s="53" t="s">
        <v>106</v>
      </c>
      <c r="C110" s="85">
        <f>[20]С4.3!E18</f>
        <v>0</v>
      </c>
    </row>
    <row r="111" spans="1:3" x14ac:dyDescent="0.2">
      <c r="A111" s="59" t="s">
        <v>171</v>
      </c>
      <c r="B111" s="53" t="s">
        <v>172</v>
      </c>
      <c r="C111" s="34">
        <f>[20]С4.3!E19</f>
        <v>71.67</v>
      </c>
    </row>
    <row r="112" spans="1:3" x14ac:dyDescent="0.2">
      <c r="A112" s="59" t="s">
        <v>173</v>
      </c>
      <c r="B112" s="58" t="s">
        <v>174</v>
      </c>
      <c r="C112" s="34">
        <f>[20]С4.3!E11</f>
        <v>1871</v>
      </c>
    </row>
    <row r="113" spans="1:3" x14ac:dyDescent="0.2">
      <c r="A113" s="59" t="s">
        <v>175</v>
      </c>
      <c r="B113" s="58" t="s">
        <v>176</v>
      </c>
      <c r="C113" s="52">
        <f>[20]С4.3!E12</f>
        <v>1636</v>
      </c>
    </row>
    <row r="114" spans="1:3" x14ac:dyDescent="0.2">
      <c r="A114" s="59" t="s">
        <v>177</v>
      </c>
      <c r="B114" s="58" t="s">
        <v>178</v>
      </c>
      <c r="C114" s="52">
        <f>[20]С4.3!E13</f>
        <v>204</v>
      </c>
    </row>
    <row r="115" spans="1:3" ht="30" x14ac:dyDescent="0.2">
      <c r="A115" s="59" t="s">
        <v>179</v>
      </c>
      <c r="B115" s="33" t="s">
        <v>180</v>
      </c>
      <c r="C115" s="34">
        <f>[20]С4!F27</f>
        <v>1291.2863994686898</v>
      </c>
    </row>
    <row r="116" spans="1:3" ht="25.5" x14ac:dyDescent="0.2">
      <c r="A116" s="59" t="s">
        <v>181</v>
      </c>
      <c r="B116" s="53" t="s">
        <v>182</v>
      </c>
      <c r="C116" s="34">
        <f>[20]С4!F28</f>
        <v>991.77142816335618</v>
      </c>
    </row>
    <row r="117" spans="1:3" ht="42.75" x14ac:dyDescent="0.2">
      <c r="A117" s="59" t="s">
        <v>183</v>
      </c>
      <c r="B117" s="53" t="s">
        <v>184</v>
      </c>
      <c r="C117" s="34">
        <f>[20]С4!F29</f>
        <v>299.51497130533357</v>
      </c>
    </row>
    <row r="118" spans="1:3" ht="30" x14ac:dyDescent="0.2">
      <c r="A118" s="59" t="s">
        <v>185</v>
      </c>
      <c r="B118" s="39" t="s">
        <v>186</v>
      </c>
      <c r="C118" s="34">
        <f>[20]С4!F30</f>
        <v>1708.5430685767656</v>
      </c>
    </row>
    <row r="119" spans="1:3" ht="42.75" x14ac:dyDescent="0.2">
      <c r="A119" s="59" t="s">
        <v>187</v>
      </c>
      <c r="B119" s="86" t="s">
        <v>188</v>
      </c>
      <c r="C119" s="34">
        <f>[20]С4!F33</f>
        <v>986.46332023711193</v>
      </c>
    </row>
    <row r="120" spans="1:3" ht="30" x14ac:dyDescent="0.2">
      <c r="A120" s="59" t="s">
        <v>189</v>
      </c>
      <c r="B120" s="87" t="s">
        <v>190</v>
      </c>
      <c r="C120" s="34">
        <f>[20]С4!F35</f>
        <v>17.040680999999999</v>
      </c>
    </row>
    <row r="121" spans="1:3" ht="14.25" x14ac:dyDescent="0.2">
      <c r="A121" s="59" t="s">
        <v>191</v>
      </c>
      <c r="B121" s="56" t="s">
        <v>192</v>
      </c>
      <c r="C121" s="34">
        <f>[20]С4!F36</f>
        <v>14319.9</v>
      </c>
    </row>
    <row r="122" spans="1:3" ht="28.5" thickBot="1" x14ac:dyDescent="0.25">
      <c r="A122" s="72" t="s">
        <v>193</v>
      </c>
      <c r="B122" s="88" t="s">
        <v>194</v>
      </c>
      <c r="C122" s="83">
        <f>[20]С4!F37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[20]С5!F17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[20]С2!F37</f>
        <v>20.818139999999996</v>
      </c>
    </row>
    <row r="136" spans="1:4" ht="14.25" x14ac:dyDescent="0.2">
      <c r="A136" s="59" t="s">
        <v>216</v>
      </c>
      <c r="B136" s="101" t="s">
        <v>217</v>
      </c>
      <c r="C136" s="34">
        <f>[20]С2!F38</f>
        <v>7</v>
      </c>
    </row>
    <row r="137" spans="1:4" ht="17.25" x14ac:dyDescent="0.2">
      <c r="A137" s="59" t="s">
        <v>218</v>
      </c>
      <c r="B137" s="101" t="s">
        <v>219</v>
      </c>
      <c r="C137" s="34">
        <f>[20]С2!F40</f>
        <v>0.97</v>
      </c>
    </row>
    <row r="138" spans="1:4" ht="15" thickBot="1" x14ac:dyDescent="0.25">
      <c r="A138" s="72" t="s">
        <v>220</v>
      </c>
      <c r="B138" s="102" t="s">
        <v>221</v>
      </c>
      <c r="C138" s="46">
        <f>[20]С2!F42</f>
        <v>0.35</v>
      </c>
    </row>
    <row r="139" spans="1:4" s="89" customFormat="1" ht="13.5" thickBot="1" x14ac:dyDescent="0.25">
      <c r="A139" s="47"/>
      <c r="B139" s="75"/>
      <c r="C139" s="15"/>
    </row>
    <row r="140" spans="1:4" ht="30" x14ac:dyDescent="0.2">
      <c r="A140" s="84" t="s">
        <v>222</v>
      </c>
      <c r="B140" s="103" t="s">
        <v>223</v>
      </c>
      <c r="C140" s="104">
        <f>[20]С2!F35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[20]С2.5!$E$11</f>
        <v>-2.9000000000000026E-2</v>
      </c>
      <c r="D143" s="89"/>
    </row>
    <row r="144" spans="1:4" x14ac:dyDescent="0.2">
      <c r="A144" s="105"/>
      <c r="B144" s="110">
        <f>B143+1</f>
        <v>2021</v>
      </c>
      <c r="C144" s="111">
        <f>[20]С2.5!$F$11</f>
        <v>0.245</v>
      </c>
      <c r="D144" s="89"/>
    </row>
    <row r="145" spans="1:4" x14ac:dyDescent="0.2">
      <c r="A145" s="105"/>
      <c r="B145" s="110">
        <f t="shared" ref="B145:B208" si="0">B144+1</f>
        <v>2022</v>
      </c>
      <c r="C145" s="111">
        <f>[20]С2.5!$G$11</f>
        <v>0.114</v>
      </c>
      <c r="D145" s="89"/>
    </row>
    <row r="146" spans="1:4" ht="13.5" thickBot="1" x14ac:dyDescent="0.25">
      <c r="A146" s="105"/>
      <c r="B146" s="112">
        <f t="shared" si="0"/>
        <v>2023</v>
      </c>
      <c r="C146" s="113">
        <f>[20]С2.5!$H$11</f>
        <v>2.4E-2</v>
      </c>
      <c r="D146" s="89"/>
    </row>
    <row r="147" spans="1:4" x14ac:dyDescent="0.2">
      <c r="A147" s="105"/>
      <c r="B147" s="114">
        <f t="shared" si="0"/>
        <v>2024</v>
      </c>
      <c r="C147" s="115">
        <f>[20]С2.5!$I$11</f>
        <v>8.5999999999999993E-2</v>
      </c>
      <c r="D147" s="89"/>
    </row>
    <row r="148" spans="1:4" hidden="1" x14ac:dyDescent="0.2">
      <c r="A148" s="105"/>
      <c r="B148" s="110">
        <f t="shared" si="0"/>
        <v>2025</v>
      </c>
      <c r="C148" s="111">
        <f>[20]С2.5!$J$11</f>
        <v>0.21215960863291</v>
      </c>
      <c r="D148" s="89"/>
    </row>
    <row r="149" spans="1:4" hidden="1" x14ac:dyDescent="0.2">
      <c r="A149" s="105"/>
      <c r="B149" s="110">
        <f t="shared" si="0"/>
        <v>2026</v>
      </c>
      <c r="C149" s="111">
        <f>[20]С2.5!$K$11</f>
        <v>3.5813361771260002E-2</v>
      </c>
      <c r="D149" s="89"/>
    </row>
    <row r="150" spans="1:4" hidden="1" x14ac:dyDescent="0.2">
      <c r="A150" s="105"/>
      <c r="B150" s="110">
        <f t="shared" si="0"/>
        <v>2027</v>
      </c>
      <c r="C150" s="111">
        <f>[20]С2.5!$L$11</f>
        <v>3.2682303599220003E-2</v>
      </c>
      <c r="D150" s="89"/>
    </row>
    <row r="151" spans="1:4" hidden="1" x14ac:dyDescent="0.2">
      <c r="A151" s="105"/>
      <c r="B151" s="110">
        <f t="shared" si="0"/>
        <v>2028</v>
      </c>
      <c r="C151" s="111">
        <f>[20]С2.5!$M$11</f>
        <v>0</v>
      </c>
      <c r="D151" s="89"/>
    </row>
    <row r="152" spans="1:4" hidden="1" x14ac:dyDescent="0.2">
      <c r="A152" s="105"/>
      <c r="B152" s="110">
        <f t="shared" si="0"/>
        <v>2029</v>
      </c>
      <c r="C152" s="111">
        <f>[20]С2.5!$N$11</f>
        <v>0</v>
      </c>
      <c r="D152" s="89"/>
    </row>
    <row r="153" spans="1:4" hidden="1" x14ac:dyDescent="0.2">
      <c r="A153" s="105"/>
      <c r="B153" s="110">
        <f t="shared" si="0"/>
        <v>2030</v>
      </c>
      <c r="C153" s="111">
        <f>[20]С2.5!$O$11</f>
        <v>0</v>
      </c>
      <c r="D153" s="89"/>
    </row>
    <row r="154" spans="1:4" hidden="1" x14ac:dyDescent="0.2">
      <c r="A154" s="105"/>
      <c r="B154" s="110">
        <f t="shared" si="0"/>
        <v>2031</v>
      </c>
      <c r="C154" s="111">
        <f>[20]С2.5!$P$11</f>
        <v>0</v>
      </c>
      <c r="D154" s="89"/>
    </row>
    <row r="155" spans="1:4" hidden="1" x14ac:dyDescent="0.2">
      <c r="A155" s="89"/>
      <c r="B155" s="110">
        <f t="shared" si="0"/>
        <v>2032</v>
      </c>
      <c r="C155" s="111">
        <f>[20]С2.5!$Q$11</f>
        <v>0</v>
      </c>
      <c r="D155" s="89"/>
    </row>
    <row r="156" spans="1:4" hidden="1" x14ac:dyDescent="0.2">
      <c r="A156" s="89"/>
      <c r="B156" s="110">
        <f t="shared" si="0"/>
        <v>2033</v>
      </c>
      <c r="C156" s="111">
        <f>[20]С2.5!$R$11</f>
        <v>0</v>
      </c>
      <c r="D156" s="89"/>
    </row>
    <row r="157" spans="1:4" hidden="1" x14ac:dyDescent="0.2">
      <c r="B157" s="110">
        <f t="shared" si="0"/>
        <v>2034</v>
      </c>
      <c r="C157" s="111">
        <f>[20]С2.5!$S$11</f>
        <v>0</v>
      </c>
    </row>
    <row r="158" spans="1:4" hidden="1" x14ac:dyDescent="0.2">
      <c r="B158" s="110">
        <f t="shared" si="0"/>
        <v>2035</v>
      </c>
      <c r="C158" s="111">
        <f>[20]С2.5!$T$11</f>
        <v>0</v>
      </c>
    </row>
    <row r="159" spans="1:4" hidden="1" x14ac:dyDescent="0.2">
      <c r="B159" s="110">
        <f t="shared" si="0"/>
        <v>2036</v>
      </c>
      <c r="C159" s="111">
        <f>[20]С2.5!$U$11</f>
        <v>0</v>
      </c>
    </row>
    <row r="160" spans="1:4" hidden="1" x14ac:dyDescent="0.2">
      <c r="B160" s="110">
        <f t="shared" si="0"/>
        <v>2037</v>
      </c>
      <c r="C160" s="111">
        <f>[20]С2.5!$V$11</f>
        <v>0</v>
      </c>
    </row>
    <row r="161" spans="2:3" hidden="1" x14ac:dyDescent="0.2">
      <c r="B161" s="110">
        <f t="shared" si="0"/>
        <v>2038</v>
      </c>
      <c r="C161" s="111">
        <f>[20]С2.5!$W$11</f>
        <v>0</v>
      </c>
    </row>
    <row r="162" spans="2:3" hidden="1" x14ac:dyDescent="0.2">
      <c r="B162" s="110">
        <f t="shared" si="0"/>
        <v>2039</v>
      </c>
      <c r="C162" s="111">
        <f>[20]С2.5!$X$11</f>
        <v>0</v>
      </c>
    </row>
    <row r="163" spans="2:3" hidden="1" x14ac:dyDescent="0.2">
      <c r="B163" s="110">
        <f t="shared" si="0"/>
        <v>2040</v>
      </c>
      <c r="C163" s="111">
        <f>[20]С2.5!$Y$11</f>
        <v>0</v>
      </c>
    </row>
    <row r="164" spans="2:3" hidden="1" x14ac:dyDescent="0.2">
      <c r="B164" s="110">
        <f t="shared" si="0"/>
        <v>2041</v>
      </c>
      <c r="C164" s="111">
        <f>[20]С2.5!$Z$11</f>
        <v>0</v>
      </c>
    </row>
    <row r="165" spans="2:3" hidden="1" x14ac:dyDescent="0.2">
      <c r="B165" s="110">
        <f t="shared" si="0"/>
        <v>2042</v>
      </c>
      <c r="C165" s="111">
        <f>[20]С2.5!$AA$11</f>
        <v>0</v>
      </c>
    </row>
    <row r="166" spans="2:3" hidden="1" x14ac:dyDescent="0.2">
      <c r="B166" s="110">
        <f t="shared" si="0"/>
        <v>2043</v>
      </c>
      <c r="C166" s="111">
        <f>[20]С2.5!$AB$11</f>
        <v>0</v>
      </c>
    </row>
    <row r="167" spans="2:3" hidden="1" x14ac:dyDescent="0.2">
      <c r="B167" s="110">
        <f t="shared" si="0"/>
        <v>2044</v>
      </c>
      <c r="C167" s="111">
        <f>[20]С2.5!$AC$11</f>
        <v>0</v>
      </c>
    </row>
    <row r="168" spans="2:3" hidden="1" x14ac:dyDescent="0.2">
      <c r="B168" s="110">
        <f t="shared" si="0"/>
        <v>2045</v>
      </c>
      <c r="C168" s="111">
        <f>[20]С2.5!$AD$11</f>
        <v>0</v>
      </c>
    </row>
    <row r="169" spans="2:3" hidden="1" x14ac:dyDescent="0.2">
      <c r="B169" s="110">
        <f t="shared" si="0"/>
        <v>2046</v>
      </c>
      <c r="C169" s="111">
        <f>[20]С2.5!$AE$11</f>
        <v>0</v>
      </c>
    </row>
    <row r="170" spans="2:3" hidden="1" x14ac:dyDescent="0.2">
      <c r="B170" s="110">
        <f t="shared" si="0"/>
        <v>2047</v>
      </c>
      <c r="C170" s="111">
        <f>[20]С2.5!$AF$11</f>
        <v>0</v>
      </c>
    </row>
    <row r="171" spans="2:3" hidden="1" x14ac:dyDescent="0.2">
      <c r="B171" s="110">
        <f t="shared" si="0"/>
        <v>2048</v>
      </c>
      <c r="C171" s="111">
        <f>[20]С2.5!$AG$11</f>
        <v>0</v>
      </c>
    </row>
    <row r="172" spans="2:3" hidden="1" x14ac:dyDescent="0.2">
      <c r="B172" s="110">
        <f t="shared" si="0"/>
        <v>2049</v>
      </c>
      <c r="C172" s="111">
        <f>[20]С2.5!$AH$11</f>
        <v>0</v>
      </c>
    </row>
    <row r="173" spans="2:3" hidden="1" x14ac:dyDescent="0.2">
      <c r="B173" s="110">
        <f t="shared" si="0"/>
        <v>2050</v>
      </c>
      <c r="C173" s="111">
        <f>[20]С2.5!$AI$11</f>
        <v>0</v>
      </c>
    </row>
    <row r="174" spans="2:3" hidden="1" x14ac:dyDescent="0.2">
      <c r="B174" s="110">
        <f t="shared" si="0"/>
        <v>2051</v>
      </c>
      <c r="C174" s="111">
        <f>[20]С2.5!$AJ$11</f>
        <v>0</v>
      </c>
    </row>
    <row r="175" spans="2:3" hidden="1" x14ac:dyDescent="0.2">
      <c r="B175" s="110">
        <f t="shared" si="0"/>
        <v>2052</v>
      </c>
      <c r="C175" s="111">
        <f>[20]С2.5!$AK$11</f>
        <v>0</v>
      </c>
    </row>
    <row r="176" spans="2:3" hidden="1" x14ac:dyDescent="0.2">
      <c r="B176" s="110">
        <f t="shared" si="0"/>
        <v>2053</v>
      </c>
      <c r="C176" s="111">
        <f>[20]С2.5!$AL$11</f>
        <v>0</v>
      </c>
    </row>
    <row r="177" spans="2:3" hidden="1" x14ac:dyDescent="0.2">
      <c r="B177" s="110">
        <f t="shared" si="0"/>
        <v>2054</v>
      </c>
      <c r="C177" s="111">
        <f>[20]С2.5!$AM$11</f>
        <v>0</v>
      </c>
    </row>
    <row r="178" spans="2:3" hidden="1" x14ac:dyDescent="0.2">
      <c r="B178" s="110">
        <f t="shared" si="0"/>
        <v>2055</v>
      </c>
      <c r="C178" s="111">
        <f>[20]С2.5!$AN$11</f>
        <v>0</v>
      </c>
    </row>
    <row r="179" spans="2:3" hidden="1" x14ac:dyDescent="0.2">
      <c r="B179" s="110">
        <f t="shared" si="0"/>
        <v>2056</v>
      </c>
      <c r="C179" s="111">
        <f>[20]С2.5!$AO$11</f>
        <v>0</v>
      </c>
    </row>
    <row r="180" spans="2:3" hidden="1" x14ac:dyDescent="0.2">
      <c r="B180" s="110">
        <f t="shared" si="0"/>
        <v>2057</v>
      </c>
      <c r="C180" s="111">
        <f>[20]С2.5!$AP$11</f>
        <v>0</v>
      </c>
    </row>
    <row r="181" spans="2:3" hidden="1" x14ac:dyDescent="0.2">
      <c r="B181" s="110">
        <f t="shared" si="0"/>
        <v>2058</v>
      </c>
      <c r="C181" s="111">
        <f>[20]С2.5!$AQ$11</f>
        <v>0</v>
      </c>
    </row>
    <row r="182" spans="2:3" hidden="1" x14ac:dyDescent="0.2">
      <c r="B182" s="110">
        <f t="shared" si="0"/>
        <v>2059</v>
      </c>
      <c r="C182" s="111">
        <f>[20]С2.5!$AR$11</f>
        <v>0</v>
      </c>
    </row>
    <row r="183" spans="2:3" hidden="1" x14ac:dyDescent="0.2">
      <c r="B183" s="110">
        <f t="shared" si="0"/>
        <v>2060</v>
      </c>
      <c r="C183" s="111">
        <f>[20]С2.5!$AS$11</f>
        <v>0</v>
      </c>
    </row>
    <row r="184" spans="2:3" hidden="1" x14ac:dyDescent="0.2">
      <c r="B184" s="110">
        <f t="shared" si="0"/>
        <v>2061</v>
      </c>
      <c r="C184" s="111">
        <f>[20]С2.5!$AT$11</f>
        <v>0</v>
      </c>
    </row>
    <row r="185" spans="2:3" hidden="1" x14ac:dyDescent="0.2">
      <c r="B185" s="110">
        <f t="shared" si="0"/>
        <v>2062</v>
      </c>
      <c r="C185" s="111">
        <f>[20]С2.5!$AU$11</f>
        <v>0</v>
      </c>
    </row>
    <row r="186" spans="2:3" hidden="1" x14ac:dyDescent="0.2">
      <c r="B186" s="110">
        <f t="shared" si="0"/>
        <v>2063</v>
      </c>
      <c r="C186" s="111">
        <f>[20]С2.5!$AV$11</f>
        <v>0</v>
      </c>
    </row>
    <row r="187" spans="2:3" hidden="1" x14ac:dyDescent="0.2">
      <c r="B187" s="110">
        <f t="shared" si="0"/>
        <v>2064</v>
      </c>
      <c r="C187" s="111">
        <f>[20]С2.5!$AW$11</f>
        <v>0</v>
      </c>
    </row>
    <row r="188" spans="2:3" hidden="1" x14ac:dyDescent="0.2">
      <c r="B188" s="110">
        <f t="shared" si="0"/>
        <v>2065</v>
      </c>
      <c r="C188" s="111">
        <f>[20]С2.5!$AX$11</f>
        <v>0</v>
      </c>
    </row>
    <row r="189" spans="2:3" hidden="1" x14ac:dyDescent="0.2">
      <c r="B189" s="110">
        <f t="shared" si="0"/>
        <v>2066</v>
      </c>
      <c r="C189" s="111">
        <f>[20]С2.5!$AY$11</f>
        <v>0</v>
      </c>
    </row>
    <row r="190" spans="2:3" hidden="1" x14ac:dyDescent="0.2">
      <c r="B190" s="110">
        <f t="shared" si="0"/>
        <v>2067</v>
      </c>
      <c r="C190" s="111">
        <f>[20]С2.5!$AZ$11</f>
        <v>0</v>
      </c>
    </row>
    <row r="191" spans="2:3" hidden="1" x14ac:dyDescent="0.2">
      <c r="B191" s="110">
        <f t="shared" si="0"/>
        <v>2068</v>
      </c>
      <c r="C191" s="111">
        <f>[20]С2.5!$BA$11</f>
        <v>0</v>
      </c>
    </row>
    <row r="192" spans="2:3" hidden="1" x14ac:dyDescent="0.2">
      <c r="B192" s="110">
        <f t="shared" si="0"/>
        <v>2069</v>
      </c>
      <c r="C192" s="111">
        <f>[20]С2.5!$BB$11</f>
        <v>0</v>
      </c>
    </row>
    <row r="193" spans="2:3" hidden="1" x14ac:dyDescent="0.2">
      <c r="B193" s="110">
        <f t="shared" si="0"/>
        <v>2070</v>
      </c>
      <c r="C193" s="111">
        <f>[20]С2.5!$BC$11</f>
        <v>0</v>
      </c>
    </row>
    <row r="194" spans="2:3" hidden="1" x14ac:dyDescent="0.2">
      <c r="B194" s="110">
        <f t="shared" si="0"/>
        <v>2071</v>
      </c>
      <c r="C194" s="111">
        <f>[20]С2.5!$BD$11</f>
        <v>0</v>
      </c>
    </row>
    <row r="195" spans="2:3" hidden="1" x14ac:dyDescent="0.2">
      <c r="B195" s="110">
        <f t="shared" si="0"/>
        <v>2072</v>
      </c>
      <c r="C195" s="111">
        <f>[20]С2.5!$BE$11</f>
        <v>0</v>
      </c>
    </row>
    <row r="196" spans="2:3" hidden="1" x14ac:dyDescent="0.2">
      <c r="B196" s="110">
        <f t="shared" si="0"/>
        <v>2073</v>
      </c>
      <c r="C196" s="111">
        <f>[20]С2.5!$BF$11</f>
        <v>0</v>
      </c>
    </row>
    <row r="197" spans="2:3" hidden="1" x14ac:dyDescent="0.2">
      <c r="B197" s="110">
        <f t="shared" si="0"/>
        <v>2074</v>
      </c>
      <c r="C197" s="111">
        <f>[20]С2.5!$BG$11</f>
        <v>0</v>
      </c>
    </row>
    <row r="198" spans="2:3" hidden="1" x14ac:dyDescent="0.2">
      <c r="B198" s="110">
        <f t="shared" si="0"/>
        <v>2075</v>
      </c>
      <c r="C198" s="111">
        <f>[20]С2.5!$BH$11</f>
        <v>0</v>
      </c>
    </row>
    <row r="199" spans="2:3" hidden="1" x14ac:dyDescent="0.2">
      <c r="B199" s="110">
        <f t="shared" si="0"/>
        <v>2076</v>
      </c>
      <c r="C199" s="111">
        <f>[20]С2.5!$BI$11</f>
        <v>0</v>
      </c>
    </row>
    <row r="200" spans="2:3" hidden="1" x14ac:dyDescent="0.2">
      <c r="B200" s="110">
        <f t="shared" si="0"/>
        <v>2077</v>
      </c>
      <c r="C200" s="111">
        <f>[20]С2.5!$BJ$11</f>
        <v>0</v>
      </c>
    </row>
    <row r="201" spans="2:3" hidden="1" x14ac:dyDescent="0.2">
      <c r="B201" s="110">
        <f t="shared" si="0"/>
        <v>2078</v>
      </c>
      <c r="C201" s="111">
        <f>[20]С2.5!$BK$11</f>
        <v>0</v>
      </c>
    </row>
    <row r="202" spans="2:3" hidden="1" x14ac:dyDescent="0.2">
      <c r="B202" s="110">
        <f t="shared" si="0"/>
        <v>2079</v>
      </c>
      <c r="C202" s="111">
        <f>[20]С2.5!$BL$11</f>
        <v>0</v>
      </c>
    </row>
    <row r="203" spans="2:3" hidden="1" x14ac:dyDescent="0.2">
      <c r="B203" s="110">
        <f t="shared" si="0"/>
        <v>2080</v>
      </c>
      <c r="C203" s="111">
        <f>[20]С2.5!$BM$11</f>
        <v>0</v>
      </c>
    </row>
    <row r="204" spans="2:3" hidden="1" x14ac:dyDescent="0.2">
      <c r="B204" s="110">
        <f t="shared" si="0"/>
        <v>2081</v>
      </c>
      <c r="C204" s="111">
        <f>[20]С2.5!$BN$11</f>
        <v>0</v>
      </c>
    </row>
    <row r="205" spans="2:3" hidden="1" x14ac:dyDescent="0.2">
      <c r="B205" s="110">
        <f t="shared" si="0"/>
        <v>2082</v>
      </c>
      <c r="C205" s="111">
        <f>[20]С2.5!$BO$11</f>
        <v>0</v>
      </c>
    </row>
    <row r="206" spans="2:3" hidden="1" x14ac:dyDescent="0.2">
      <c r="B206" s="110">
        <f t="shared" si="0"/>
        <v>2083</v>
      </c>
      <c r="C206" s="111">
        <f>[20]С2.5!$BP$11</f>
        <v>0</v>
      </c>
    </row>
    <row r="207" spans="2:3" hidden="1" x14ac:dyDescent="0.2">
      <c r="B207" s="110">
        <f t="shared" si="0"/>
        <v>2084</v>
      </c>
      <c r="C207" s="111">
        <f>[20]С2.5!$BQ$11</f>
        <v>0</v>
      </c>
    </row>
    <row r="208" spans="2:3" hidden="1" x14ac:dyDescent="0.2">
      <c r="B208" s="110">
        <f t="shared" si="0"/>
        <v>2085</v>
      </c>
      <c r="C208" s="111">
        <f>[20]С2.5!$BR$11</f>
        <v>0</v>
      </c>
    </row>
    <row r="209" spans="2:3" hidden="1" x14ac:dyDescent="0.2">
      <c r="B209" s="110">
        <f t="shared" ref="B209:B223" si="1">B208+1</f>
        <v>2086</v>
      </c>
      <c r="C209" s="111">
        <f>[20]С2.5!$BS$11</f>
        <v>0</v>
      </c>
    </row>
    <row r="210" spans="2:3" hidden="1" x14ac:dyDescent="0.2">
      <c r="B210" s="110">
        <f t="shared" si="1"/>
        <v>2087</v>
      </c>
      <c r="C210" s="111">
        <f>[20]С2.5!$BT$11</f>
        <v>0</v>
      </c>
    </row>
    <row r="211" spans="2:3" hidden="1" x14ac:dyDescent="0.2">
      <c r="B211" s="110">
        <f t="shared" si="1"/>
        <v>2088</v>
      </c>
      <c r="C211" s="111">
        <f>[20]С2.5!$BU$11</f>
        <v>0</v>
      </c>
    </row>
    <row r="212" spans="2:3" hidden="1" x14ac:dyDescent="0.2">
      <c r="B212" s="110">
        <f t="shared" si="1"/>
        <v>2089</v>
      </c>
      <c r="C212" s="111">
        <f>[20]С2.5!$BV$11</f>
        <v>0</v>
      </c>
    </row>
    <row r="213" spans="2:3" hidden="1" x14ac:dyDescent="0.2">
      <c r="B213" s="110">
        <f t="shared" si="1"/>
        <v>2090</v>
      </c>
      <c r="C213" s="111">
        <f>[20]С2.5!$BW$11</f>
        <v>0</v>
      </c>
    </row>
    <row r="214" spans="2:3" hidden="1" x14ac:dyDescent="0.2">
      <c r="B214" s="110">
        <f t="shared" si="1"/>
        <v>2091</v>
      </c>
      <c r="C214" s="111">
        <f>[20]С2.5!$BX$11</f>
        <v>0</v>
      </c>
    </row>
    <row r="215" spans="2:3" hidden="1" x14ac:dyDescent="0.2">
      <c r="B215" s="110">
        <f t="shared" si="1"/>
        <v>2092</v>
      </c>
      <c r="C215" s="111">
        <f>[20]С2.5!$BY$11</f>
        <v>0</v>
      </c>
    </row>
    <row r="216" spans="2:3" hidden="1" x14ac:dyDescent="0.2">
      <c r="B216" s="110">
        <f t="shared" si="1"/>
        <v>2093</v>
      </c>
      <c r="C216" s="111">
        <f>[20]С2.5!$BZ$11</f>
        <v>0</v>
      </c>
    </row>
    <row r="217" spans="2:3" hidden="1" x14ac:dyDescent="0.2">
      <c r="B217" s="110">
        <f t="shared" si="1"/>
        <v>2094</v>
      </c>
      <c r="C217" s="111">
        <f>[20]С2.5!$CA$11</f>
        <v>0</v>
      </c>
    </row>
    <row r="218" spans="2:3" hidden="1" x14ac:dyDescent="0.2">
      <c r="B218" s="110">
        <f t="shared" si="1"/>
        <v>2095</v>
      </c>
      <c r="C218" s="111">
        <f>[20]С2.5!$CB$11</f>
        <v>0</v>
      </c>
    </row>
    <row r="219" spans="2:3" hidden="1" x14ac:dyDescent="0.2">
      <c r="B219" s="110">
        <f t="shared" si="1"/>
        <v>2096</v>
      </c>
      <c r="C219" s="111">
        <f>[20]С2.5!$CC$11</f>
        <v>0</v>
      </c>
    </row>
    <row r="220" spans="2:3" hidden="1" x14ac:dyDescent="0.2">
      <c r="B220" s="110">
        <f t="shared" si="1"/>
        <v>2097</v>
      </c>
      <c r="C220" s="111">
        <f>[20]С2.5!$CD$11</f>
        <v>0</v>
      </c>
    </row>
    <row r="221" spans="2:3" hidden="1" x14ac:dyDescent="0.2">
      <c r="B221" s="110">
        <f t="shared" si="1"/>
        <v>2098</v>
      </c>
      <c r="C221" s="111">
        <f>[20]С2.5!$CE$11</f>
        <v>0</v>
      </c>
    </row>
    <row r="222" spans="2:3" hidden="1" x14ac:dyDescent="0.2">
      <c r="B222" s="110">
        <f t="shared" si="1"/>
        <v>2099</v>
      </c>
      <c r="C222" s="111">
        <f>[20]С2.5!$CF$11</f>
        <v>0</v>
      </c>
    </row>
    <row r="223" spans="2:3" ht="13.5" hidden="1" thickBot="1" x14ac:dyDescent="0.25">
      <c r="B223" s="112">
        <f t="shared" si="1"/>
        <v>2100</v>
      </c>
      <c r="C223" s="113">
        <f>[20]С2.5!$CG$11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6386" r:id="rId4" name="Button 2">
              <controlPr defaultSize="0" print="0" autoFill="0" autoPict="0" macro="[2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63" t="s">
        <v>0</v>
      </c>
      <c r="C1" s="163"/>
    </row>
    <row r="2" spans="1:3" x14ac:dyDescent="0.2">
      <c r="A2" s="3"/>
      <c r="B2" s="4" t="s">
        <v>1</v>
      </c>
      <c r="C2" s="5">
        <v>45317</v>
      </c>
    </row>
    <row r="3" spans="1:3" x14ac:dyDescent="0.2">
      <c r="A3" s="3"/>
      <c r="B3" s="6" t="s">
        <v>2</v>
      </c>
    </row>
    <row r="4" spans="1:3" ht="25.5" x14ac:dyDescent="0.2">
      <c r="A4" s="8"/>
      <c r="B4" s="9" t="str">
        <f>[21]И1!D13</f>
        <v>Субъект Российской Федерации</v>
      </c>
      <c r="C4" s="10" t="str">
        <f>[21]И1!E13</f>
        <v>Новосибирская область</v>
      </c>
    </row>
    <row r="5" spans="1:3" ht="46.9" customHeight="1" x14ac:dyDescent="0.2">
      <c r="A5" s="8"/>
      <c r="B5" s="9" t="str">
        <f>[21]И1!D14</f>
        <v>Тип муниципального образования (выберите из списка)</v>
      </c>
      <c r="C5" s="10" t="str">
        <f>[21]И1!E14</f>
        <v>село Усть-Чем, Искитимский муниципальный район</v>
      </c>
    </row>
    <row r="6" spans="1:3" x14ac:dyDescent="0.2">
      <c r="A6" s="8"/>
      <c r="B6" s="9" t="str">
        <f>IF([21]И1!E15="","",[21]И1!D15)</f>
        <v/>
      </c>
      <c r="C6" s="10" t="str">
        <f>IF([21]И1!E15="","",[21]И1!E15)</f>
        <v/>
      </c>
    </row>
    <row r="7" spans="1:3" x14ac:dyDescent="0.2">
      <c r="A7" s="8"/>
      <c r="B7" s="9" t="str">
        <f>[21]И1!D16</f>
        <v>Код ОКТМО</v>
      </c>
      <c r="C7" s="11" t="str">
        <f>[21]И1!E16</f>
        <v xml:space="preserve"> (50615434101)</v>
      </c>
    </row>
    <row r="8" spans="1:3" x14ac:dyDescent="0.2">
      <c r="A8" s="8"/>
      <c r="B8" s="12" t="str">
        <f>[21]И1!D17</f>
        <v>Система теплоснабжения</v>
      </c>
      <c r="C8" s="13">
        <f>[21]И1!E17</f>
        <v>0</v>
      </c>
    </row>
    <row r="9" spans="1:3" x14ac:dyDescent="0.2">
      <c r="A9" s="8"/>
      <c r="B9" s="9" t="str">
        <f>[21]И1!D8</f>
        <v>Период регулирования (i)-й</v>
      </c>
      <c r="C9" s="14">
        <f>[21]И1!E8</f>
        <v>2024</v>
      </c>
    </row>
    <row r="10" spans="1:3" x14ac:dyDescent="0.2">
      <c r="A10" s="8"/>
      <c r="B10" s="9" t="str">
        <f>[21]И1!D9</f>
        <v>Период регулирования (i-1)-й</v>
      </c>
      <c r="C10" s="14">
        <f>[21]И1!E9</f>
        <v>2023</v>
      </c>
    </row>
    <row r="11" spans="1:3" x14ac:dyDescent="0.2">
      <c r="A11" s="8"/>
      <c r="B11" s="9" t="str">
        <f>[21]И1!D10</f>
        <v>Период регулирования (i-2)-й</v>
      </c>
      <c r="C11" s="14">
        <f>[21]И1!E10</f>
        <v>2022</v>
      </c>
    </row>
    <row r="12" spans="1:3" x14ac:dyDescent="0.2">
      <c r="A12" s="8"/>
      <c r="B12" s="9" t="str">
        <f>[21]И1!D11</f>
        <v>Базовый год (б)</v>
      </c>
      <c r="C12" s="14">
        <f>[21]И1!E11</f>
        <v>2019</v>
      </c>
    </row>
    <row r="13" spans="1:3" ht="38.25" x14ac:dyDescent="0.2">
      <c r="A13" s="8"/>
      <c r="B13" s="9" t="str">
        <f>[21]И1!D18</f>
        <v>Вид топлива, использование которого преобладает в системе теплоснабжения</v>
      </c>
      <c r="C13" s="15" t="str">
        <f>[21]С1.1!E13</f>
        <v>уголь (вид угля не указан в топливном балансе)</v>
      </c>
    </row>
    <row r="14" spans="1:3" ht="31.7" customHeight="1" thickBot="1" x14ac:dyDescent="0.25">
      <c r="A14" s="162" t="s">
        <v>3</v>
      </c>
      <c r="B14" s="162"/>
      <c r="C14" s="16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3652.0526007687163</v>
      </c>
    </row>
    <row r="18" spans="1:3" ht="42.75" x14ac:dyDescent="0.2">
      <c r="A18" s="22" t="s">
        <v>8</v>
      </c>
      <c r="B18" s="25" t="s">
        <v>9</v>
      </c>
      <c r="C18" s="26">
        <f>[21]С1!F12</f>
        <v>665.23209308057574</v>
      </c>
    </row>
    <row r="19" spans="1:3" ht="42.75" x14ac:dyDescent="0.2">
      <c r="A19" s="22" t="s">
        <v>10</v>
      </c>
      <c r="B19" s="25" t="s">
        <v>11</v>
      </c>
      <c r="C19" s="26">
        <f>[21]С2!F12</f>
        <v>2000.3680279558928</v>
      </c>
    </row>
    <row r="20" spans="1:3" ht="30" x14ac:dyDescent="0.2">
      <c r="A20" s="22" t="s">
        <v>12</v>
      </c>
      <c r="B20" s="25" t="s">
        <v>13</v>
      </c>
      <c r="C20" s="26">
        <f>[21]С3!F12</f>
        <v>475.74490066496389</v>
      </c>
    </row>
    <row r="21" spans="1:3" ht="42.75" x14ac:dyDescent="0.2">
      <c r="A21" s="22" t="s">
        <v>14</v>
      </c>
      <c r="B21" s="25" t="s">
        <v>15</v>
      </c>
      <c r="C21" s="26">
        <f>[21]С4!F12</f>
        <v>439.09870454240729</v>
      </c>
    </row>
    <row r="22" spans="1:3" ht="30" x14ac:dyDescent="0.2">
      <c r="A22" s="22" t="s">
        <v>16</v>
      </c>
      <c r="B22" s="25" t="s">
        <v>17</v>
      </c>
      <c r="C22" s="26">
        <f>[21]С5!F12</f>
        <v>71.608874524876796</v>
      </c>
    </row>
    <row r="23" spans="1:3" ht="43.5" thickBot="1" x14ac:dyDescent="0.25">
      <c r="A23" s="27" t="s">
        <v>18</v>
      </c>
      <c r="B23" s="140" t="s">
        <v>19</v>
      </c>
      <c r="C23" s="28" t="str">
        <f>[21]С6!F12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21</v>
      </c>
      <c r="C28" s="34">
        <f>[21]С1.1!E16</f>
        <v>5100</v>
      </c>
    </row>
    <row r="29" spans="1:3" ht="42.75" x14ac:dyDescent="0.2">
      <c r="A29" s="22" t="s">
        <v>10</v>
      </c>
      <c r="B29" s="33" t="s">
        <v>22</v>
      </c>
      <c r="C29" s="34">
        <f>[21]С1.1!E27</f>
        <v>2988.9166666666665</v>
      </c>
    </row>
    <row r="30" spans="1:3" ht="17.25" x14ac:dyDescent="0.2">
      <c r="A30" s="22" t="s">
        <v>12</v>
      </c>
      <c r="B30" s="33" t="s">
        <v>23</v>
      </c>
      <c r="C30" s="35">
        <f>[21]С1.1!E19</f>
        <v>-0.19900000000000001</v>
      </c>
    </row>
    <row r="31" spans="1:3" ht="17.25" x14ac:dyDescent="0.2">
      <c r="A31" s="22" t="s">
        <v>14</v>
      </c>
      <c r="B31" s="33" t="s">
        <v>24</v>
      </c>
      <c r="C31" s="35">
        <f>[21]С1.1!E20</f>
        <v>5.7000000000000002E-2</v>
      </c>
    </row>
    <row r="32" spans="1:3" ht="30" x14ac:dyDescent="0.2">
      <c r="A32" s="22" t="s">
        <v>16</v>
      </c>
      <c r="B32" s="36" t="s">
        <v>25</v>
      </c>
      <c r="C32" s="37">
        <f>[21]С1!F13</f>
        <v>176.4</v>
      </c>
    </row>
    <row r="33" spans="1:3" x14ac:dyDescent="0.2">
      <c r="A33" s="22" t="s">
        <v>18</v>
      </c>
      <c r="B33" s="36" t="s">
        <v>26</v>
      </c>
      <c r="C33" s="38">
        <f>[21]С1!F16</f>
        <v>7000</v>
      </c>
    </row>
    <row r="34" spans="1:3" ht="14.25" x14ac:dyDescent="0.2">
      <c r="A34" s="22" t="s">
        <v>27</v>
      </c>
      <c r="B34" s="39" t="s">
        <v>28</v>
      </c>
      <c r="C34" s="40">
        <f>[21]С1!F17</f>
        <v>0.72857142857142854</v>
      </c>
    </row>
    <row r="35" spans="1:3" ht="15.75" x14ac:dyDescent="0.2">
      <c r="A35" s="41" t="s">
        <v>29</v>
      </c>
      <c r="B35" s="42" t="s">
        <v>30</v>
      </c>
      <c r="C35" s="40">
        <f>[21]С1!F20</f>
        <v>21.588411179999994</v>
      </c>
    </row>
    <row r="36" spans="1:3" ht="15.75" x14ac:dyDescent="0.2">
      <c r="A36" s="41" t="s">
        <v>31</v>
      </c>
      <c r="B36" s="43" t="s">
        <v>32</v>
      </c>
      <c r="C36" s="40">
        <f>[21]С1!F21</f>
        <v>20.818139999999996</v>
      </c>
    </row>
    <row r="37" spans="1:3" ht="14.25" x14ac:dyDescent="0.2">
      <c r="A37" s="41" t="s">
        <v>33</v>
      </c>
      <c r="B37" s="44" t="s">
        <v>34</v>
      </c>
      <c r="C37" s="40">
        <f>[21]С1!F22</f>
        <v>1.0369999999999999</v>
      </c>
    </row>
    <row r="38" spans="1:3" ht="53.25" thickBot="1" x14ac:dyDescent="0.25">
      <c r="A38" s="27" t="s">
        <v>35</v>
      </c>
      <c r="B38" s="45" t="s">
        <v>36</v>
      </c>
      <c r="C38" s="46">
        <f>[21]С1!F23</f>
        <v>1.0469999999999999</v>
      </c>
    </row>
    <row r="39" spans="1:3" ht="13.5" thickBot="1" x14ac:dyDescent="0.25">
      <c r="A39" s="47"/>
      <c r="B39" s="48"/>
      <c r="C39" s="49"/>
    </row>
    <row r="40" spans="1:3" ht="30" customHeight="1" x14ac:dyDescent="0.2">
      <c r="A40" s="50" t="s">
        <v>37</v>
      </c>
      <c r="B40" s="165" t="s">
        <v>38</v>
      </c>
      <c r="C40" s="165"/>
    </row>
    <row r="41" spans="1:3" ht="25.5" x14ac:dyDescent="0.2">
      <c r="A41" s="22" t="s">
        <v>39</v>
      </c>
      <c r="B41" s="36" t="s">
        <v>40</v>
      </c>
      <c r="C41" s="51" t="str">
        <f>[21]С2.1!E12</f>
        <v>V</v>
      </c>
    </row>
    <row r="42" spans="1:3" ht="25.5" x14ac:dyDescent="0.2">
      <c r="A42" s="22" t="s">
        <v>41</v>
      </c>
      <c r="B42" s="33" t="s">
        <v>42</v>
      </c>
      <c r="C42" s="51" t="str">
        <f>[21]С2.1!E13</f>
        <v>6 и менее баллов</v>
      </c>
    </row>
    <row r="43" spans="1:3" ht="25.5" x14ac:dyDescent="0.2">
      <c r="A43" s="22" t="s">
        <v>43</v>
      </c>
      <c r="B43" s="33" t="s">
        <v>44</v>
      </c>
      <c r="C43" s="51" t="str">
        <f>[21]С2.1!E14</f>
        <v>от 200 до 500</v>
      </c>
    </row>
    <row r="44" spans="1:3" ht="25.5" x14ac:dyDescent="0.2">
      <c r="A44" s="22" t="s">
        <v>45</v>
      </c>
      <c r="B44" s="33" t="s">
        <v>46</v>
      </c>
      <c r="C44" s="52" t="str">
        <f>[21]С2.1!E15</f>
        <v>нет</v>
      </c>
    </row>
    <row r="45" spans="1:3" ht="30" x14ac:dyDescent="0.2">
      <c r="A45" s="22" t="s">
        <v>47</v>
      </c>
      <c r="B45" s="33" t="s">
        <v>48</v>
      </c>
      <c r="C45" s="34">
        <f>[21]С2!F18</f>
        <v>35106.652004551666</v>
      </c>
    </row>
    <row r="46" spans="1:3" ht="30" x14ac:dyDescent="0.2">
      <c r="A46" s="22" t="s">
        <v>49</v>
      </c>
      <c r="B46" s="53" t="s">
        <v>50</v>
      </c>
      <c r="C46" s="34">
        <f>IF([21]С2!F19&gt;0,[21]С2!F19,[21]С2!F20)</f>
        <v>23441.524932855718</v>
      </c>
    </row>
    <row r="47" spans="1:3" ht="25.5" x14ac:dyDescent="0.2">
      <c r="A47" s="22" t="s">
        <v>51</v>
      </c>
      <c r="B47" s="54" t="s">
        <v>52</v>
      </c>
      <c r="C47" s="34">
        <f>[21]С2.1!E19</f>
        <v>-38</v>
      </c>
    </row>
    <row r="48" spans="1:3" ht="25.5" x14ac:dyDescent="0.2">
      <c r="A48" s="22" t="s">
        <v>53</v>
      </c>
      <c r="B48" s="54" t="s">
        <v>54</v>
      </c>
      <c r="C48" s="34" t="str">
        <f>[21]С2.1!E22</f>
        <v>нет</v>
      </c>
    </row>
    <row r="49" spans="1:3" ht="38.25" x14ac:dyDescent="0.2">
      <c r="A49" s="22" t="s">
        <v>55</v>
      </c>
      <c r="B49" s="55" t="s">
        <v>56</v>
      </c>
      <c r="C49" s="34">
        <f>[21]С2.2!E10</f>
        <v>1287</v>
      </c>
    </row>
    <row r="50" spans="1:3" ht="25.5" x14ac:dyDescent="0.2">
      <c r="A50" s="22" t="s">
        <v>57</v>
      </c>
      <c r="B50" s="56" t="s">
        <v>58</v>
      </c>
      <c r="C50" s="34">
        <f>[21]С2.2!E12</f>
        <v>5.97</v>
      </c>
    </row>
    <row r="51" spans="1:3" ht="52.5" x14ac:dyDescent="0.2">
      <c r="A51" s="22" t="s">
        <v>59</v>
      </c>
      <c r="B51" s="57" t="s">
        <v>60</v>
      </c>
      <c r="C51" s="34">
        <f>[21]С2.2!E13</f>
        <v>1</v>
      </c>
    </row>
    <row r="52" spans="1:3" ht="27.75" x14ac:dyDescent="0.2">
      <c r="A52" s="22" t="s">
        <v>61</v>
      </c>
      <c r="B52" s="56" t="s">
        <v>62</v>
      </c>
      <c r="C52" s="34">
        <f>[21]С2.2!E14</f>
        <v>12104</v>
      </c>
    </row>
    <row r="53" spans="1:3" ht="25.5" x14ac:dyDescent="0.2">
      <c r="A53" s="22" t="s">
        <v>63</v>
      </c>
      <c r="B53" s="57" t="s">
        <v>64</v>
      </c>
      <c r="C53" s="35">
        <f>[21]С2.2!E15</f>
        <v>4.8000000000000001E-2</v>
      </c>
    </row>
    <row r="54" spans="1:3" x14ac:dyDescent="0.2">
      <c r="A54" s="22" t="s">
        <v>65</v>
      </c>
      <c r="B54" s="57" t="s">
        <v>66</v>
      </c>
      <c r="C54" s="34">
        <f>[21]С2.2!E16</f>
        <v>1</v>
      </c>
    </row>
    <row r="55" spans="1:3" ht="15.75" x14ac:dyDescent="0.2">
      <c r="A55" s="22" t="s">
        <v>67</v>
      </c>
      <c r="B55" s="58" t="s">
        <v>68</v>
      </c>
      <c r="C55" s="34">
        <f>[21]С2!F21</f>
        <v>1</v>
      </c>
    </row>
    <row r="56" spans="1:3" ht="30" x14ac:dyDescent="0.2">
      <c r="A56" s="59" t="s">
        <v>69</v>
      </c>
      <c r="B56" s="33" t="s">
        <v>70</v>
      </c>
      <c r="C56" s="34">
        <f>[21]С2!F13</f>
        <v>183796.83936385796</v>
      </c>
    </row>
    <row r="57" spans="1:3" ht="30" x14ac:dyDescent="0.2">
      <c r="A57" s="59" t="s">
        <v>71</v>
      </c>
      <c r="B57" s="58" t="s">
        <v>72</v>
      </c>
      <c r="C57" s="34">
        <f>[21]С2!F14</f>
        <v>113455</v>
      </c>
    </row>
    <row r="58" spans="1:3" ht="15.75" x14ac:dyDescent="0.2">
      <c r="A58" s="59" t="s">
        <v>73</v>
      </c>
      <c r="B58" s="60" t="s">
        <v>74</v>
      </c>
      <c r="C58" s="40">
        <f>[21]С2!F15</f>
        <v>1.071</v>
      </c>
    </row>
    <row r="59" spans="1:3" ht="15.75" x14ac:dyDescent="0.2">
      <c r="A59" s="59" t="s">
        <v>75</v>
      </c>
      <c r="B59" s="60" t="s">
        <v>76</v>
      </c>
      <c r="C59" s="40">
        <f>[21]С2!F16</f>
        <v>1</v>
      </c>
    </row>
    <row r="60" spans="1:3" ht="17.25" x14ac:dyDescent="0.2">
      <c r="A60" s="59" t="s">
        <v>77</v>
      </c>
      <c r="B60" s="58" t="s">
        <v>78</v>
      </c>
      <c r="C60" s="34">
        <f>[21]С2!F17</f>
        <v>1.01</v>
      </c>
    </row>
    <row r="61" spans="1:3" s="63" customFormat="1" ht="14.25" x14ac:dyDescent="0.2">
      <c r="A61" s="59" t="s">
        <v>79</v>
      </c>
      <c r="B61" s="61" t="s">
        <v>80</v>
      </c>
      <c r="C61" s="62">
        <f>[21]С2!F33</f>
        <v>10</v>
      </c>
    </row>
    <row r="62" spans="1:3" ht="30" x14ac:dyDescent="0.2">
      <c r="A62" s="59" t="s">
        <v>81</v>
      </c>
      <c r="B62" s="64" t="s">
        <v>82</v>
      </c>
      <c r="C62" s="34">
        <f>[21]С2!F26</f>
        <v>2780.7867618428891</v>
      </c>
    </row>
    <row r="63" spans="1:3" ht="17.25" x14ac:dyDescent="0.2">
      <c r="A63" s="59" t="s">
        <v>83</v>
      </c>
      <c r="B63" s="53" t="s">
        <v>84</v>
      </c>
      <c r="C63" s="34">
        <f>[21]С2!F27</f>
        <v>0.44209422600000003</v>
      </c>
    </row>
    <row r="64" spans="1:3" ht="17.25" x14ac:dyDescent="0.2">
      <c r="A64" s="59" t="s">
        <v>85</v>
      </c>
      <c r="B64" s="58" t="s">
        <v>86</v>
      </c>
      <c r="C64" s="62">
        <f>[21]С2!F28</f>
        <v>4200</v>
      </c>
    </row>
    <row r="65" spans="1:3" ht="42.75" x14ac:dyDescent="0.2">
      <c r="A65" s="59" t="s">
        <v>87</v>
      </c>
      <c r="B65" s="33" t="s">
        <v>88</v>
      </c>
      <c r="C65" s="34">
        <f>[21]С2!F22</f>
        <v>38698.422798410109</v>
      </c>
    </row>
    <row r="66" spans="1:3" ht="30" x14ac:dyDescent="0.2">
      <c r="A66" s="59" t="s">
        <v>89</v>
      </c>
      <c r="B66" s="60" t="s">
        <v>90</v>
      </c>
      <c r="C66" s="34">
        <f>[21]С2!F23</f>
        <v>1990</v>
      </c>
    </row>
    <row r="67" spans="1:3" ht="30" x14ac:dyDescent="0.2">
      <c r="A67" s="59" t="s">
        <v>91</v>
      </c>
      <c r="B67" s="53" t="s">
        <v>92</v>
      </c>
      <c r="C67" s="34">
        <f>[21]С2.1!E27</f>
        <v>14307.876789999998</v>
      </c>
    </row>
    <row r="68" spans="1:3" ht="38.25" x14ac:dyDescent="0.2">
      <c r="A68" s="59" t="s">
        <v>93</v>
      </c>
      <c r="B68" s="65" t="s">
        <v>94</v>
      </c>
      <c r="C68" s="52">
        <f>[21]С2.3!E21</f>
        <v>0</v>
      </c>
    </row>
    <row r="69" spans="1:3" ht="25.5" x14ac:dyDescent="0.2">
      <c r="A69" s="59" t="s">
        <v>95</v>
      </c>
      <c r="B69" s="66" t="s">
        <v>96</v>
      </c>
      <c r="C69" s="67">
        <f>[21]С2.3!E11</f>
        <v>9.89</v>
      </c>
    </row>
    <row r="70" spans="1:3" ht="25.5" x14ac:dyDescent="0.2">
      <c r="A70" s="59" t="s">
        <v>97</v>
      </c>
      <c r="B70" s="66" t="s">
        <v>98</v>
      </c>
      <c r="C70" s="62">
        <f>[21]С2.3!E13</f>
        <v>300</v>
      </c>
    </row>
    <row r="71" spans="1:3" ht="25.5" x14ac:dyDescent="0.2">
      <c r="A71" s="59" t="s">
        <v>99</v>
      </c>
      <c r="B71" s="65" t="s">
        <v>100</v>
      </c>
      <c r="C71" s="68">
        <f>IF([21]С2.3!E22&gt;0,[21]С2.3!E22,[21]С2.3!E14)</f>
        <v>61211</v>
      </c>
    </row>
    <row r="72" spans="1:3" ht="38.25" x14ac:dyDescent="0.2">
      <c r="A72" s="59" t="s">
        <v>101</v>
      </c>
      <c r="B72" s="65" t="s">
        <v>102</v>
      </c>
      <c r="C72" s="68">
        <f>IF([21]С2.3!E23&gt;0,[21]С2.3!E23,[21]С2.3!E15)</f>
        <v>45675</v>
      </c>
    </row>
    <row r="73" spans="1:3" ht="30" x14ac:dyDescent="0.2">
      <c r="A73" s="59" t="s">
        <v>103</v>
      </c>
      <c r="B73" s="53" t="s">
        <v>104</v>
      </c>
      <c r="C73" s="34">
        <f>[21]С2.1!E28</f>
        <v>9541.9567200000001</v>
      </c>
    </row>
    <row r="74" spans="1:3" ht="38.25" x14ac:dyDescent="0.2">
      <c r="A74" s="59" t="s">
        <v>105</v>
      </c>
      <c r="B74" s="65" t="s">
        <v>106</v>
      </c>
      <c r="C74" s="52">
        <f>[21]С2.3!E25</f>
        <v>0</v>
      </c>
    </row>
    <row r="75" spans="1:3" ht="25.5" x14ac:dyDescent="0.2">
      <c r="A75" s="59" t="s">
        <v>107</v>
      </c>
      <c r="B75" s="66" t="s">
        <v>108</v>
      </c>
      <c r="C75" s="67">
        <f>[21]С2.3!E12</f>
        <v>0.56000000000000005</v>
      </c>
    </row>
    <row r="76" spans="1:3" ht="25.5" x14ac:dyDescent="0.2">
      <c r="A76" s="59" t="s">
        <v>109</v>
      </c>
      <c r="B76" s="66" t="s">
        <v>98</v>
      </c>
      <c r="C76" s="62">
        <f>[21]С2.3!E13</f>
        <v>300</v>
      </c>
    </row>
    <row r="77" spans="1:3" ht="25.5" x14ac:dyDescent="0.2">
      <c r="A77" s="59" t="s">
        <v>110</v>
      </c>
      <c r="B77" s="69" t="s">
        <v>111</v>
      </c>
      <c r="C77" s="68">
        <f>IF([21]С2.3!E26&gt;0,[21]С2.3!E26,[21]С2.3!E16)</f>
        <v>65637</v>
      </c>
    </row>
    <row r="78" spans="1:3" ht="38.25" x14ac:dyDescent="0.2">
      <c r="A78" s="59" t="s">
        <v>112</v>
      </c>
      <c r="B78" s="69" t="s">
        <v>113</v>
      </c>
      <c r="C78" s="68">
        <f>IF([21]С2.3!E27&gt;0,[21]С2.3!E27,[21]С2.3!E17)</f>
        <v>31684</v>
      </c>
    </row>
    <row r="79" spans="1:3" ht="17.25" x14ac:dyDescent="0.2">
      <c r="A79" s="59" t="s">
        <v>114</v>
      </c>
      <c r="B79" s="33" t="s">
        <v>115</v>
      </c>
      <c r="C79" s="35">
        <f>[21]С2!F29</f>
        <v>9.5962865259740182E-2</v>
      </c>
    </row>
    <row r="80" spans="1:3" ht="30" x14ac:dyDescent="0.2">
      <c r="A80" s="59" t="s">
        <v>116</v>
      </c>
      <c r="B80" s="53" t="s">
        <v>117</v>
      </c>
      <c r="C80" s="70">
        <f>[21]С2!F30</f>
        <v>8.4029304029304031E-2</v>
      </c>
    </row>
    <row r="81" spans="1:3" ht="17.25" x14ac:dyDescent="0.2">
      <c r="A81" s="59" t="s">
        <v>118</v>
      </c>
      <c r="B81" s="71" t="s">
        <v>119</v>
      </c>
      <c r="C81" s="35">
        <f>[21]С2!F31</f>
        <v>0.13880000000000001</v>
      </c>
    </row>
    <row r="82" spans="1:3" s="63" customFormat="1" ht="18" thickBot="1" x14ac:dyDescent="0.25">
      <c r="A82" s="72" t="s">
        <v>120</v>
      </c>
      <c r="B82" s="73" t="s">
        <v>121</v>
      </c>
      <c r="C82" s="74">
        <f>[21]С2!F32</f>
        <v>0.12640000000000001</v>
      </c>
    </row>
    <row r="83" spans="1:3" ht="13.5" thickBot="1" x14ac:dyDescent="0.25">
      <c r="A83" s="47"/>
      <c r="B83" s="75"/>
      <c r="C83" s="15"/>
    </row>
    <row r="84" spans="1:3" s="63" customFormat="1" ht="30" customHeight="1" x14ac:dyDescent="0.2">
      <c r="A84" s="76" t="s">
        <v>122</v>
      </c>
      <c r="B84" s="165" t="s">
        <v>123</v>
      </c>
      <c r="C84" s="165"/>
    </row>
    <row r="85" spans="1:3" s="63" customFormat="1" ht="30" x14ac:dyDescent="0.2">
      <c r="A85" s="77" t="s">
        <v>124</v>
      </c>
      <c r="B85" s="33" t="s">
        <v>125</v>
      </c>
      <c r="C85" s="34">
        <f>[21]С3!F14</f>
        <v>6117.6201782637581</v>
      </c>
    </row>
    <row r="86" spans="1:3" s="63" customFormat="1" ht="42.75" x14ac:dyDescent="0.2">
      <c r="A86" s="77" t="s">
        <v>126</v>
      </c>
      <c r="B86" s="53" t="s">
        <v>127</v>
      </c>
      <c r="C86" s="78">
        <f>[21]С3!F15</f>
        <v>0.2</v>
      </c>
    </row>
    <row r="87" spans="1:3" s="63" customFormat="1" ht="14.25" x14ac:dyDescent="0.2">
      <c r="A87" s="77" t="s">
        <v>128</v>
      </c>
      <c r="B87" s="79" t="s">
        <v>129</v>
      </c>
      <c r="C87" s="62">
        <f>[21]С3!F18</f>
        <v>15</v>
      </c>
    </row>
    <row r="88" spans="1:3" s="63" customFormat="1" ht="17.25" x14ac:dyDescent="0.2">
      <c r="A88" s="77" t="s">
        <v>130</v>
      </c>
      <c r="B88" s="33" t="s">
        <v>131</v>
      </c>
      <c r="C88" s="34">
        <f>[21]С3!F19</f>
        <v>3778.1614077800232</v>
      </c>
    </row>
    <row r="89" spans="1:3" s="63" customFormat="1" ht="55.5" x14ac:dyDescent="0.2">
      <c r="A89" s="77" t="s">
        <v>132</v>
      </c>
      <c r="B89" s="53" t="s">
        <v>133</v>
      </c>
      <c r="C89" s="80">
        <f>[21]С3!F20</f>
        <v>2.1999999999999999E-2</v>
      </c>
    </row>
    <row r="90" spans="1:3" s="63" customFormat="1" ht="14.25" x14ac:dyDescent="0.2">
      <c r="A90" s="77" t="s">
        <v>134</v>
      </c>
      <c r="B90" s="58" t="s">
        <v>80</v>
      </c>
      <c r="C90" s="62">
        <f>[21]С3!F21</f>
        <v>10</v>
      </c>
    </row>
    <row r="91" spans="1:3" s="63" customFormat="1" ht="17.25" x14ac:dyDescent="0.2">
      <c r="A91" s="77" t="s">
        <v>135</v>
      </c>
      <c r="B91" s="33" t="s">
        <v>136</v>
      </c>
      <c r="C91" s="34">
        <f>[21]С3!F22</f>
        <v>8.3423602855286667</v>
      </c>
    </row>
    <row r="92" spans="1:3" s="63" customFormat="1" ht="55.5" x14ac:dyDescent="0.2">
      <c r="A92" s="77" t="s">
        <v>137</v>
      </c>
      <c r="B92" s="53" t="s">
        <v>138</v>
      </c>
      <c r="C92" s="80">
        <f>[21]С3!F23</f>
        <v>3.0000000000000001E-3</v>
      </c>
    </row>
    <row r="93" spans="1:3" s="63" customFormat="1" ht="27.75" thickBot="1" x14ac:dyDescent="0.25">
      <c r="A93" s="81" t="s">
        <v>139</v>
      </c>
      <c r="B93" s="82" t="s">
        <v>140</v>
      </c>
      <c r="C93" s="83">
        <f>[21]С3!F24</f>
        <v>2780.7867618428891</v>
      </c>
    </row>
    <row r="94" spans="1:3" ht="13.5" thickBot="1" x14ac:dyDescent="0.25">
      <c r="A94" s="47"/>
      <c r="B94" s="75"/>
      <c r="C94" s="15"/>
    </row>
    <row r="95" spans="1:3" ht="30" customHeight="1" x14ac:dyDescent="0.2">
      <c r="A95" s="84" t="s">
        <v>141</v>
      </c>
      <c r="B95" s="165" t="s">
        <v>142</v>
      </c>
      <c r="C95" s="165"/>
    </row>
    <row r="96" spans="1:3" ht="30" x14ac:dyDescent="0.2">
      <c r="A96" s="59" t="s">
        <v>143</v>
      </c>
      <c r="B96" s="33" t="s">
        <v>144</v>
      </c>
      <c r="C96" s="34">
        <f>[21]С4!F16</f>
        <v>1652.5</v>
      </c>
    </row>
    <row r="97" spans="1:3" ht="30" x14ac:dyDescent="0.2">
      <c r="A97" s="59" t="s">
        <v>145</v>
      </c>
      <c r="B97" s="58" t="s">
        <v>146</v>
      </c>
      <c r="C97" s="34">
        <f>[21]С4!F17</f>
        <v>73547</v>
      </c>
    </row>
    <row r="98" spans="1:3" ht="17.25" x14ac:dyDescent="0.2">
      <c r="A98" s="59" t="s">
        <v>147</v>
      </c>
      <c r="B98" s="58" t="s">
        <v>148</v>
      </c>
      <c r="C98" s="40">
        <f>[21]С4!F18</f>
        <v>0.02</v>
      </c>
    </row>
    <row r="99" spans="1:3" ht="30" x14ac:dyDescent="0.2">
      <c r="A99" s="59" t="s">
        <v>149</v>
      </c>
      <c r="B99" s="58" t="s">
        <v>150</v>
      </c>
      <c r="C99" s="34">
        <f>[21]С4!F19</f>
        <v>12104</v>
      </c>
    </row>
    <row r="100" spans="1:3" ht="31.5" x14ac:dyDescent="0.2">
      <c r="A100" s="59" t="s">
        <v>151</v>
      </c>
      <c r="B100" s="58" t="s">
        <v>152</v>
      </c>
      <c r="C100" s="40">
        <f>[21]С4!F20</f>
        <v>1.4999999999999999E-2</v>
      </c>
    </row>
    <row r="101" spans="1:3" ht="30" x14ac:dyDescent="0.2">
      <c r="A101" s="59" t="s">
        <v>153</v>
      </c>
      <c r="B101" s="33" t="s">
        <v>154</v>
      </c>
      <c r="C101" s="34">
        <f>[21]С4!F21</f>
        <v>1933.1949342509995</v>
      </c>
    </row>
    <row r="102" spans="1:3" ht="24" customHeight="1" x14ac:dyDescent="0.2">
      <c r="A102" s="59" t="s">
        <v>155</v>
      </c>
      <c r="B102" s="53" t="s">
        <v>156</v>
      </c>
      <c r="C102" s="85">
        <f>IF([21]С4.2!F8="да",[21]С4.2!D21,[21]С4.2!D15)</f>
        <v>0</v>
      </c>
    </row>
    <row r="103" spans="1:3" ht="68.25" x14ac:dyDescent="0.2">
      <c r="A103" s="59" t="s">
        <v>157</v>
      </c>
      <c r="B103" s="53" t="s">
        <v>158</v>
      </c>
      <c r="C103" s="34">
        <f>[21]С4!F22</f>
        <v>3.6112641666666665</v>
      </c>
    </row>
    <row r="104" spans="1:3" ht="30" x14ac:dyDescent="0.2">
      <c r="A104" s="59" t="s">
        <v>159</v>
      </c>
      <c r="B104" s="58" t="s">
        <v>160</v>
      </c>
      <c r="C104" s="34">
        <f>[21]С4!F23</f>
        <v>180</v>
      </c>
    </row>
    <row r="105" spans="1:3" ht="14.25" x14ac:dyDescent="0.2">
      <c r="A105" s="59" t="s">
        <v>161</v>
      </c>
      <c r="B105" s="53" t="s">
        <v>162</v>
      </c>
      <c r="C105" s="34">
        <f>[21]С4!F24</f>
        <v>8497.1999999999989</v>
      </c>
    </row>
    <row r="106" spans="1:3" ht="14.25" x14ac:dyDescent="0.2">
      <c r="A106" s="59" t="s">
        <v>163</v>
      </c>
      <c r="B106" s="58" t="s">
        <v>164</v>
      </c>
      <c r="C106" s="40">
        <f>[21]С4!F25</f>
        <v>0.35</v>
      </c>
    </row>
    <row r="107" spans="1:3" ht="17.25" x14ac:dyDescent="0.2">
      <c r="A107" s="59" t="s">
        <v>165</v>
      </c>
      <c r="B107" s="33" t="s">
        <v>166</v>
      </c>
      <c r="C107" s="34">
        <f>[21]С4!F26</f>
        <v>85.988129999999998</v>
      </c>
    </row>
    <row r="108" spans="1:3" ht="25.5" x14ac:dyDescent="0.2">
      <c r="A108" s="59" t="s">
        <v>167</v>
      </c>
      <c r="B108" s="53" t="s">
        <v>94</v>
      </c>
      <c r="C108" s="85">
        <f>[21]С4.3!E16</f>
        <v>0</v>
      </c>
    </row>
    <row r="109" spans="1:3" ht="25.5" x14ac:dyDescent="0.2">
      <c r="A109" s="59" t="s">
        <v>168</v>
      </c>
      <c r="B109" s="53" t="s">
        <v>169</v>
      </c>
      <c r="C109" s="34">
        <f>[21]С4.3!E17</f>
        <v>20.350000000000001</v>
      </c>
    </row>
    <row r="110" spans="1:3" ht="38.25" x14ac:dyDescent="0.2">
      <c r="A110" s="59" t="s">
        <v>170</v>
      </c>
      <c r="B110" s="53" t="s">
        <v>106</v>
      </c>
      <c r="C110" s="85">
        <f>[21]С4.3!E18</f>
        <v>0</v>
      </c>
    </row>
    <row r="111" spans="1:3" x14ac:dyDescent="0.2">
      <c r="A111" s="59" t="s">
        <v>171</v>
      </c>
      <c r="B111" s="53" t="s">
        <v>172</v>
      </c>
      <c r="C111" s="34">
        <f>[21]С4.3!E19</f>
        <v>71.67</v>
      </c>
    </row>
    <row r="112" spans="1:3" x14ac:dyDescent="0.2">
      <c r="A112" s="59" t="s">
        <v>173</v>
      </c>
      <c r="B112" s="58" t="s">
        <v>174</v>
      </c>
      <c r="C112" s="34">
        <f>[21]С4.3!E11</f>
        <v>1871</v>
      </c>
    </row>
    <row r="113" spans="1:3" x14ac:dyDescent="0.2">
      <c r="A113" s="59" t="s">
        <v>175</v>
      </c>
      <c r="B113" s="58" t="s">
        <v>176</v>
      </c>
      <c r="C113" s="52">
        <f>[21]С4.3!E12</f>
        <v>1636</v>
      </c>
    </row>
    <row r="114" spans="1:3" x14ac:dyDescent="0.2">
      <c r="A114" s="59" t="s">
        <v>177</v>
      </c>
      <c r="B114" s="58" t="s">
        <v>178</v>
      </c>
      <c r="C114" s="52">
        <f>[21]С4.3!E13</f>
        <v>204</v>
      </c>
    </row>
    <row r="115" spans="1:3" ht="30" x14ac:dyDescent="0.2">
      <c r="A115" s="59" t="s">
        <v>179</v>
      </c>
      <c r="B115" s="33" t="s">
        <v>180</v>
      </c>
      <c r="C115" s="34">
        <f>[21]С4!F27</f>
        <v>1291.2863994686898</v>
      </c>
    </row>
    <row r="116" spans="1:3" ht="25.5" x14ac:dyDescent="0.2">
      <c r="A116" s="59" t="s">
        <v>181</v>
      </c>
      <c r="B116" s="53" t="s">
        <v>182</v>
      </c>
      <c r="C116" s="34">
        <f>[21]С4!F28</f>
        <v>991.77142816335618</v>
      </c>
    </row>
    <row r="117" spans="1:3" ht="42.75" x14ac:dyDescent="0.2">
      <c r="A117" s="59" t="s">
        <v>183</v>
      </c>
      <c r="B117" s="53" t="s">
        <v>184</v>
      </c>
      <c r="C117" s="34">
        <f>[21]С4!F29</f>
        <v>299.51497130533357</v>
      </c>
    </row>
    <row r="118" spans="1:3" ht="30" x14ac:dyDescent="0.2">
      <c r="A118" s="59" t="s">
        <v>185</v>
      </c>
      <c r="B118" s="39" t="s">
        <v>186</v>
      </c>
      <c r="C118" s="34">
        <f>[21]С4!F30</f>
        <v>1708.5430685767656</v>
      </c>
    </row>
    <row r="119" spans="1:3" ht="42.75" x14ac:dyDescent="0.2">
      <c r="A119" s="59" t="s">
        <v>187</v>
      </c>
      <c r="B119" s="86" t="s">
        <v>188</v>
      </c>
      <c r="C119" s="34">
        <f>[21]С4!F33</f>
        <v>986.46332023711193</v>
      </c>
    </row>
    <row r="120" spans="1:3" ht="30" x14ac:dyDescent="0.2">
      <c r="A120" s="59" t="s">
        <v>189</v>
      </c>
      <c r="B120" s="87" t="s">
        <v>190</v>
      </c>
      <c r="C120" s="34">
        <f>[21]С4!F35</f>
        <v>17.040680999999999</v>
      </c>
    </row>
    <row r="121" spans="1:3" ht="14.25" x14ac:dyDescent="0.2">
      <c r="A121" s="59" t="s">
        <v>191</v>
      </c>
      <c r="B121" s="56" t="s">
        <v>192</v>
      </c>
      <c r="C121" s="34">
        <f>[21]С4!F36</f>
        <v>14319.9</v>
      </c>
    </row>
    <row r="122" spans="1:3" ht="28.5" thickBot="1" x14ac:dyDescent="0.25">
      <c r="A122" s="72" t="s">
        <v>193</v>
      </c>
      <c r="B122" s="88" t="s">
        <v>194</v>
      </c>
      <c r="C122" s="83">
        <f>[21]С4!F37</f>
        <v>1.19</v>
      </c>
    </row>
    <row r="123" spans="1:3" s="89" customFormat="1" ht="13.5" thickBot="1" x14ac:dyDescent="0.25">
      <c r="A123" s="47"/>
      <c r="B123" s="75"/>
      <c r="C123" s="15"/>
    </row>
    <row r="124" spans="1:3" s="63" customFormat="1" ht="30" customHeight="1" x14ac:dyDescent="0.2">
      <c r="A124" s="76" t="s">
        <v>195</v>
      </c>
      <c r="B124" s="165" t="s">
        <v>196</v>
      </c>
      <c r="C124" s="165"/>
    </row>
    <row r="125" spans="1:3" ht="16.5" thickBot="1" x14ac:dyDescent="0.25">
      <c r="A125" s="27" t="s">
        <v>197</v>
      </c>
      <c r="B125" s="90" t="s">
        <v>198</v>
      </c>
      <c r="C125" s="83">
        <f>[21]С5!F17</f>
        <v>0.02</v>
      </c>
    </row>
    <row r="126" spans="1:3" s="89" customFormat="1" ht="13.5" thickBot="1" x14ac:dyDescent="0.25">
      <c r="A126" s="47"/>
      <c r="B126" s="75"/>
      <c r="C126" s="15"/>
    </row>
    <row r="127" spans="1:3" ht="42.75" customHeight="1" x14ac:dyDescent="0.2">
      <c r="A127" s="84" t="s">
        <v>199</v>
      </c>
      <c r="B127" s="166" t="s">
        <v>200</v>
      </c>
      <c r="C127" s="166"/>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[21]С2!F37</f>
        <v>20.818139999999996</v>
      </c>
    </row>
    <row r="136" spans="1:4" ht="14.25" x14ac:dyDescent="0.2">
      <c r="A136" s="59" t="s">
        <v>216</v>
      </c>
      <c r="B136" s="101" t="s">
        <v>217</v>
      </c>
      <c r="C136" s="34">
        <f>[21]С2!F38</f>
        <v>7</v>
      </c>
    </row>
    <row r="137" spans="1:4" ht="17.25" x14ac:dyDescent="0.2">
      <c r="A137" s="59" t="s">
        <v>218</v>
      </c>
      <c r="B137" s="101" t="s">
        <v>219</v>
      </c>
      <c r="C137" s="34">
        <f>[21]С2!F40</f>
        <v>0.97</v>
      </c>
    </row>
    <row r="138" spans="1:4" ht="15" thickBot="1" x14ac:dyDescent="0.25">
      <c r="A138" s="72" t="s">
        <v>220</v>
      </c>
      <c r="B138" s="102" t="s">
        <v>221</v>
      </c>
      <c r="C138" s="46">
        <f>[21]С2!F42</f>
        <v>0.35</v>
      </c>
    </row>
    <row r="139" spans="1:4" s="89" customFormat="1" ht="13.5" thickBot="1" x14ac:dyDescent="0.25">
      <c r="A139" s="47"/>
      <c r="B139" s="75"/>
      <c r="C139" s="15"/>
    </row>
    <row r="140" spans="1:4" ht="30" x14ac:dyDescent="0.2">
      <c r="A140" s="84" t="s">
        <v>222</v>
      </c>
      <c r="B140" s="103" t="s">
        <v>223</v>
      </c>
      <c r="C140" s="104">
        <f>[21]С2!F35</f>
        <v>1.4976266307379205</v>
      </c>
      <c r="D140" s="89"/>
    </row>
    <row r="141" spans="1:4" ht="22.7" customHeight="1" thickBot="1" x14ac:dyDescent="0.25">
      <c r="A141" s="72" t="s">
        <v>224</v>
      </c>
      <c r="B141" s="161" t="s">
        <v>225</v>
      </c>
      <c r="C141" s="161"/>
      <c r="D141" s="89"/>
    </row>
    <row r="142" spans="1:4" ht="13.5" thickBot="1" x14ac:dyDescent="0.25">
      <c r="A142" s="105"/>
      <c r="B142" s="106" t="s">
        <v>226</v>
      </c>
      <c r="C142" s="107"/>
      <c r="D142" s="89"/>
    </row>
    <row r="143" spans="1:4" x14ac:dyDescent="0.2">
      <c r="A143" s="105"/>
      <c r="B143" s="108">
        <v>2020</v>
      </c>
      <c r="C143" s="109">
        <f>[21]С2.5!$E$11</f>
        <v>-2.9000000000000026E-2</v>
      </c>
      <c r="D143" s="89"/>
    </row>
    <row r="144" spans="1:4" x14ac:dyDescent="0.2">
      <c r="A144" s="105"/>
      <c r="B144" s="110">
        <f>B143+1</f>
        <v>2021</v>
      </c>
      <c r="C144" s="111">
        <f>[21]С2.5!$F$11</f>
        <v>0.245</v>
      </c>
      <c r="D144" s="89"/>
    </row>
    <row r="145" spans="1:4" x14ac:dyDescent="0.2">
      <c r="A145" s="105"/>
      <c r="B145" s="110">
        <f t="shared" ref="B145:B208" si="0">B144+1</f>
        <v>2022</v>
      </c>
      <c r="C145" s="111">
        <f>[21]С2.5!$G$11</f>
        <v>0.114</v>
      </c>
      <c r="D145" s="89"/>
    </row>
    <row r="146" spans="1:4" ht="13.5" thickBot="1" x14ac:dyDescent="0.25">
      <c r="A146" s="105"/>
      <c r="B146" s="112">
        <f t="shared" si="0"/>
        <v>2023</v>
      </c>
      <c r="C146" s="113">
        <f>[21]С2.5!$H$11</f>
        <v>2.4E-2</v>
      </c>
      <c r="D146" s="89"/>
    </row>
    <row r="147" spans="1:4" x14ac:dyDescent="0.2">
      <c r="A147" s="105"/>
      <c r="B147" s="114">
        <f t="shared" si="0"/>
        <v>2024</v>
      </c>
      <c r="C147" s="115">
        <f>[21]С2.5!$I$11</f>
        <v>8.5999999999999993E-2</v>
      </c>
      <c r="D147" s="89"/>
    </row>
    <row r="148" spans="1:4" hidden="1" x14ac:dyDescent="0.2">
      <c r="A148" s="105"/>
      <c r="B148" s="110">
        <f t="shared" si="0"/>
        <v>2025</v>
      </c>
      <c r="C148" s="111">
        <f>[21]С2.5!$J$11</f>
        <v>0.21215960863291</v>
      </c>
      <c r="D148" s="89"/>
    </row>
    <row r="149" spans="1:4" hidden="1" x14ac:dyDescent="0.2">
      <c r="A149" s="105"/>
      <c r="B149" s="110">
        <f t="shared" si="0"/>
        <v>2026</v>
      </c>
      <c r="C149" s="111">
        <f>[21]С2.5!$K$11</f>
        <v>3.5813361771260002E-2</v>
      </c>
      <c r="D149" s="89"/>
    </row>
    <row r="150" spans="1:4" hidden="1" x14ac:dyDescent="0.2">
      <c r="A150" s="105"/>
      <c r="B150" s="110">
        <f t="shared" si="0"/>
        <v>2027</v>
      </c>
      <c r="C150" s="111">
        <f>[21]С2.5!$L$11</f>
        <v>3.2682303599220003E-2</v>
      </c>
      <c r="D150" s="89"/>
    </row>
    <row r="151" spans="1:4" hidden="1" x14ac:dyDescent="0.2">
      <c r="A151" s="105"/>
      <c r="B151" s="110">
        <f t="shared" si="0"/>
        <v>2028</v>
      </c>
      <c r="C151" s="111">
        <f>[21]С2.5!$M$11</f>
        <v>0</v>
      </c>
      <c r="D151" s="89"/>
    </row>
    <row r="152" spans="1:4" hidden="1" x14ac:dyDescent="0.2">
      <c r="A152" s="105"/>
      <c r="B152" s="110">
        <f t="shared" si="0"/>
        <v>2029</v>
      </c>
      <c r="C152" s="111">
        <f>[21]С2.5!$N$11</f>
        <v>0</v>
      </c>
      <c r="D152" s="89"/>
    </row>
    <row r="153" spans="1:4" hidden="1" x14ac:dyDescent="0.2">
      <c r="A153" s="105"/>
      <c r="B153" s="110">
        <f t="shared" si="0"/>
        <v>2030</v>
      </c>
      <c r="C153" s="111">
        <f>[21]С2.5!$O$11</f>
        <v>0</v>
      </c>
      <c r="D153" s="89"/>
    </row>
    <row r="154" spans="1:4" hidden="1" x14ac:dyDescent="0.2">
      <c r="A154" s="105"/>
      <c r="B154" s="110">
        <f t="shared" si="0"/>
        <v>2031</v>
      </c>
      <c r="C154" s="111">
        <f>[21]С2.5!$P$11</f>
        <v>0</v>
      </c>
      <c r="D154" s="89"/>
    </row>
    <row r="155" spans="1:4" hidden="1" x14ac:dyDescent="0.2">
      <c r="A155" s="89"/>
      <c r="B155" s="110">
        <f t="shared" si="0"/>
        <v>2032</v>
      </c>
      <c r="C155" s="111">
        <f>[21]С2.5!$Q$11</f>
        <v>0</v>
      </c>
      <c r="D155" s="89"/>
    </row>
    <row r="156" spans="1:4" hidden="1" x14ac:dyDescent="0.2">
      <c r="A156" s="89"/>
      <c r="B156" s="110">
        <f t="shared" si="0"/>
        <v>2033</v>
      </c>
      <c r="C156" s="111">
        <f>[21]С2.5!$R$11</f>
        <v>0</v>
      </c>
      <c r="D156" s="89"/>
    </row>
    <row r="157" spans="1:4" hidden="1" x14ac:dyDescent="0.2">
      <c r="B157" s="110">
        <f t="shared" si="0"/>
        <v>2034</v>
      </c>
      <c r="C157" s="111">
        <f>[21]С2.5!$S$11</f>
        <v>0</v>
      </c>
    </row>
    <row r="158" spans="1:4" hidden="1" x14ac:dyDescent="0.2">
      <c r="B158" s="110">
        <f t="shared" si="0"/>
        <v>2035</v>
      </c>
      <c r="C158" s="111">
        <f>[21]С2.5!$T$11</f>
        <v>0</v>
      </c>
    </row>
    <row r="159" spans="1:4" hidden="1" x14ac:dyDescent="0.2">
      <c r="B159" s="110">
        <f t="shared" si="0"/>
        <v>2036</v>
      </c>
      <c r="C159" s="111">
        <f>[21]С2.5!$U$11</f>
        <v>0</v>
      </c>
    </row>
    <row r="160" spans="1:4" hidden="1" x14ac:dyDescent="0.2">
      <c r="B160" s="110">
        <f t="shared" si="0"/>
        <v>2037</v>
      </c>
      <c r="C160" s="111">
        <f>[21]С2.5!$V$11</f>
        <v>0</v>
      </c>
    </row>
    <row r="161" spans="2:3" hidden="1" x14ac:dyDescent="0.2">
      <c r="B161" s="110">
        <f t="shared" si="0"/>
        <v>2038</v>
      </c>
      <c r="C161" s="111">
        <f>[21]С2.5!$W$11</f>
        <v>0</v>
      </c>
    </row>
    <row r="162" spans="2:3" hidden="1" x14ac:dyDescent="0.2">
      <c r="B162" s="110">
        <f t="shared" si="0"/>
        <v>2039</v>
      </c>
      <c r="C162" s="111">
        <f>[21]С2.5!$X$11</f>
        <v>0</v>
      </c>
    </row>
    <row r="163" spans="2:3" hidden="1" x14ac:dyDescent="0.2">
      <c r="B163" s="110">
        <f t="shared" si="0"/>
        <v>2040</v>
      </c>
      <c r="C163" s="111">
        <f>[21]С2.5!$Y$11</f>
        <v>0</v>
      </c>
    </row>
    <row r="164" spans="2:3" hidden="1" x14ac:dyDescent="0.2">
      <c r="B164" s="110">
        <f t="shared" si="0"/>
        <v>2041</v>
      </c>
      <c r="C164" s="111">
        <f>[21]С2.5!$Z$11</f>
        <v>0</v>
      </c>
    </row>
    <row r="165" spans="2:3" hidden="1" x14ac:dyDescent="0.2">
      <c r="B165" s="110">
        <f t="shared" si="0"/>
        <v>2042</v>
      </c>
      <c r="C165" s="111">
        <f>[21]С2.5!$AA$11</f>
        <v>0</v>
      </c>
    </row>
    <row r="166" spans="2:3" hidden="1" x14ac:dyDescent="0.2">
      <c r="B166" s="110">
        <f t="shared" si="0"/>
        <v>2043</v>
      </c>
      <c r="C166" s="111">
        <f>[21]С2.5!$AB$11</f>
        <v>0</v>
      </c>
    </row>
    <row r="167" spans="2:3" hidden="1" x14ac:dyDescent="0.2">
      <c r="B167" s="110">
        <f t="shared" si="0"/>
        <v>2044</v>
      </c>
      <c r="C167" s="111">
        <f>[21]С2.5!$AC$11</f>
        <v>0</v>
      </c>
    </row>
    <row r="168" spans="2:3" hidden="1" x14ac:dyDescent="0.2">
      <c r="B168" s="110">
        <f t="shared" si="0"/>
        <v>2045</v>
      </c>
      <c r="C168" s="111">
        <f>[21]С2.5!$AD$11</f>
        <v>0</v>
      </c>
    </row>
    <row r="169" spans="2:3" hidden="1" x14ac:dyDescent="0.2">
      <c r="B169" s="110">
        <f t="shared" si="0"/>
        <v>2046</v>
      </c>
      <c r="C169" s="111">
        <f>[21]С2.5!$AE$11</f>
        <v>0</v>
      </c>
    </row>
    <row r="170" spans="2:3" hidden="1" x14ac:dyDescent="0.2">
      <c r="B170" s="110">
        <f t="shared" si="0"/>
        <v>2047</v>
      </c>
      <c r="C170" s="111">
        <f>[21]С2.5!$AF$11</f>
        <v>0</v>
      </c>
    </row>
    <row r="171" spans="2:3" hidden="1" x14ac:dyDescent="0.2">
      <c r="B171" s="110">
        <f t="shared" si="0"/>
        <v>2048</v>
      </c>
      <c r="C171" s="111">
        <f>[21]С2.5!$AG$11</f>
        <v>0</v>
      </c>
    </row>
    <row r="172" spans="2:3" hidden="1" x14ac:dyDescent="0.2">
      <c r="B172" s="110">
        <f t="shared" si="0"/>
        <v>2049</v>
      </c>
      <c r="C172" s="111">
        <f>[21]С2.5!$AH$11</f>
        <v>0</v>
      </c>
    </row>
    <row r="173" spans="2:3" hidden="1" x14ac:dyDescent="0.2">
      <c r="B173" s="110">
        <f t="shared" si="0"/>
        <v>2050</v>
      </c>
      <c r="C173" s="111">
        <f>[21]С2.5!$AI$11</f>
        <v>0</v>
      </c>
    </row>
    <row r="174" spans="2:3" hidden="1" x14ac:dyDescent="0.2">
      <c r="B174" s="110">
        <f t="shared" si="0"/>
        <v>2051</v>
      </c>
      <c r="C174" s="111">
        <f>[21]С2.5!$AJ$11</f>
        <v>0</v>
      </c>
    </row>
    <row r="175" spans="2:3" hidden="1" x14ac:dyDescent="0.2">
      <c r="B175" s="110">
        <f t="shared" si="0"/>
        <v>2052</v>
      </c>
      <c r="C175" s="111">
        <f>[21]С2.5!$AK$11</f>
        <v>0</v>
      </c>
    </row>
    <row r="176" spans="2:3" hidden="1" x14ac:dyDescent="0.2">
      <c r="B176" s="110">
        <f t="shared" si="0"/>
        <v>2053</v>
      </c>
      <c r="C176" s="111">
        <f>[21]С2.5!$AL$11</f>
        <v>0</v>
      </c>
    </row>
    <row r="177" spans="2:3" hidden="1" x14ac:dyDescent="0.2">
      <c r="B177" s="110">
        <f t="shared" si="0"/>
        <v>2054</v>
      </c>
      <c r="C177" s="111">
        <f>[21]С2.5!$AM$11</f>
        <v>0</v>
      </c>
    </row>
    <row r="178" spans="2:3" hidden="1" x14ac:dyDescent="0.2">
      <c r="B178" s="110">
        <f t="shared" si="0"/>
        <v>2055</v>
      </c>
      <c r="C178" s="111">
        <f>[21]С2.5!$AN$11</f>
        <v>0</v>
      </c>
    </row>
    <row r="179" spans="2:3" hidden="1" x14ac:dyDescent="0.2">
      <c r="B179" s="110">
        <f t="shared" si="0"/>
        <v>2056</v>
      </c>
      <c r="C179" s="111">
        <f>[21]С2.5!$AO$11</f>
        <v>0</v>
      </c>
    </row>
    <row r="180" spans="2:3" hidden="1" x14ac:dyDescent="0.2">
      <c r="B180" s="110">
        <f t="shared" si="0"/>
        <v>2057</v>
      </c>
      <c r="C180" s="111">
        <f>[21]С2.5!$AP$11</f>
        <v>0</v>
      </c>
    </row>
    <row r="181" spans="2:3" hidden="1" x14ac:dyDescent="0.2">
      <c r="B181" s="110">
        <f t="shared" si="0"/>
        <v>2058</v>
      </c>
      <c r="C181" s="111">
        <f>[21]С2.5!$AQ$11</f>
        <v>0</v>
      </c>
    </row>
    <row r="182" spans="2:3" hidden="1" x14ac:dyDescent="0.2">
      <c r="B182" s="110">
        <f t="shared" si="0"/>
        <v>2059</v>
      </c>
      <c r="C182" s="111">
        <f>[21]С2.5!$AR$11</f>
        <v>0</v>
      </c>
    </row>
    <row r="183" spans="2:3" hidden="1" x14ac:dyDescent="0.2">
      <c r="B183" s="110">
        <f t="shared" si="0"/>
        <v>2060</v>
      </c>
      <c r="C183" s="111">
        <f>[21]С2.5!$AS$11</f>
        <v>0</v>
      </c>
    </row>
    <row r="184" spans="2:3" hidden="1" x14ac:dyDescent="0.2">
      <c r="B184" s="110">
        <f t="shared" si="0"/>
        <v>2061</v>
      </c>
      <c r="C184" s="111">
        <f>[21]С2.5!$AT$11</f>
        <v>0</v>
      </c>
    </row>
    <row r="185" spans="2:3" hidden="1" x14ac:dyDescent="0.2">
      <c r="B185" s="110">
        <f t="shared" si="0"/>
        <v>2062</v>
      </c>
      <c r="C185" s="111">
        <f>[21]С2.5!$AU$11</f>
        <v>0</v>
      </c>
    </row>
    <row r="186" spans="2:3" hidden="1" x14ac:dyDescent="0.2">
      <c r="B186" s="110">
        <f t="shared" si="0"/>
        <v>2063</v>
      </c>
      <c r="C186" s="111">
        <f>[21]С2.5!$AV$11</f>
        <v>0</v>
      </c>
    </row>
    <row r="187" spans="2:3" hidden="1" x14ac:dyDescent="0.2">
      <c r="B187" s="110">
        <f t="shared" si="0"/>
        <v>2064</v>
      </c>
      <c r="C187" s="111">
        <f>[21]С2.5!$AW$11</f>
        <v>0</v>
      </c>
    </row>
    <row r="188" spans="2:3" hidden="1" x14ac:dyDescent="0.2">
      <c r="B188" s="110">
        <f t="shared" si="0"/>
        <v>2065</v>
      </c>
      <c r="C188" s="111">
        <f>[21]С2.5!$AX$11</f>
        <v>0</v>
      </c>
    </row>
    <row r="189" spans="2:3" hidden="1" x14ac:dyDescent="0.2">
      <c r="B189" s="110">
        <f t="shared" si="0"/>
        <v>2066</v>
      </c>
      <c r="C189" s="111">
        <f>[21]С2.5!$AY$11</f>
        <v>0</v>
      </c>
    </row>
    <row r="190" spans="2:3" hidden="1" x14ac:dyDescent="0.2">
      <c r="B190" s="110">
        <f t="shared" si="0"/>
        <v>2067</v>
      </c>
      <c r="C190" s="111">
        <f>[21]С2.5!$AZ$11</f>
        <v>0</v>
      </c>
    </row>
    <row r="191" spans="2:3" hidden="1" x14ac:dyDescent="0.2">
      <c r="B191" s="110">
        <f t="shared" si="0"/>
        <v>2068</v>
      </c>
      <c r="C191" s="111">
        <f>[21]С2.5!$BA$11</f>
        <v>0</v>
      </c>
    </row>
    <row r="192" spans="2:3" hidden="1" x14ac:dyDescent="0.2">
      <c r="B192" s="110">
        <f t="shared" si="0"/>
        <v>2069</v>
      </c>
      <c r="C192" s="111">
        <f>[21]С2.5!$BB$11</f>
        <v>0</v>
      </c>
    </row>
    <row r="193" spans="2:3" hidden="1" x14ac:dyDescent="0.2">
      <c r="B193" s="110">
        <f t="shared" si="0"/>
        <v>2070</v>
      </c>
      <c r="C193" s="111">
        <f>[21]С2.5!$BC$11</f>
        <v>0</v>
      </c>
    </row>
    <row r="194" spans="2:3" hidden="1" x14ac:dyDescent="0.2">
      <c r="B194" s="110">
        <f t="shared" si="0"/>
        <v>2071</v>
      </c>
      <c r="C194" s="111">
        <f>[21]С2.5!$BD$11</f>
        <v>0</v>
      </c>
    </row>
    <row r="195" spans="2:3" hidden="1" x14ac:dyDescent="0.2">
      <c r="B195" s="110">
        <f t="shared" si="0"/>
        <v>2072</v>
      </c>
      <c r="C195" s="111">
        <f>[21]С2.5!$BE$11</f>
        <v>0</v>
      </c>
    </row>
    <row r="196" spans="2:3" hidden="1" x14ac:dyDescent="0.2">
      <c r="B196" s="110">
        <f t="shared" si="0"/>
        <v>2073</v>
      </c>
      <c r="C196" s="111">
        <f>[21]С2.5!$BF$11</f>
        <v>0</v>
      </c>
    </row>
    <row r="197" spans="2:3" hidden="1" x14ac:dyDescent="0.2">
      <c r="B197" s="110">
        <f t="shared" si="0"/>
        <v>2074</v>
      </c>
      <c r="C197" s="111">
        <f>[21]С2.5!$BG$11</f>
        <v>0</v>
      </c>
    </row>
    <row r="198" spans="2:3" hidden="1" x14ac:dyDescent="0.2">
      <c r="B198" s="110">
        <f t="shared" si="0"/>
        <v>2075</v>
      </c>
      <c r="C198" s="111">
        <f>[21]С2.5!$BH$11</f>
        <v>0</v>
      </c>
    </row>
    <row r="199" spans="2:3" hidden="1" x14ac:dyDescent="0.2">
      <c r="B199" s="110">
        <f t="shared" si="0"/>
        <v>2076</v>
      </c>
      <c r="C199" s="111">
        <f>[21]С2.5!$BI$11</f>
        <v>0</v>
      </c>
    </row>
    <row r="200" spans="2:3" hidden="1" x14ac:dyDescent="0.2">
      <c r="B200" s="110">
        <f t="shared" si="0"/>
        <v>2077</v>
      </c>
      <c r="C200" s="111">
        <f>[21]С2.5!$BJ$11</f>
        <v>0</v>
      </c>
    </row>
    <row r="201" spans="2:3" hidden="1" x14ac:dyDescent="0.2">
      <c r="B201" s="110">
        <f t="shared" si="0"/>
        <v>2078</v>
      </c>
      <c r="C201" s="111">
        <f>[21]С2.5!$BK$11</f>
        <v>0</v>
      </c>
    </row>
    <row r="202" spans="2:3" hidden="1" x14ac:dyDescent="0.2">
      <c r="B202" s="110">
        <f t="shared" si="0"/>
        <v>2079</v>
      </c>
      <c r="C202" s="111">
        <f>[21]С2.5!$BL$11</f>
        <v>0</v>
      </c>
    </row>
    <row r="203" spans="2:3" hidden="1" x14ac:dyDescent="0.2">
      <c r="B203" s="110">
        <f t="shared" si="0"/>
        <v>2080</v>
      </c>
      <c r="C203" s="111">
        <f>[21]С2.5!$BM$11</f>
        <v>0</v>
      </c>
    </row>
    <row r="204" spans="2:3" hidden="1" x14ac:dyDescent="0.2">
      <c r="B204" s="110">
        <f t="shared" si="0"/>
        <v>2081</v>
      </c>
      <c r="C204" s="111">
        <f>[21]С2.5!$BN$11</f>
        <v>0</v>
      </c>
    </row>
    <row r="205" spans="2:3" hidden="1" x14ac:dyDescent="0.2">
      <c r="B205" s="110">
        <f t="shared" si="0"/>
        <v>2082</v>
      </c>
      <c r="C205" s="111">
        <f>[21]С2.5!$BO$11</f>
        <v>0</v>
      </c>
    </row>
    <row r="206" spans="2:3" hidden="1" x14ac:dyDescent="0.2">
      <c r="B206" s="110">
        <f t="shared" si="0"/>
        <v>2083</v>
      </c>
      <c r="C206" s="111">
        <f>[21]С2.5!$BP$11</f>
        <v>0</v>
      </c>
    </row>
    <row r="207" spans="2:3" hidden="1" x14ac:dyDescent="0.2">
      <c r="B207" s="110">
        <f t="shared" si="0"/>
        <v>2084</v>
      </c>
      <c r="C207" s="111">
        <f>[21]С2.5!$BQ$11</f>
        <v>0</v>
      </c>
    </row>
    <row r="208" spans="2:3" hidden="1" x14ac:dyDescent="0.2">
      <c r="B208" s="110">
        <f t="shared" si="0"/>
        <v>2085</v>
      </c>
      <c r="C208" s="111">
        <f>[21]С2.5!$BR$11</f>
        <v>0</v>
      </c>
    </row>
    <row r="209" spans="2:3" hidden="1" x14ac:dyDescent="0.2">
      <c r="B209" s="110">
        <f t="shared" ref="B209:B223" si="1">B208+1</f>
        <v>2086</v>
      </c>
      <c r="C209" s="111">
        <f>[21]С2.5!$BS$11</f>
        <v>0</v>
      </c>
    </row>
    <row r="210" spans="2:3" hidden="1" x14ac:dyDescent="0.2">
      <c r="B210" s="110">
        <f t="shared" si="1"/>
        <v>2087</v>
      </c>
      <c r="C210" s="111">
        <f>[21]С2.5!$BT$11</f>
        <v>0</v>
      </c>
    </row>
    <row r="211" spans="2:3" hidden="1" x14ac:dyDescent="0.2">
      <c r="B211" s="110">
        <f t="shared" si="1"/>
        <v>2088</v>
      </c>
      <c r="C211" s="111">
        <f>[21]С2.5!$BU$11</f>
        <v>0</v>
      </c>
    </row>
    <row r="212" spans="2:3" hidden="1" x14ac:dyDescent="0.2">
      <c r="B212" s="110">
        <f t="shared" si="1"/>
        <v>2089</v>
      </c>
      <c r="C212" s="111">
        <f>[21]С2.5!$BV$11</f>
        <v>0</v>
      </c>
    </row>
    <row r="213" spans="2:3" hidden="1" x14ac:dyDescent="0.2">
      <c r="B213" s="110">
        <f t="shared" si="1"/>
        <v>2090</v>
      </c>
      <c r="C213" s="111">
        <f>[21]С2.5!$BW$11</f>
        <v>0</v>
      </c>
    </row>
    <row r="214" spans="2:3" hidden="1" x14ac:dyDescent="0.2">
      <c r="B214" s="110">
        <f t="shared" si="1"/>
        <v>2091</v>
      </c>
      <c r="C214" s="111">
        <f>[21]С2.5!$BX$11</f>
        <v>0</v>
      </c>
    </row>
    <row r="215" spans="2:3" hidden="1" x14ac:dyDescent="0.2">
      <c r="B215" s="110">
        <f t="shared" si="1"/>
        <v>2092</v>
      </c>
      <c r="C215" s="111">
        <f>[21]С2.5!$BY$11</f>
        <v>0</v>
      </c>
    </row>
    <row r="216" spans="2:3" hidden="1" x14ac:dyDescent="0.2">
      <c r="B216" s="110">
        <f t="shared" si="1"/>
        <v>2093</v>
      </c>
      <c r="C216" s="111">
        <f>[21]С2.5!$BZ$11</f>
        <v>0</v>
      </c>
    </row>
    <row r="217" spans="2:3" hidden="1" x14ac:dyDescent="0.2">
      <c r="B217" s="110">
        <f t="shared" si="1"/>
        <v>2094</v>
      </c>
      <c r="C217" s="111">
        <f>[21]С2.5!$CA$11</f>
        <v>0</v>
      </c>
    </row>
    <row r="218" spans="2:3" hidden="1" x14ac:dyDescent="0.2">
      <c r="B218" s="110">
        <f t="shared" si="1"/>
        <v>2095</v>
      </c>
      <c r="C218" s="111">
        <f>[21]С2.5!$CB$11</f>
        <v>0</v>
      </c>
    </row>
    <row r="219" spans="2:3" hidden="1" x14ac:dyDescent="0.2">
      <c r="B219" s="110">
        <f t="shared" si="1"/>
        <v>2096</v>
      </c>
      <c r="C219" s="111">
        <f>[21]С2.5!$CC$11</f>
        <v>0</v>
      </c>
    </row>
    <row r="220" spans="2:3" hidden="1" x14ac:dyDescent="0.2">
      <c r="B220" s="110">
        <f t="shared" si="1"/>
        <v>2097</v>
      </c>
      <c r="C220" s="111">
        <f>[21]С2.5!$CD$11</f>
        <v>0</v>
      </c>
    </row>
    <row r="221" spans="2:3" hidden="1" x14ac:dyDescent="0.2">
      <c r="B221" s="110">
        <f t="shared" si="1"/>
        <v>2098</v>
      </c>
      <c r="C221" s="111">
        <f>[21]С2.5!$CE$11</f>
        <v>0</v>
      </c>
    </row>
    <row r="222" spans="2:3" hidden="1" x14ac:dyDescent="0.2">
      <c r="B222" s="110">
        <f t="shared" si="1"/>
        <v>2099</v>
      </c>
      <c r="C222" s="111">
        <f>[21]С2.5!$CF$11</f>
        <v>0</v>
      </c>
    </row>
    <row r="223" spans="2:3" ht="13.5" hidden="1" thickBot="1" x14ac:dyDescent="0.25">
      <c r="B223" s="112">
        <f t="shared" si="1"/>
        <v>2100</v>
      </c>
      <c r="C223" s="113">
        <f>[21]С2.5!$CG$11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8434" r:id="rId4" name="Button 2">
              <controlPr defaultSize="0" print="0" autoFill="0" autoPict="0" macro="[2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7.28515625" style="2" customWidth="1"/>
    <col min="2" max="2" width="100.7109375" style="2" customWidth="1"/>
    <col min="3" max="3" width="20.85546875" style="139"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3"/>
      <c r="B1" s="163" t="s">
        <v>227</v>
      </c>
      <c r="C1" s="163"/>
    </row>
    <row r="2" spans="1:3" x14ac:dyDescent="0.2">
      <c r="A2" s="3"/>
      <c r="B2" s="4" t="s">
        <v>1</v>
      </c>
      <c r="C2" s="5">
        <v>45317</v>
      </c>
    </row>
    <row r="3" spans="1:3" x14ac:dyDescent="0.2">
      <c r="A3" s="3"/>
      <c r="B3" s="117" t="s">
        <v>2</v>
      </c>
      <c r="C3" s="7"/>
    </row>
    <row r="4" spans="1:3" ht="25.5" x14ac:dyDescent="0.2">
      <c r="A4" s="8"/>
      <c r="B4" s="9" t="str">
        <f>[22]И1!D13</f>
        <v>Субъект Российской Федерации</v>
      </c>
      <c r="C4" s="10" t="str">
        <f>[22]И1!E13</f>
        <v>Новосибирская область</v>
      </c>
    </row>
    <row r="5" spans="1:3" ht="48.6" customHeight="1" x14ac:dyDescent="0.2">
      <c r="A5" s="8"/>
      <c r="B5" s="9" t="str">
        <f>[22]И1!D14</f>
        <v>Тип муниципального образования (выберите из списка)</v>
      </c>
      <c r="C5" s="10" t="str">
        <f>[22]И1!E14</f>
        <v>поселок Чернореченский, Искитимский муниципальный район</v>
      </c>
    </row>
    <row r="6" spans="1:3" x14ac:dyDescent="0.2">
      <c r="A6" s="8"/>
      <c r="B6" s="9" t="str">
        <f>IF([22]И1!E15="","",[22]И1!D15)</f>
        <v/>
      </c>
      <c r="C6" s="7" t="str">
        <f>IF([22]И1!E15="","",[22]И1!E15)</f>
        <v/>
      </c>
    </row>
    <row r="7" spans="1:3" x14ac:dyDescent="0.2">
      <c r="A7" s="8"/>
      <c r="B7" s="9" t="str">
        <f>[22]И1!D16</f>
        <v>Код ОКТМО</v>
      </c>
      <c r="C7" s="11" t="str">
        <f>[22]И1!E16</f>
        <v xml:space="preserve"> (50615437101)</v>
      </c>
    </row>
    <row r="8" spans="1:3" x14ac:dyDescent="0.2">
      <c r="A8" s="8"/>
      <c r="B8" s="12" t="str">
        <f>[22]И1!D17</f>
        <v>Система теплоснабжения</v>
      </c>
      <c r="C8" s="13">
        <f>[22]И1!E17</f>
        <v>0</v>
      </c>
    </row>
    <row r="9" spans="1:3" x14ac:dyDescent="0.2">
      <c r="A9" s="8"/>
      <c r="B9" s="9" t="str">
        <f>[22]И1!D8</f>
        <v>Период регулирования (i)-й</v>
      </c>
      <c r="C9" s="14">
        <f>[22]И1!E8</f>
        <v>2024</v>
      </c>
    </row>
    <row r="10" spans="1:3" x14ac:dyDescent="0.2">
      <c r="A10" s="8"/>
      <c r="B10" s="9" t="str">
        <f>[22]И1!D9</f>
        <v>Период регулирования (i-1)-й</v>
      </c>
      <c r="C10" s="14">
        <f>[22]И1!E9</f>
        <v>2023</v>
      </c>
    </row>
    <row r="11" spans="1:3" x14ac:dyDescent="0.2">
      <c r="A11" s="8"/>
      <c r="B11" s="9" t="str">
        <f>[22]И1!D10</f>
        <v>Период регулирования (i-2)-й</v>
      </c>
      <c r="C11" s="14">
        <f>[22]И1!E10</f>
        <v>2022</v>
      </c>
    </row>
    <row r="12" spans="1:3" x14ac:dyDescent="0.2">
      <c r="A12" s="8"/>
      <c r="B12" s="9" t="str">
        <f>[22]И1!D11</f>
        <v>Базовый год (б)</v>
      </c>
      <c r="C12" s="14">
        <f>[22]И1!E11</f>
        <v>2019</v>
      </c>
    </row>
    <row r="13" spans="1:3" x14ac:dyDescent="0.2">
      <c r="A13" s="8"/>
      <c r="B13" s="9" t="str">
        <f>[22]И1!D18</f>
        <v>Вид топлива, использование которого преобладает в системе теплоснабжения</v>
      </c>
      <c r="C13" s="15" t="str">
        <f>[22]И1!E18</f>
        <v>Газ</v>
      </c>
    </row>
    <row r="14" spans="1:3" ht="26.25" customHeight="1" thickBot="1" x14ac:dyDescent="0.25">
      <c r="A14" s="167" t="s">
        <v>3</v>
      </c>
      <c r="B14" s="167"/>
      <c r="C14" s="16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2939.204068798766</v>
      </c>
    </row>
    <row r="18" spans="1:3" ht="42.75" x14ac:dyDescent="0.2">
      <c r="A18" s="22" t="s">
        <v>8</v>
      </c>
      <c r="B18" s="25" t="s">
        <v>9</v>
      </c>
      <c r="C18" s="26">
        <f>[22]С1!F12</f>
        <v>994.35037159416254</v>
      </c>
    </row>
    <row r="19" spans="1:3" ht="42.75" x14ac:dyDescent="0.2">
      <c r="A19" s="22" t="s">
        <v>10</v>
      </c>
      <c r="B19" s="25" t="s">
        <v>11</v>
      </c>
      <c r="C19" s="26">
        <f>[22]С2!F12</f>
        <v>1338.5714783459885</v>
      </c>
    </row>
    <row r="20" spans="1:3" ht="30" x14ac:dyDescent="0.2">
      <c r="A20" s="22" t="s">
        <v>12</v>
      </c>
      <c r="B20" s="25" t="s">
        <v>13</v>
      </c>
      <c r="C20" s="26">
        <f>[22]С3!F12</f>
        <v>317.98065232680995</v>
      </c>
    </row>
    <row r="21" spans="1:3" ht="42.75" x14ac:dyDescent="0.2">
      <c r="A21" s="22" t="s">
        <v>14</v>
      </c>
      <c r="B21" s="25" t="s">
        <v>228</v>
      </c>
      <c r="C21" s="26">
        <f>[22]С4!F12</f>
        <v>230.67011420241766</v>
      </c>
    </row>
    <row r="22" spans="1:3" ht="33" customHeight="1" x14ac:dyDescent="0.2">
      <c r="A22" s="22" t="s">
        <v>16</v>
      </c>
      <c r="B22" s="25" t="s">
        <v>229</v>
      </c>
      <c r="C22" s="26">
        <f>[22]С5!F12</f>
        <v>57.631452329387571</v>
      </c>
    </row>
    <row r="23" spans="1:3" ht="45.75" customHeight="1" thickBot="1" x14ac:dyDescent="0.25">
      <c r="A23" s="27" t="s">
        <v>18</v>
      </c>
      <c r="B23" s="140" t="s">
        <v>230</v>
      </c>
      <c r="C23" s="28">
        <f>[22]С6!F12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64" t="s">
        <v>20</v>
      </c>
      <c r="C27" s="164"/>
    </row>
    <row r="28" spans="1:3" x14ac:dyDescent="0.2">
      <c r="A28" s="22" t="s">
        <v>8</v>
      </c>
      <c r="B28" s="33" t="s">
        <v>231</v>
      </c>
      <c r="C28" s="34">
        <f>[22]С1.1!E16</f>
        <v>7900</v>
      </c>
    </row>
    <row r="29" spans="1:3" ht="42.75" x14ac:dyDescent="0.2">
      <c r="A29" s="22" t="s">
        <v>10</v>
      </c>
      <c r="B29" s="33" t="s">
        <v>232</v>
      </c>
      <c r="C29" s="34">
        <f>[22]С1.1!E32</f>
        <v>5751.37</v>
      </c>
    </row>
    <row r="30" spans="1:3" ht="38.25" x14ac:dyDescent="0.2">
      <c r="A30" s="22" t="s">
        <v>233</v>
      </c>
      <c r="B30" s="33" t="s">
        <v>234</v>
      </c>
      <c r="C30" s="85" t="str">
        <f>[22]С1.1!E25</f>
        <v>ООО "Газпром газораспределение Томск"</v>
      </c>
    </row>
    <row r="31" spans="1:3" ht="38.25" x14ac:dyDescent="0.2">
      <c r="A31" s="22" t="s">
        <v>235</v>
      </c>
      <c r="B31" s="33" t="str">
        <f>[22]С1.1!D26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[22]С1.1!E26</f>
        <v>4699.5</v>
      </c>
    </row>
    <row r="32" spans="1:3" ht="25.5" x14ac:dyDescent="0.2">
      <c r="A32" s="22" t="s">
        <v>236</v>
      </c>
      <c r="B32" s="33" t="str">
        <f>[22]С1.1!D27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[22]С1.1!E27</f>
        <v>795.43</v>
      </c>
    </row>
    <row r="33" spans="1:3" ht="25.5" x14ac:dyDescent="0.2">
      <c r="A33" s="22" t="s">
        <v>237</v>
      </c>
      <c r="B33" s="33" t="str">
        <f>[22]С1.1!D28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[22]С1.1!E28</f>
        <v>136.54</v>
      </c>
    </row>
    <row r="34" spans="1:3" ht="38.25" x14ac:dyDescent="0.2">
      <c r="A34" s="22" t="s">
        <v>238</v>
      </c>
      <c r="B34" s="33" t="str">
        <f>[22]С1.1!D29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[22]С1.1!E29</f>
        <v>119.9</v>
      </c>
    </row>
    <row r="35" spans="1:3" ht="17.25" x14ac:dyDescent="0.2">
      <c r="A35" s="22" t="s">
        <v>12</v>
      </c>
      <c r="B35" s="33" t="s">
        <v>23</v>
      </c>
      <c r="C35" s="35">
        <f>[22]С1.1!E20</f>
        <v>8.5000000000000006E-2</v>
      </c>
    </row>
    <row r="36" spans="1:3" ht="17.25" x14ac:dyDescent="0.2">
      <c r="A36" s="22" t="s">
        <v>14</v>
      </c>
      <c r="B36" s="33" t="s">
        <v>24</v>
      </c>
      <c r="C36" s="35">
        <f>[22]С1.1!E21</f>
        <v>0.112</v>
      </c>
    </row>
    <row r="37" spans="1:3" ht="30" x14ac:dyDescent="0.2">
      <c r="A37" s="22" t="s">
        <v>16</v>
      </c>
      <c r="B37" s="36" t="s">
        <v>239</v>
      </c>
      <c r="C37" s="121">
        <f>[22]С1!F13</f>
        <v>156.1</v>
      </c>
    </row>
    <row r="38" spans="1:3" x14ac:dyDescent="0.2">
      <c r="A38" s="22" t="s">
        <v>18</v>
      </c>
      <c r="B38" s="36" t="s">
        <v>26</v>
      </c>
      <c r="C38" s="38">
        <f>[22]С1!F16</f>
        <v>7000</v>
      </c>
    </row>
    <row r="39" spans="1:3" ht="14.25" x14ac:dyDescent="0.2">
      <c r="A39" s="122" t="s">
        <v>27</v>
      </c>
      <c r="B39" s="39" t="s">
        <v>240</v>
      </c>
      <c r="C39" s="40">
        <f>[22]С1!F17</f>
        <v>1.1285714285714286</v>
      </c>
    </row>
    <row r="40" spans="1:3" ht="15.75" x14ac:dyDescent="0.2">
      <c r="A40" s="123" t="s">
        <v>29</v>
      </c>
      <c r="B40" s="42" t="s">
        <v>30</v>
      </c>
      <c r="C40" s="40">
        <f>[22]С1!F20</f>
        <v>22.307053372799995</v>
      </c>
    </row>
    <row r="41" spans="1:3" ht="15.75" x14ac:dyDescent="0.2">
      <c r="A41" s="123" t="s">
        <v>31</v>
      </c>
      <c r="B41" s="43" t="s">
        <v>32</v>
      </c>
      <c r="C41" s="40">
        <f>[22]С1!F21</f>
        <v>21.531904799999996</v>
      </c>
    </row>
    <row r="42" spans="1:3" ht="14.25" x14ac:dyDescent="0.2">
      <c r="A42" s="123" t="s">
        <v>33</v>
      </c>
      <c r="B42" s="44" t="s">
        <v>34</v>
      </c>
      <c r="C42" s="40">
        <f>[22]С1!F22</f>
        <v>1.036</v>
      </c>
    </row>
    <row r="43" spans="1:3" ht="53.25" thickBot="1" x14ac:dyDescent="0.25">
      <c r="A43" s="27" t="s">
        <v>35</v>
      </c>
      <c r="B43" s="45" t="s">
        <v>36</v>
      </c>
      <c r="C43" s="46" t="str">
        <f>[22]С1!F23</f>
        <v>-</v>
      </c>
    </row>
    <row r="44" spans="1:3" ht="13.5" thickBot="1" x14ac:dyDescent="0.25">
      <c r="A44" s="47"/>
      <c r="B44" s="75"/>
      <c r="C44" s="15"/>
    </row>
    <row r="45" spans="1:3" ht="30" customHeight="1" x14ac:dyDescent="0.2">
      <c r="A45" s="50" t="s">
        <v>37</v>
      </c>
      <c r="B45" s="165" t="s">
        <v>38</v>
      </c>
      <c r="C45" s="165"/>
    </row>
    <row r="46" spans="1:3" ht="25.5" x14ac:dyDescent="0.2">
      <c r="A46" s="22" t="s">
        <v>39</v>
      </c>
      <c r="B46" s="36" t="s">
        <v>40</v>
      </c>
      <c r="C46" s="51" t="str">
        <f>[22]С2.1!E12</f>
        <v>V</v>
      </c>
    </row>
    <row r="47" spans="1:3" ht="25.5" x14ac:dyDescent="0.2">
      <c r="A47" s="22" t="s">
        <v>41</v>
      </c>
      <c r="B47" s="33" t="s">
        <v>42</v>
      </c>
      <c r="C47" s="51" t="str">
        <f>[22]С2.1!E13</f>
        <v>6 и менее баллов</v>
      </c>
    </row>
    <row r="48" spans="1:3" ht="25.5" x14ac:dyDescent="0.2">
      <c r="A48" s="22" t="s">
        <v>43</v>
      </c>
      <c r="B48" s="33" t="s">
        <v>241</v>
      </c>
      <c r="C48" s="51" t="str">
        <f>[22]С2.1!E14</f>
        <v>от 200 до 500</v>
      </c>
    </row>
    <row r="49" spans="1:3" ht="25.5" x14ac:dyDescent="0.2">
      <c r="A49" s="22" t="s">
        <v>45</v>
      </c>
      <c r="B49" s="33" t="s">
        <v>242</v>
      </c>
      <c r="C49" s="52" t="str">
        <f>[22]С2.1!E15</f>
        <v>нет</v>
      </c>
    </row>
    <row r="50" spans="1:3" ht="30" x14ac:dyDescent="0.2">
      <c r="A50" s="22" t="s">
        <v>47</v>
      </c>
      <c r="B50" s="33" t="s">
        <v>48</v>
      </c>
      <c r="C50" s="34">
        <f>[22]С2!F18</f>
        <v>35106.652004551666</v>
      </c>
    </row>
    <row r="51" spans="1:3" ht="30" x14ac:dyDescent="0.2">
      <c r="A51" s="22" t="s">
        <v>49</v>
      </c>
      <c r="B51" s="53" t="s">
        <v>50</v>
      </c>
      <c r="C51" s="34">
        <f>IF([22]С2!F19&gt;0,[22]С2!F19,[22]С2!F20)</f>
        <v>23441.524932855718</v>
      </c>
    </row>
    <row r="52" spans="1:3" ht="25.5" x14ac:dyDescent="0.2">
      <c r="A52" s="22" t="s">
        <v>51</v>
      </c>
      <c r="B52" s="54" t="s">
        <v>52</v>
      </c>
      <c r="C52" s="34">
        <f>[22]С2.1!E20</f>
        <v>-38</v>
      </c>
    </row>
    <row r="53" spans="1:3" ht="25.5" x14ac:dyDescent="0.2">
      <c r="A53" s="22" t="s">
        <v>53</v>
      </c>
      <c r="B53" s="54" t="s">
        <v>54</v>
      </c>
      <c r="C53" s="34" t="str">
        <f>[22]С2.1!E23</f>
        <v>нет</v>
      </c>
    </row>
    <row r="54" spans="1:3" ht="38.25" x14ac:dyDescent="0.2">
      <c r="A54" s="22" t="s">
        <v>55</v>
      </c>
      <c r="B54" s="55" t="s">
        <v>56</v>
      </c>
      <c r="C54" s="34">
        <f>[22]С2.2!E10</f>
        <v>1287</v>
      </c>
    </row>
    <row r="55" spans="1:3" ht="25.5" x14ac:dyDescent="0.2">
      <c r="A55" s="22" t="s">
        <v>57</v>
      </c>
      <c r="B55" s="56" t="s">
        <v>58</v>
      </c>
      <c r="C55" s="34">
        <f>[22]С2.2!E12</f>
        <v>5.97</v>
      </c>
    </row>
    <row r="56" spans="1:3" ht="52.5" x14ac:dyDescent="0.2">
      <c r="A56" s="22" t="s">
        <v>59</v>
      </c>
      <c r="B56" s="57" t="s">
        <v>60</v>
      </c>
      <c r="C56" s="34">
        <f>[22]С2.2!E13</f>
        <v>1</v>
      </c>
    </row>
    <row r="57" spans="1:3" ht="27.75" x14ac:dyDescent="0.2">
      <c r="A57" s="22" t="s">
        <v>61</v>
      </c>
      <c r="B57" s="56" t="s">
        <v>62</v>
      </c>
      <c r="C57" s="34">
        <f>[22]С2.2!E14</f>
        <v>12104</v>
      </c>
    </row>
    <row r="58" spans="1:3" ht="25.5" x14ac:dyDescent="0.2">
      <c r="A58" s="22" t="s">
        <v>63</v>
      </c>
      <c r="B58" s="57" t="s">
        <v>64</v>
      </c>
      <c r="C58" s="35">
        <f>[22]С2.2!E15</f>
        <v>4.8000000000000001E-2</v>
      </c>
    </row>
    <row r="59" spans="1:3" x14ac:dyDescent="0.2">
      <c r="A59" s="22" t="s">
        <v>65</v>
      </c>
      <c r="B59" s="57" t="s">
        <v>66</v>
      </c>
      <c r="C59" s="124">
        <f>[22]С2.2!E16</f>
        <v>1</v>
      </c>
    </row>
    <row r="60" spans="1:3" ht="15.75" x14ac:dyDescent="0.2">
      <c r="A60" s="22" t="s">
        <v>67</v>
      </c>
      <c r="B60" s="58" t="s">
        <v>68</v>
      </c>
      <c r="C60" s="34">
        <f>[22]С2!F21</f>
        <v>1</v>
      </c>
    </row>
    <row r="61" spans="1:3" ht="30" x14ac:dyDescent="0.2">
      <c r="A61" s="59" t="s">
        <v>69</v>
      </c>
      <c r="B61" s="33" t="s">
        <v>243</v>
      </c>
      <c r="C61" s="34">
        <f>[22]С2!F13</f>
        <v>105136.23090983224</v>
      </c>
    </row>
    <row r="62" spans="1:3" ht="30" x14ac:dyDescent="0.2">
      <c r="A62" s="59" t="s">
        <v>71</v>
      </c>
      <c r="B62" s="60" t="s">
        <v>244</v>
      </c>
      <c r="C62" s="34">
        <f>[22]С2!F14</f>
        <v>64899</v>
      </c>
    </row>
    <row r="63" spans="1:3" ht="15.75" x14ac:dyDescent="0.2">
      <c r="A63" s="59" t="s">
        <v>73</v>
      </c>
      <c r="B63" s="60" t="s">
        <v>74</v>
      </c>
      <c r="C63" s="40">
        <f>[22]С2!F15</f>
        <v>1.071</v>
      </c>
    </row>
    <row r="64" spans="1:3" ht="15.75" x14ac:dyDescent="0.2">
      <c r="A64" s="59" t="s">
        <v>75</v>
      </c>
      <c r="B64" s="60" t="s">
        <v>76</v>
      </c>
      <c r="C64" s="125">
        <f>[22]С2!F16</f>
        <v>1</v>
      </c>
    </row>
    <row r="65" spans="1:3" ht="17.25" x14ac:dyDescent="0.2">
      <c r="A65" s="59" t="s">
        <v>77</v>
      </c>
      <c r="B65" s="60" t="s">
        <v>78</v>
      </c>
      <c r="C65" s="126">
        <f>[22]С2!F17</f>
        <v>1.01</v>
      </c>
    </row>
    <row r="66" spans="1:3" s="63" customFormat="1" ht="14.25" x14ac:dyDescent="0.2">
      <c r="A66" s="59" t="s">
        <v>79</v>
      </c>
      <c r="B66" s="61" t="s">
        <v>80</v>
      </c>
      <c r="C66" s="62">
        <f>[22]С2!F35</f>
        <v>10</v>
      </c>
    </row>
    <row r="67" spans="1:3" ht="30" x14ac:dyDescent="0.2">
      <c r="A67" s="59" t="s">
        <v>81</v>
      </c>
      <c r="B67" s="64" t="s">
        <v>82</v>
      </c>
      <c r="C67" s="34">
        <f>[22]С2!F28</f>
        <v>331.04604307653443</v>
      </c>
    </row>
    <row r="68" spans="1:3" ht="17.25" x14ac:dyDescent="0.2">
      <c r="A68" s="59" t="s">
        <v>83</v>
      </c>
      <c r="B68" s="53" t="s">
        <v>245</v>
      </c>
      <c r="C68" s="40">
        <f>[22]С2!F29</f>
        <v>0.44209422600000003</v>
      </c>
    </row>
    <row r="69" spans="1:3" ht="17.25" x14ac:dyDescent="0.2">
      <c r="A69" s="59" t="s">
        <v>85</v>
      </c>
      <c r="B69" s="58" t="s">
        <v>246</v>
      </c>
      <c r="C69" s="62">
        <f>[22]С2!F30</f>
        <v>500</v>
      </c>
    </row>
    <row r="70" spans="1:3" ht="42.75" x14ac:dyDescent="0.2">
      <c r="A70" s="59" t="s">
        <v>87</v>
      </c>
      <c r="B70" s="33" t="s">
        <v>247</v>
      </c>
      <c r="C70" s="34">
        <f>[22]С2!F22</f>
        <v>39638.324046481182</v>
      </c>
    </row>
    <row r="71" spans="1:3" ht="30" x14ac:dyDescent="0.2">
      <c r="A71" s="59" t="s">
        <v>89</v>
      </c>
      <c r="B71" s="60" t="s">
        <v>248</v>
      </c>
      <c r="C71" s="34">
        <f>[22]С2!F23</f>
        <v>21</v>
      </c>
    </row>
    <row r="72" spans="1:3" ht="30" x14ac:dyDescent="0.2">
      <c r="A72" s="59" t="s">
        <v>91</v>
      </c>
      <c r="B72" s="53" t="s">
        <v>92</v>
      </c>
      <c r="C72" s="34">
        <f>[22]С2.1!E28</f>
        <v>14036.09995</v>
      </c>
    </row>
    <row r="73" spans="1:3" ht="38.25" x14ac:dyDescent="0.2">
      <c r="A73" s="59" t="s">
        <v>93</v>
      </c>
      <c r="B73" s="65" t="s">
        <v>94</v>
      </c>
      <c r="C73" s="52">
        <f>[22]С2.3!E21</f>
        <v>0</v>
      </c>
    </row>
    <row r="74" spans="1:3" ht="25.5" x14ac:dyDescent="0.2">
      <c r="A74" s="59" t="s">
        <v>95</v>
      </c>
      <c r="B74" s="66" t="s">
        <v>96</v>
      </c>
      <c r="C74" s="67">
        <f>[22]С2.3!E11</f>
        <v>5.45</v>
      </c>
    </row>
    <row r="75" spans="1:3" ht="25.5" x14ac:dyDescent="0.2">
      <c r="A75" s="59" t="s">
        <v>97</v>
      </c>
      <c r="B75" s="66" t="s">
        <v>98</v>
      </c>
      <c r="C75" s="62">
        <f>[22]С2.3!E13</f>
        <v>300</v>
      </c>
    </row>
    <row r="76" spans="1:3" ht="25.5" x14ac:dyDescent="0.2">
      <c r="A76" s="59" t="s">
        <v>99</v>
      </c>
      <c r="B76" s="65" t="s">
        <v>100</v>
      </c>
      <c r="C76" s="68">
        <f>IF([22]С2.3!E22&gt;0,[22]С2.3!E22,[22]С2.3!E14)</f>
        <v>61211</v>
      </c>
    </row>
    <row r="77" spans="1:3" ht="38.25" x14ac:dyDescent="0.2">
      <c r="A77" s="59" t="s">
        <v>101</v>
      </c>
      <c r="B77" s="65" t="s">
        <v>102</v>
      </c>
      <c r="C77" s="68">
        <f>IF([22]С2.3!E23&gt;0,[22]С2.3!E23,[22]С2.3!E15)</f>
        <v>45675</v>
      </c>
    </row>
    <row r="78" spans="1:3" ht="30" x14ac:dyDescent="0.2">
      <c r="A78" s="59" t="s">
        <v>103</v>
      </c>
      <c r="B78" s="53" t="s">
        <v>104</v>
      </c>
      <c r="C78" s="34">
        <f>[22]С2.1!E29</f>
        <v>9518.3274000000001</v>
      </c>
    </row>
    <row r="79" spans="1:3" ht="38.25" x14ac:dyDescent="0.2">
      <c r="A79" s="59" t="s">
        <v>105</v>
      </c>
      <c r="B79" s="65" t="s">
        <v>106</v>
      </c>
      <c r="C79" s="52">
        <f>[22]С2.3!E25</f>
        <v>0</v>
      </c>
    </row>
    <row r="80" spans="1:3" ht="25.5" x14ac:dyDescent="0.2">
      <c r="A80" s="59" t="s">
        <v>107</v>
      </c>
      <c r="B80" s="66" t="s">
        <v>108</v>
      </c>
      <c r="C80" s="67">
        <f>[22]С2.3!E12</f>
        <v>0.2</v>
      </c>
    </row>
    <row r="81" spans="1:3" ht="25.5" x14ac:dyDescent="0.2">
      <c r="A81" s="59" t="s">
        <v>109</v>
      </c>
      <c r="B81" s="66" t="s">
        <v>98</v>
      </c>
      <c r="C81" s="62">
        <f>[22]С2.3!E13</f>
        <v>300</v>
      </c>
    </row>
    <row r="82" spans="1:3" ht="25.5" x14ac:dyDescent="0.2">
      <c r="A82" s="59" t="s">
        <v>110</v>
      </c>
      <c r="B82" s="69" t="s">
        <v>111</v>
      </c>
      <c r="C82" s="68">
        <f>IF([22]С2.3!E26&gt;0,[22]С2.3!E26,[22]С2.3!E16)</f>
        <v>65637</v>
      </c>
    </row>
    <row r="83" spans="1:3" ht="38.25" x14ac:dyDescent="0.2">
      <c r="A83" s="59" t="s">
        <v>112</v>
      </c>
      <c r="B83" s="69" t="s">
        <v>113</v>
      </c>
      <c r="C83" s="68">
        <f>IF([22]С2.3!E27&gt;0,[22]С2.3!E27,[22]С2.3!E17)</f>
        <v>31684</v>
      </c>
    </row>
    <row r="84" spans="1:3" ht="30" x14ac:dyDescent="0.2">
      <c r="A84" s="59" t="s">
        <v>249</v>
      </c>
      <c r="B84" s="60" t="s">
        <v>250</v>
      </c>
      <c r="C84" s="68">
        <f>IF([22]С2.1!E19&gt;0,[22]С2.1!E19,[22]С2!F26)</f>
        <v>2892</v>
      </c>
    </row>
    <row r="85" spans="1:3" ht="17.25" x14ac:dyDescent="0.2">
      <c r="A85" s="59" t="s">
        <v>114</v>
      </c>
      <c r="B85" s="33" t="s">
        <v>115</v>
      </c>
      <c r="C85" s="35">
        <f>[22]С2!F31</f>
        <v>9.5962865259740182E-2</v>
      </c>
    </row>
    <row r="86" spans="1:3" ht="30" x14ac:dyDescent="0.2">
      <c r="A86" s="59" t="s">
        <v>116</v>
      </c>
      <c r="B86" s="53" t="s">
        <v>117</v>
      </c>
      <c r="C86" s="70">
        <f>[22]С2!F32</f>
        <v>8.4029304029304031E-2</v>
      </c>
    </row>
    <row r="87" spans="1:3" ht="17.25" x14ac:dyDescent="0.2">
      <c r="A87" s="59" t="s">
        <v>118</v>
      </c>
      <c r="B87" s="71" t="s">
        <v>119</v>
      </c>
      <c r="C87" s="35">
        <f>[22]С2!F33</f>
        <v>0.13880000000000001</v>
      </c>
    </row>
    <row r="88" spans="1:3" s="63" customFormat="1" ht="18" thickBot="1" x14ac:dyDescent="0.25">
      <c r="A88" s="72" t="s">
        <v>120</v>
      </c>
      <c r="B88" s="73" t="s">
        <v>121</v>
      </c>
      <c r="C88" s="74">
        <f>[22]С2!F34</f>
        <v>0.12640000000000001</v>
      </c>
    </row>
    <row r="89" spans="1:3" ht="13.5" thickBot="1" x14ac:dyDescent="0.25">
      <c r="A89" s="47"/>
      <c r="B89" s="75"/>
      <c r="C89" s="15"/>
    </row>
    <row r="90" spans="1:3" s="63" customFormat="1" ht="30" customHeight="1" x14ac:dyDescent="0.2">
      <c r="A90" s="76" t="s">
        <v>122</v>
      </c>
      <c r="B90" s="165" t="s">
        <v>123</v>
      </c>
      <c r="C90" s="165"/>
    </row>
    <row r="91" spans="1:3" s="63" customFormat="1" ht="30" x14ac:dyDescent="0.2">
      <c r="A91" s="77" t="s">
        <v>124</v>
      </c>
      <c r="B91" s="33" t="s">
        <v>125</v>
      </c>
      <c r="C91" s="34">
        <f>[22]С3!F14</f>
        <v>4207.4782939208517</v>
      </c>
    </row>
    <row r="92" spans="1:3" s="63" customFormat="1" ht="42.75" x14ac:dyDescent="0.2">
      <c r="A92" s="77" t="s">
        <v>126</v>
      </c>
      <c r="B92" s="53" t="s">
        <v>127</v>
      </c>
      <c r="C92" s="78">
        <f>[22]С3!F15</f>
        <v>0.2</v>
      </c>
    </row>
    <row r="93" spans="1:3" s="63" customFormat="1" ht="14.25" x14ac:dyDescent="0.2">
      <c r="A93" s="77" t="s">
        <v>128</v>
      </c>
      <c r="B93" s="79" t="s">
        <v>129</v>
      </c>
      <c r="C93" s="62">
        <f>[22]С3!F18</f>
        <v>15</v>
      </c>
    </row>
    <row r="94" spans="1:3" s="63" customFormat="1" ht="17.25" x14ac:dyDescent="0.2">
      <c r="A94" s="77" t="s">
        <v>130</v>
      </c>
      <c r="B94" s="33" t="s">
        <v>131</v>
      </c>
      <c r="C94" s="34">
        <f>[22]С3!F19</f>
        <v>2638.2577020926874</v>
      </c>
    </row>
    <row r="95" spans="1:3" s="63" customFormat="1" ht="55.5" x14ac:dyDescent="0.2">
      <c r="A95" s="77" t="s">
        <v>132</v>
      </c>
      <c r="B95" s="53" t="s">
        <v>133</v>
      </c>
      <c r="C95" s="80">
        <f>[22]С3!F20</f>
        <v>2.1999999999999999E-2</v>
      </c>
    </row>
    <row r="96" spans="1:3" s="63" customFormat="1" ht="14.25" x14ac:dyDescent="0.2">
      <c r="A96" s="77" t="s">
        <v>134</v>
      </c>
      <c r="B96" s="58" t="s">
        <v>80</v>
      </c>
      <c r="C96" s="62">
        <f>[22]С3!F21</f>
        <v>10</v>
      </c>
    </row>
    <row r="97" spans="1:3" s="63" customFormat="1" ht="17.25" x14ac:dyDescent="0.2">
      <c r="A97" s="77" t="s">
        <v>135</v>
      </c>
      <c r="B97" s="33" t="s">
        <v>136</v>
      </c>
      <c r="C97" s="34">
        <f>[22]С3!F22</f>
        <v>0.99313812922960332</v>
      </c>
    </row>
    <row r="98" spans="1:3" s="63" customFormat="1" ht="55.5" x14ac:dyDescent="0.2">
      <c r="A98" s="77" t="s">
        <v>137</v>
      </c>
      <c r="B98" s="53" t="s">
        <v>138</v>
      </c>
      <c r="C98" s="80">
        <f>[22]С3!F23</f>
        <v>3.0000000000000001E-3</v>
      </c>
    </row>
    <row r="99" spans="1:3" s="63" customFormat="1" ht="30.75" thickBot="1" x14ac:dyDescent="0.25">
      <c r="A99" s="81" t="s">
        <v>139</v>
      </c>
      <c r="B99" s="82" t="s">
        <v>82</v>
      </c>
      <c r="C99" s="83">
        <f>[22]С3!F24</f>
        <v>331.04604307653443</v>
      </c>
    </row>
    <row r="100" spans="1:3" ht="13.5" thickBot="1" x14ac:dyDescent="0.25">
      <c r="A100" s="47"/>
      <c r="B100" s="75"/>
      <c r="C100" s="15"/>
    </row>
    <row r="101" spans="1:3" ht="30" customHeight="1" x14ac:dyDescent="0.2">
      <c r="A101" s="84" t="s">
        <v>141</v>
      </c>
      <c r="B101" s="165" t="s">
        <v>142</v>
      </c>
      <c r="C101" s="165"/>
    </row>
    <row r="102" spans="1:3" ht="30" x14ac:dyDescent="0.2">
      <c r="A102" s="59" t="s">
        <v>143</v>
      </c>
      <c r="B102" s="33" t="s">
        <v>251</v>
      </c>
      <c r="C102" s="34">
        <f>[22]С4!F16</f>
        <v>832.33500000000004</v>
      </c>
    </row>
    <row r="103" spans="1:3" ht="30" x14ac:dyDescent="0.2">
      <c r="A103" s="59" t="s">
        <v>145</v>
      </c>
      <c r="B103" s="58" t="s">
        <v>252</v>
      </c>
      <c r="C103" s="34">
        <f>[22]С4!F17</f>
        <v>43385</v>
      </c>
    </row>
    <row r="104" spans="1:3" ht="17.25" x14ac:dyDescent="0.2">
      <c r="A104" s="59" t="s">
        <v>147</v>
      </c>
      <c r="B104" s="58" t="s">
        <v>148</v>
      </c>
      <c r="C104" s="40">
        <f>[22]С4!F18</f>
        <v>1.4999999999999999E-2</v>
      </c>
    </row>
    <row r="105" spans="1:3" ht="30" x14ac:dyDescent="0.2">
      <c r="A105" s="59" t="s">
        <v>149</v>
      </c>
      <c r="B105" s="58" t="s">
        <v>150</v>
      </c>
      <c r="C105" s="34">
        <f>[22]С4!F19</f>
        <v>12104</v>
      </c>
    </row>
    <row r="106" spans="1:3" ht="31.5" x14ac:dyDescent="0.2">
      <c r="A106" s="59" t="s">
        <v>151</v>
      </c>
      <c r="B106" s="58" t="s">
        <v>152</v>
      </c>
      <c r="C106" s="40">
        <f>[22]С4!F20</f>
        <v>1.4999999999999999E-2</v>
      </c>
    </row>
    <row r="107" spans="1:3" ht="30" x14ac:dyDescent="0.2">
      <c r="A107" s="59" t="s">
        <v>153</v>
      </c>
      <c r="B107" s="33" t="s">
        <v>253</v>
      </c>
      <c r="C107" s="34">
        <f>[22]С4!F21</f>
        <v>1221.9019409821399</v>
      </c>
    </row>
    <row r="108" spans="1:3" ht="45.6" customHeight="1" x14ac:dyDescent="0.2">
      <c r="A108" s="59" t="s">
        <v>155</v>
      </c>
      <c r="B108" s="53" t="s">
        <v>156</v>
      </c>
      <c r="C108" s="85" t="str">
        <f>IF([22]С4.2!F8="да",[22]С4.2!D21,[22]С4.2!D15)</f>
        <v>АО "Новосибирскэнергосбыт"</v>
      </c>
    </row>
    <row r="109" spans="1:3" ht="68.25" customHeight="1" x14ac:dyDescent="0.2">
      <c r="A109" s="59" t="s">
        <v>157</v>
      </c>
      <c r="B109" s="53" t="s">
        <v>158</v>
      </c>
      <c r="C109" s="34">
        <f>[22]С4!F22</f>
        <v>3.6112641666666665</v>
      </c>
    </row>
    <row r="110" spans="1:3" ht="30" x14ac:dyDescent="0.2">
      <c r="A110" s="59" t="s">
        <v>159</v>
      </c>
      <c r="B110" s="58" t="s">
        <v>254</v>
      </c>
      <c r="C110" s="62">
        <f>[22]С4!F23</f>
        <v>110</v>
      </c>
    </row>
    <row r="111" spans="1:3" ht="14.25" x14ac:dyDescent="0.2">
      <c r="A111" s="59" t="s">
        <v>161</v>
      </c>
      <c r="B111" s="53" t="s">
        <v>162</v>
      </c>
      <c r="C111" s="34">
        <f>[22]С4!F24</f>
        <v>8497.1999999999989</v>
      </c>
    </row>
    <row r="112" spans="1:3" ht="14.25" x14ac:dyDescent="0.2">
      <c r="A112" s="59" t="s">
        <v>163</v>
      </c>
      <c r="B112" s="58" t="s">
        <v>164</v>
      </c>
      <c r="C112" s="40">
        <f>[22]С4!F25</f>
        <v>0.36199999999999999</v>
      </c>
    </row>
    <row r="113" spans="1:3" ht="17.25" x14ac:dyDescent="0.2">
      <c r="A113" s="59" t="s">
        <v>165</v>
      </c>
      <c r="B113" s="33" t="s">
        <v>166</v>
      </c>
      <c r="C113" s="34">
        <f>[22]С4!F26</f>
        <v>40.123830000000005</v>
      </c>
    </row>
    <row r="114" spans="1:3" ht="25.5" x14ac:dyDescent="0.2">
      <c r="A114" s="59" t="s">
        <v>167</v>
      </c>
      <c r="B114" s="53" t="s">
        <v>94</v>
      </c>
      <c r="C114" s="85">
        <f>[22]С4.3!E16</f>
        <v>0</v>
      </c>
    </row>
    <row r="115" spans="1:3" ht="25.5" x14ac:dyDescent="0.2">
      <c r="A115" s="59" t="s">
        <v>168</v>
      </c>
      <c r="B115" s="53" t="s">
        <v>169</v>
      </c>
      <c r="C115" s="34">
        <f>[22]С4.3!E17</f>
        <v>18.059999999999999</v>
      </c>
    </row>
    <row r="116" spans="1:3" ht="38.25" x14ac:dyDescent="0.2">
      <c r="A116" s="59" t="s">
        <v>170</v>
      </c>
      <c r="B116" s="53" t="s">
        <v>106</v>
      </c>
      <c r="C116" s="85">
        <f>[22]С4.3!E18</f>
        <v>0</v>
      </c>
    </row>
    <row r="117" spans="1:3" x14ac:dyDescent="0.2">
      <c r="A117" s="59" t="s">
        <v>171</v>
      </c>
      <c r="B117" s="53" t="s">
        <v>172</v>
      </c>
      <c r="C117" s="34">
        <f>[22]С4.3!E19</f>
        <v>71.67</v>
      </c>
    </row>
    <row r="118" spans="1:3" x14ac:dyDescent="0.2">
      <c r="A118" s="59" t="s">
        <v>173</v>
      </c>
      <c r="B118" s="58" t="s">
        <v>174</v>
      </c>
      <c r="C118" s="62">
        <f>[22]С4.3!E11</f>
        <v>1871</v>
      </c>
    </row>
    <row r="119" spans="1:3" x14ac:dyDescent="0.2">
      <c r="A119" s="59" t="s">
        <v>175</v>
      </c>
      <c r="B119" s="58" t="s">
        <v>176</v>
      </c>
      <c r="C119" s="52">
        <f>[22]С4.3!E12</f>
        <v>61</v>
      </c>
    </row>
    <row r="120" spans="1:3" x14ac:dyDescent="0.2">
      <c r="A120" s="59" t="s">
        <v>177</v>
      </c>
      <c r="B120" s="58" t="s">
        <v>178</v>
      </c>
      <c r="C120" s="52">
        <f>[22]С4.3!E13</f>
        <v>73</v>
      </c>
    </row>
    <row r="121" spans="1:3" ht="30" x14ac:dyDescent="0.2">
      <c r="A121" s="59" t="s">
        <v>179</v>
      </c>
      <c r="B121" s="33" t="s">
        <v>255</v>
      </c>
      <c r="C121" s="34">
        <f>[22]С4!F27</f>
        <v>904.62444244124072</v>
      </c>
    </row>
    <row r="122" spans="1:3" ht="25.5" x14ac:dyDescent="0.2">
      <c r="A122" s="59" t="s">
        <v>181</v>
      </c>
      <c r="B122" s="53" t="s">
        <v>256</v>
      </c>
      <c r="C122" s="34">
        <f>[22]С4!F28</f>
        <v>694.79603874135228</v>
      </c>
    </row>
    <row r="123" spans="1:3" ht="42.75" x14ac:dyDescent="0.2">
      <c r="A123" s="59" t="s">
        <v>183</v>
      </c>
      <c r="B123" s="53" t="s">
        <v>184</v>
      </c>
      <c r="C123" s="34">
        <f>[22]С4!F29</f>
        <v>209.82840369988838</v>
      </c>
    </row>
    <row r="124" spans="1:3" ht="30.75" thickBot="1" x14ac:dyDescent="0.25">
      <c r="A124" s="72" t="s">
        <v>185</v>
      </c>
      <c r="B124" s="90" t="s">
        <v>186</v>
      </c>
      <c r="C124" s="83">
        <f>[22]С4!F30</f>
        <v>475.40681839948314</v>
      </c>
    </row>
    <row r="125" spans="1:3" s="89" customFormat="1" ht="13.5" thickBot="1" x14ac:dyDescent="0.25">
      <c r="A125" s="47"/>
      <c r="B125" s="75"/>
      <c r="C125" s="15"/>
    </row>
    <row r="126" spans="1:3" s="63" customFormat="1" ht="30" customHeight="1" x14ac:dyDescent="0.2">
      <c r="A126" s="76" t="s">
        <v>195</v>
      </c>
      <c r="B126" s="165" t="s">
        <v>196</v>
      </c>
      <c r="C126" s="165"/>
    </row>
    <row r="127" spans="1:3" ht="30.6" customHeight="1" thickBot="1" x14ac:dyDescent="0.25">
      <c r="A127" s="27" t="s">
        <v>197</v>
      </c>
      <c r="B127" s="90" t="s">
        <v>198</v>
      </c>
      <c r="C127" s="83">
        <f>[22]С5!F17</f>
        <v>0.02</v>
      </c>
    </row>
    <row r="128" spans="1:3" s="89" customFormat="1" ht="13.5" thickBot="1" x14ac:dyDescent="0.25">
      <c r="A128" s="47"/>
      <c r="B128" s="75"/>
      <c r="C128" s="15"/>
    </row>
    <row r="129" spans="1:4" ht="42.75" customHeight="1" x14ac:dyDescent="0.2">
      <c r="A129" s="84" t="s">
        <v>199</v>
      </c>
      <c r="B129" s="165" t="s">
        <v>200</v>
      </c>
      <c r="C129" s="165"/>
    </row>
    <row r="130" spans="1:4" ht="68.25" x14ac:dyDescent="0.2">
      <c r="A130" s="59" t="s">
        <v>201</v>
      </c>
      <c r="B130" s="91" t="s">
        <v>202</v>
      </c>
      <c r="C130" s="34" t="str">
        <f>IF([22]С6.1!E11="нет",[22]С6!F13,"")</f>
        <v/>
      </c>
    </row>
    <row r="131" spans="1:4" ht="42.75" x14ac:dyDescent="0.2">
      <c r="A131" s="59" t="s">
        <v>204</v>
      </c>
      <c r="B131" s="86" t="s">
        <v>205</v>
      </c>
      <c r="C131" s="92" t="str">
        <f>IF([22]С6.1!E12="нет",[22]С6.1!E17,"")</f>
        <v/>
      </c>
    </row>
    <row r="132" spans="1:4" ht="68.25" x14ac:dyDescent="0.2">
      <c r="A132" s="59" t="s">
        <v>206</v>
      </c>
      <c r="B132" s="91" t="s">
        <v>207</v>
      </c>
      <c r="C132" s="127" t="str">
        <f>IF([22]С6.1!E18="нет",[22]С6!F19,"")</f>
        <v/>
      </c>
    </row>
    <row r="133" spans="1:4" ht="55.5" x14ac:dyDescent="0.2">
      <c r="A133" s="59" t="s">
        <v>208</v>
      </c>
      <c r="B133" s="86" t="s">
        <v>209</v>
      </c>
      <c r="C133" s="35" t="str">
        <f>IF([22]С6.1!E18="нет",[22]С6.1!E19,"")</f>
        <v/>
      </c>
    </row>
    <row r="134" spans="1:4" ht="61.5" customHeight="1" x14ac:dyDescent="0.2">
      <c r="A134" s="59" t="s">
        <v>210</v>
      </c>
      <c r="B134" s="86" t="s">
        <v>257</v>
      </c>
      <c r="C134" s="35" t="str">
        <f>IF([22]С6.1!E18="нет",[22]С6.1!E22,"")</f>
        <v/>
      </c>
    </row>
    <row r="135" spans="1:4" ht="69" thickBot="1" x14ac:dyDescent="0.25">
      <c r="A135" s="72" t="s">
        <v>212</v>
      </c>
      <c r="B135" s="98" t="s">
        <v>213</v>
      </c>
      <c r="C135" s="74" t="str">
        <f>IF([22]С6.1!E18="нет",[22]С6.1!E23,"")</f>
        <v/>
      </c>
    </row>
    <row r="136" spans="1:4" s="89" customFormat="1" ht="13.5" thickBot="1" x14ac:dyDescent="0.25">
      <c r="A136" s="47"/>
      <c r="B136" s="75"/>
      <c r="C136" s="15"/>
    </row>
    <row r="137" spans="1:4" ht="15.75" x14ac:dyDescent="0.2">
      <c r="A137" s="84" t="s">
        <v>214</v>
      </c>
      <c r="B137" s="99" t="s">
        <v>215</v>
      </c>
      <c r="C137" s="100">
        <f>[22]С2!F39</f>
        <v>21.531904799999996</v>
      </c>
    </row>
    <row r="138" spans="1:4" ht="14.25" x14ac:dyDescent="0.2">
      <c r="A138" s="59" t="s">
        <v>216</v>
      </c>
      <c r="B138" s="58" t="s">
        <v>217</v>
      </c>
      <c r="C138" s="34">
        <f>[22]С2!F40</f>
        <v>7</v>
      </c>
    </row>
    <row r="139" spans="1:4" ht="17.25" x14ac:dyDescent="0.2">
      <c r="A139" s="59" t="s">
        <v>218</v>
      </c>
      <c r="B139" s="58" t="s">
        <v>219</v>
      </c>
      <c r="C139" s="34">
        <f>[22]С2!F42</f>
        <v>0.97</v>
      </c>
    </row>
    <row r="140" spans="1:4" ht="15" thickBot="1" x14ac:dyDescent="0.25">
      <c r="A140" s="72" t="s">
        <v>220</v>
      </c>
      <c r="B140" s="73" t="s">
        <v>221</v>
      </c>
      <c r="C140" s="46">
        <f>[22]С2!F44</f>
        <v>0.36199999999999999</v>
      </c>
    </row>
    <row r="141" spans="1:4" s="89" customFormat="1" ht="13.5" thickBot="1" x14ac:dyDescent="0.25">
      <c r="A141" s="47"/>
      <c r="B141" s="75"/>
      <c r="C141" s="15"/>
    </row>
    <row r="142" spans="1:4" ht="17.25" x14ac:dyDescent="0.2">
      <c r="A142" s="84" t="s">
        <v>222</v>
      </c>
      <c r="B142" s="103" t="s">
        <v>258</v>
      </c>
      <c r="C142" s="128">
        <f>[22]С2!F37</f>
        <v>1.4976266307379205</v>
      </c>
      <c r="D142" s="89"/>
    </row>
    <row r="143" spans="1:4" ht="17.25" customHeight="1" thickBot="1" x14ac:dyDescent="0.25">
      <c r="A143" s="72" t="s">
        <v>224</v>
      </c>
      <c r="B143" s="161" t="s">
        <v>225</v>
      </c>
      <c r="C143" s="161"/>
      <c r="D143" s="89"/>
    </row>
    <row r="144" spans="1:4" x14ac:dyDescent="0.2">
      <c r="A144" s="105"/>
      <c r="B144" s="129" t="s">
        <v>226</v>
      </c>
      <c r="C144" s="130"/>
    </row>
    <row r="145" spans="1:3" x14ac:dyDescent="0.2">
      <c r="A145" s="105"/>
      <c r="B145" s="131">
        <v>2020</v>
      </c>
      <c r="C145" s="132">
        <f>[22]С2.5!$E$11</f>
        <v>-2.9000000000000026E-2</v>
      </c>
    </row>
    <row r="146" spans="1:3" x14ac:dyDescent="0.2">
      <c r="B146" s="131">
        <f>B145+1</f>
        <v>2021</v>
      </c>
      <c r="C146" s="133">
        <f>[22]С2.5!$F$11</f>
        <v>0.245</v>
      </c>
    </row>
    <row r="147" spans="1:3" x14ac:dyDescent="0.2">
      <c r="B147" s="131">
        <f t="shared" ref="B147:B210" si="0">B146+1</f>
        <v>2022</v>
      </c>
      <c r="C147" s="134">
        <f>[22]С2.5!$G$11</f>
        <v>0.114</v>
      </c>
    </row>
    <row r="148" spans="1:3" x14ac:dyDescent="0.2">
      <c r="B148" s="110">
        <f t="shared" si="0"/>
        <v>2023</v>
      </c>
      <c r="C148" s="135">
        <f>[22]С2.5!$H$11</f>
        <v>2.4E-2</v>
      </c>
    </row>
    <row r="149" spans="1:3" ht="13.5" thickBot="1" x14ac:dyDescent="0.25">
      <c r="B149" s="110">
        <f t="shared" si="0"/>
        <v>2024</v>
      </c>
      <c r="C149" s="135">
        <f>[22]С2.5!$I$11</f>
        <v>8.5999999999999993E-2</v>
      </c>
    </row>
    <row r="150" spans="1:3" ht="13.5" hidden="1" thickBot="1" x14ac:dyDescent="0.25">
      <c r="B150" s="110">
        <f t="shared" si="0"/>
        <v>2025</v>
      </c>
      <c r="C150" s="135">
        <f>[22]С2.5!$J$11</f>
        <v>0</v>
      </c>
    </row>
    <row r="151" spans="1:3" ht="13.5" hidden="1" thickBot="1" x14ac:dyDescent="0.25">
      <c r="B151" s="110">
        <f t="shared" si="0"/>
        <v>2026</v>
      </c>
      <c r="C151" s="135">
        <f>[22]С2.5!$K$11</f>
        <v>0</v>
      </c>
    </row>
    <row r="152" spans="1:3" ht="13.5" hidden="1" thickBot="1" x14ac:dyDescent="0.25">
      <c r="B152" s="110">
        <f t="shared" si="0"/>
        <v>2027</v>
      </c>
      <c r="C152" s="135">
        <f>[22]С2.5!$L$11</f>
        <v>0</v>
      </c>
    </row>
    <row r="153" spans="1:3" ht="13.5" hidden="1" thickBot="1" x14ac:dyDescent="0.25">
      <c r="B153" s="110">
        <f t="shared" si="0"/>
        <v>2028</v>
      </c>
      <c r="C153" s="135">
        <f>[22]С2.5!$M$11</f>
        <v>0</v>
      </c>
    </row>
    <row r="154" spans="1:3" ht="13.5" hidden="1" thickBot="1" x14ac:dyDescent="0.25">
      <c r="B154" s="110">
        <f t="shared" si="0"/>
        <v>2029</v>
      </c>
      <c r="C154" s="135">
        <f>[22]С2.5!$N$11</f>
        <v>0</v>
      </c>
    </row>
    <row r="155" spans="1:3" ht="13.5" hidden="1" thickBot="1" x14ac:dyDescent="0.25">
      <c r="B155" s="110">
        <f t="shared" si="0"/>
        <v>2030</v>
      </c>
      <c r="C155" s="135">
        <f>[22]С2.5!$O$11</f>
        <v>0</v>
      </c>
    </row>
    <row r="156" spans="1:3" ht="13.5" hidden="1" thickBot="1" x14ac:dyDescent="0.25">
      <c r="B156" s="110">
        <f t="shared" si="0"/>
        <v>2031</v>
      </c>
      <c r="C156" s="135">
        <f>[22]С2.5!$P$11</f>
        <v>0</v>
      </c>
    </row>
    <row r="157" spans="1:3" ht="13.5" hidden="1" thickBot="1" x14ac:dyDescent="0.25">
      <c r="B157" s="110">
        <f t="shared" si="0"/>
        <v>2032</v>
      </c>
      <c r="C157" s="135">
        <f>[22]С2.5!$Q$11</f>
        <v>0</v>
      </c>
    </row>
    <row r="158" spans="1:3" ht="13.5" hidden="1" thickBot="1" x14ac:dyDescent="0.25">
      <c r="B158" s="110">
        <f t="shared" si="0"/>
        <v>2033</v>
      </c>
      <c r="C158" s="135">
        <f>[22]С2.5!$R$11</f>
        <v>0</v>
      </c>
    </row>
    <row r="159" spans="1:3" ht="13.5" hidden="1" thickBot="1" x14ac:dyDescent="0.25">
      <c r="B159" s="110">
        <f t="shared" si="0"/>
        <v>2034</v>
      </c>
      <c r="C159" s="135">
        <f>[22]С2.5!$S$11</f>
        <v>0</v>
      </c>
    </row>
    <row r="160" spans="1:3" ht="13.5" hidden="1" thickBot="1" x14ac:dyDescent="0.25">
      <c r="B160" s="110">
        <f t="shared" si="0"/>
        <v>2035</v>
      </c>
      <c r="C160" s="135">
        <f>[22]С2.5!$T$11</f>
        <v>0</v>
      </c>
    </row>
    <row r="161" spans="2:3" ht="13.5" hidden="1" thickBot="1" x14ac:dyDescent="0.25">
      <c r="B161" s="110">
        <f t="shared" si="0"/>
        <v>2036</v>
      </c>
      <c r="C161" s="135">
        <f>[22]С2.5!$U$11</f>
        <v>0</v>
      </c>
    </row>
    <row r="162" spans="2:3" ht="13.5" hidden="1" thickBot="1" x14ac:dyDescent="0.25">
      <c r="B162" s="110">
        <f t="shared" si="0"/>
        <v>2037</v>
      </c>
      <c r="C162" s="135">
        <f>[22]С2.5!$V$11</f>
        <v>0</v>
      </c>
    </row>
    <row r="163" spans="2:3" ht="13.5" hidden="1" thickBot="1" x14ac:dyDescent="0.25">
      <c r="B163" s="110">
        <f t="shared" si="0"/>
        <v>2038</v>
      </c>
      <c r="C163" s="135">
        <f>[22]С2.5!$W$11</f>
        <v>0</v>
      </c>
    </row>
    <row r="164" spans="2:3" ht="13.5" hidden="1" thickBot="1" x14ac:dyDescent="0.25">
      <c r="B164" s="110">
        <f t="shared" si="0"/>
        <v>2039</v>
      </c>
      <c r="C164" s="135">
        <f>[22]С2.5!$X$11</f>
        <v>0</v>
      </c>
    </row>
    <row r="165" spans="2:3" ht="13.5" hidden="1" thickBot="1" x14ac:dyDescent="0.25">
      <c r="B165" s="110">
        <f t="shared" si="0"/>
        <v>2040</v>
      </c>
      <c r="C165" s="135">
        <f>[22]С2.5!$Y$11</f>
        <v>0</v>
      </c>
    </row>
    <row r="166" spans="2:3" ht="13.5" hidden="1" thickBot="1" x14ac:dyDescent="0.25">
      <c r="B166" s="110">
        <f t="shared" si="0"/>
        <v>2041</v>
      </c>
      <c r="C166" s="135">
        <f>[22]С2.5!$Z$11</f>
        <v>0</v>
      </c>
    </row>
    <row r="167" spans="2:3" ht="13.5" hidden="1" thickBot="1" x14ac:dyDescent="0.25">
      <c r="B167" s="110">
        <f t="shared" si="0"/>
        <v>2042</v>
      </c>
      <c r="C167" s="135">
        <f>[22]С2.5!$AA$11</f>
        <v>0</v>
      </c>
    </row>
    <row r="168" spans="2:3" ht="13.5" hidden="1" thickBot="1" x14ac:dyDescent="0.25">
      <c r="B168" s="110">
        <f t="shared" si="0"/>
        <v>2043</v>
      </c>
      <c r="C168" s="135">
        <f>[22]С2.5!$AB$11</f>
        <v>0</v>
      </c>
    </row>
    <row r="169" spans="2:3" ht="13.5" hidden="1" thickBot="1" x14ac:dyDescent="0.25">
      <c r="B169" s="110">
        <f t="shared" si="0"/>
        <v>2044</v>
      </c>
      <c r="C169" s="135">
        <f>[22]С2.5!$AC$11</f>
        <v>0</v>
      </c>
    </row>
    <row r="170" spans="2:3" ht="13.5" hidden="1" thickBot="1" x14ac:dyDescent="0.25">
      <c r="B170" s="110">
        <f t="shared" si="0"/>
        <v>2045</v>
      </c>
      <c r="C170" s="135">
        <f>[22]С2.5!$AD$11</f>
        <v>0</v>
      </c>
    </row>
    <row r="171" spans="2:3" ht="13.5" hidden="1" thickBot="1" x14ac:dyDescent="0.25">
      <c r="B171" s="110">
        <f t="shared" si="0"/>
        <v>2046</v>
      </c>
      <c r="C171" s="135">
        <f>[22]С2.5!$AE$11</f>
        <v>0</v>
      </c>
    </row>
    <row r="172" spans="2:3" ht="13.5" hidden="1" thickBot="1" x14ac:dyDescent="0.25">
      <c r="B172" s="110">
        <f t="shared" si="0"/>
        <v>2047</v>
      </c>
      <c r="C172" s="135">
        <f>[22]С2.5!$AF$11</f>
        <v>0</v>
      </c>
    </row>
    <row r="173" spans="2:3" ht="13.5" hidden="1" thickBot="1" x14ac:dyDescent="0.25">
      <c r="B173" s="110">
        <f t="shared" si="0"/>
        <v>2048</v>
      </c>
      <c r="C173" s="135">
        <f>[22]С2.5!$AG$11</f>
        <v>0</v>
      </c>
    </row>
    <row r="174" spans="2:3" ht="13.5" hidden="1" thickBot="1" x14ac:dyDescent="0.25">
      <c r="B174" s="110">
        <f t="shared" si="0"/>
        <v>2049</v>
      </c>
      <c r="C174" s="135">
        <f>[22]С2.5!$AH$11</f>
        <v>0</v>
      </c>
    </row>
    <row r="175" spans="2:3" ht="13.5" hidden="1" thickBot="1" x14ac:dyDescent="0.25">
      <c r="B175" s="110">
        <f t="shared" si="0"/>
        <v>2050</v>
      </c>
      <c r="C175" s="135">
        <f>[22]С2.5!$AI$11</f>
        <v>0</v>
      </c>
    </row>
    <row r="176" spans="2:3" ht="13.5" hidden="1" thickBot="1" x14ac:dyDescent="0.25">
      <c r="B176" s="110">
        <f t="shared" si="0"/>
        <v>2051</v>
      </c>
      <c r="C176" s="135">
        <f>[22]С2.5!$AJ$11</f>
        <v>0</v>
      </c>
    </row>
    <row r="177" spans="2:3" ht="13.5" hidden="1" thickBot="1" x14ac:dyDescent="0.25">
      <c r="B177" s="110">
        <f t="shared" si="0"/>
        <v>2052</v>
      </c>
      <c r="C177" s="135">
        <f>[22]С2.5!$AK$11</f>
        <v>0</v>
      </c>
    </row>
    <row r="178" spans="2:3" ht="13.5" hidden="1" thickBot="1" x14ac:dyDescent="0.25">
      <c r="B178" s="110">
        <f t="shared" si="0"/>
        <v>2053</v>
      </c>
      <c r="C178" s="135">
        <f>[22]С2.5!$AL$11</f>
        <v>0</v>
      </c>
    </row>
    <row r="179" spans="2:3" ht="13.5" hidden="1" thickBot="1" x14ac:dyDescent="0.25">
      <c r="B179" s="110">
        <f t="shared" si="0"/>
        <v>2054</v>
      </c>
      <c r="C179" s="135">
        <f>[22]С2.5!$AM$11</f>
        <v>0</v>
      </c>
    </row>
    <row r="180" spans="2:3" ht="13.5" hidden="1" thickBot="1" x14ac:dyDescent="0.25">
      <c r="B180" s="110">
        <f t="shared" si="0"/>
        <v>2055</v>
      </c>
      <c r="C180" s="135">
        <f>[22]С2.5!$AN$11</f>
        <v>0</v>
      </c>
    </row>
    <row r="181" spans="2:3" ht="13.5" hidden="1" thickBot="1" x14ac:dyDescent="0.25">
      <c r="B181" s="110">
        <f t="shared" si="0"/>
        <v>2056</v>
      </c>
      <c r="C181" s="135">
        <f>[22]С2.5!$AO$11</f>
        <v>0</v>
      </c>
    </row>
    <row r="182" spans="2:3" ht="13.5" hidden="1" thickBot="1" x14ac:dyDescent="0.25">
      <c r="B182" s="110">
        <f t="shared" si="0"/>
        <v>2057</v>
      </c>
      <c r="C182" s="135">
        <f>[22]С2.5!$AP$11</f>
        <v>0</v>
      </c>
    </row>
    <row r="183" spans="2:3" ht="13.5" hidden="1" thickBot="1" x14ac:dyDescent="0.25">
      <c r="B183" s="110">
        <f t="shared" si="0"/>
        <v>2058</v>
      </c>
      <c r="C183" s="135">
        <f>[22]С2.5!$AQ$11</f>
        <v>0</v>
      </c>
    </row>
    <row r="184" spans="2:3" ht="13.5" hidden="1" thickBot="1" x14ac:dyDescent="0.25">
      <c r="B184" s="110">
        <f t="shared" si="0"/>
        <v>2059</v>
      </c>
      <c r="C184" s="135">
        <f>[22]С2.5!$AR$11</f>
        <v>0</v>
      </c>
    </row>
    <row r="185" spans="2:3" ht="13.5" hidden="1" thickBot="1" x14ac:dyDescent="0.25">
      <c r="B185" s="110">
        <f t="shared" si="0"/>
        <v>2060</v>
      </c>
      <c r="C185" s="135">
        <f>[22]С2.5!$AS$11</f>
        <v>0</v>
      </c>
    </row>
    <row r="186" spans="2:3" ht="13.5" hidden="1" thickBot="1" x14ac:dyDescent="0.25">
      <c r="B186" s="110">
        <f t="shared" si="0"/>
        <v>2061</v>
      </c>
      <c r="C186" s="135">
        <f>[22]С2.5!$AT$11</f>
        <v>0</v>
      </c>
    </row>
    <row r="187" spans="2:3" ht="13.5" hidden="1" thickBot="1" x14ac:dyDescent="0.25">
      <c r="B187" s="110">
        <f t="shared" si="0"/>
        <v>2062</v>
      </c>
      <c r="C187" s="135">
        <f>[22]С2.5!$AU$11</f>
        <v>0</v>
      </c>
    </row>
    <row r="188" spans="2:3" ht="13.5" hidden="1" thickBot="1" x14ac:dyDescent="0.25">
      <c r="B188" s="110">
        <f t="shared" si="0"/>
        <v>2063</v>
      </c>
      <c r="C188" s="135">
        <f>[22]С2.5!$AV$11</f>
        <v>0</v>
      </c>
    </row>
    <row r="189" spans="2:3" ht="13.5" hidden="1" thickBot="1" x14ac:dyDescent="0.25">
      <c r="B189" s="110">
        <f t="shared" si="0"/>
        <v>2064</v>
      </c>
      <c r="C189" s="135">
        <f>[22]С2.5!$AW$11</f>
        <v>0</v>
      </c>
    </row>
    <row r="190" spans="2:3" ht="13.5" hidden="1" thickBot="1" x14ac:dyDescent="0.25">
      <c r="B190" s="110">
        <f t="shared" si="0"/>
        <v>2065</v>
      </c>
      <c r="C190" s="135">
        <f>[22]С2.5!$AX$11</f>
        <v>0</v>
      </c>
    </row>
    <row r="191" spans="2:3" ht="13.5" hidden="1" thickBot="1" x14ac:dyDescent="0.25">
      <c r="B191" s="110">
        <f t="shared" si="0"/>
        <v>2066</v>
      </c>
      <c r="C191" s="135">
        <f>[22]С2.5!$AY$11</f>
        <v>0</v>
      </c>
    </row>
    <row r="192" spans="2:3" ht="13.5" hidden="1" thickBot="1" x14ac:dyDescent="0.25">
      <c r="B192" s="110">
        <f t="shared" si="0"/>
        <v>2067</v>
      </c>
      <c r="C192" s="135">
        <f>[22]С2.5!$AZ$11</f>
        <v>0</v>
      </c>
    </row>
    <row r="193" spans="2:3" ht="13.5" hidden="1" thickBot="1" x14ac:dyDescent="0.25">
      <c r="B193" s="110">
        <f t="shared" si="0"/>
        <v>2068</v>
      </c>
      <c r="C193" s="135">
        <f>[22]С2.5!$BA$11</f>
        <v>0</v>
      </c>
    </row>
    <row r="194" spans="2:3" ht="13.5" hidden="1" thickBot="1" x14ac:dyDescent="0.25">
      <c r="B194" s="110">
        <f t="shared" si="0"/>
        <v>2069</v>
      </c>
      <c r="C194" s="135">
        <f>[22]С2.5!$BB$11</f>
        <v>0</v>
      </c>
    </row>
    <row r="195" spans="2:3" ht="13.5" hidden="1" thickBot="1" x14ac:dyDescent="0.25">
      <c r="B195" s="110">
        <f t="shared" si="0"/>
        <v>2070</v>
      </c>
      <c r="C195" s="135">
        <f>[22]С2.5!$BC$11</f>
        <v>0</v>
      </c>
    </row>
    <row r="196" spans="2:3" ht="13.5" hidden="1" thickBot="1" x14ac:dyDescent="0.25">
      <c r="B196" s="110">
        <f t="shared" si="0"/>
        <v>2071</v>
      </c>
      <c r="C196" s="135">
        <f>[22]С2.5!$BD$11</f>
        <v>0</v>
      </c>
    </row>
    <row r="197" spans="2:3" ht="13.5" hidden="1" thickBot="1" x14ac:dyDescent="0.25">
      <c r="B197" s="110">
        <f t="shared" si="0"/>
        <v>2072</v>
      </c>
      <c r="C197" s="135">
        <f>[22]С2.5!$BE$11</f>
        <v>0</v>
      </c>
    </row>
    <row r="198" spans="2:3" ht="13.5" hidden="1" thickBot="1" x14ac:dyDescent="0.25">
      <c r="B198" s="110">
        <f t="shared" si="0"/>
        <v>2073</v>
      </c>
      <c r="C198" s="135">
        <f>[22]С2.5!$BF$11</f>
        <v>0</v>
      </c>
    </row>
    <row r="199" spans="2:3" ht="13.5" hidden="1" thickBot="1" x14ac:dyDescent="0.25">
      <c r="B199" s="110">
        <f t="shared" si="0"/>
        <v>2074</v>
      </c>
      <c r="C199" s="135">
        <f>[22]С2.5!$BG$11</f>
        <v>0</v>
      </c>
    </row>
    <row r="200" spans="2:3" ht="13.5" hidden="1" thickBot="1" x14ac:dyDescent="0.25">
      <c r="B200" s="110">
        <f t="shared" si="0"/>
        <v>2075</v>
      </c>
      <c r="C200" s="135">
        <f>[22]С2.5!$BH$11</f>
        <v>0</v>
      </c>
    </row>
    <row r="201" spans="2:3" ht="13.5" hidden="1" thickBot="1" x14ac:dyDescent="0.25">
      <c r="B201" s="110">
        <f t="shared" si="0"/>
        <v>2076</v>
      </c>
      <c r="C201" s="135">
        <f>[22]С2.5!$BI$11</f>
        <v>0</v>
      </c>
    </row>
    <row r="202" spans="2:3" ht="13.5" hidden="1" thickBot="1" x14ac:dyDescent="0.25">
      <c r="B202" s="110">
        <f t="shared" si="0"/>
        <v>2077</v>
      </c>
      <c r="C202" s="135">
        <f>[22]С2.5!$BJ$11</f>
        <v>0</v>
      </c>
    </row>
    <row r="203" spans="2:3" ht="13.5" hidden="1" thickBot="1" x14ac:dyDescent="0.25">
      <c r="B203" s="110">
        <f t="shared" si="0"/>
        <v>2078</v>
      </c>
      <c r="C203" s="135">
        <f>[22]С2.5!$BK$11</f>
        <v>0</v>
      </c>
    </row>
    <row r="204" spans="2:3" ht="13.5" hidden="1" thickBot="1" x14ac:dyDescent="0.25">
      <c r="B204" s="110">
        <f t="shared" si="0"/>
        <v>2079</v>
      </c>
      <c r="C204" s="135">
        <f>[22]С2.5!$BL$11</f>
        <v>0</v>
      </c>
    </row>
    <row r="205" spans="2:3" ht="13.5" hidden="1" thickBot="1" x14ac:dyDescent="0.25">
      <c r="B205" s="110">
        <f t="shared" si="0"/>
        <v>2080</v>
      </c>
      <c r="C205" s="135">
        <f>[22]С2.5!$BM$11</f>
        <v>0</v>
      </c>
    </row>
    <row r="206" spans="2:3" ht="13.5" hidden="1" thickBot="1" x14ac:dyDescent="0.25">
      <c r="B206" s="110">
        <f t="shared" si="0"/>
        <v>2081</v>
      </c>
      <c r="C206" s="135">
        <f>[22]С2.5!$BN$11</f>
        <v>0</v>
      </c>
    </row>
    <row r="207" spans="2:3" ht="13.5" hidden="1" thickBot="1" x14ac:dyDescent="0.25">
      <c r="B207" s="110">
        <f t="shared" si="0"/>
        <v>2082</v>
      </c>
      <c r="C207" s="135">
        <f>[22]С2.5!$BO$11</f>
        <v>0</v>
      </c>
    </row>
    <row r="208" spans="2:3" ht="13.5" hidden="1" thickBot="1" x14ac:dyDescent="0.25">
      <c r="B208" s="110">
        <f t="shared" si="0"/>
        <v>2083</v>
      </c>
      <c r="C208" s="135">
        <f>[22]С2.5!$BP$11</f>
        <v>0</v>
      </c>
    </row>
    <row r="209" spans="2:3" ht="13.5" hidden="1" thickBot="1" x14ac:dyDescent="0.25">
      <c r="B209" s="110">
        <f t="shared" si="0"/>
        <v>2084</v>
      </c>
      <c r="C209" s="135">
        <f>[22]С2.5!$BQ$11</f>
        <v>0</v>
      </c>
    </row>
    <row r="210" spans="2:3" ht="13.5" hidden="1" thickBot="1" x14ac:dyDescent="0.25">
      <c r="B210" s="110">
        <f t="shared" si="0"/>
        <v>2085</v>
      </c>
      <c r="C210" s="135">
        <f>[22]С2.5!$BR$11</f>
        <v>0</v>
      </c>
    </row>
    <row r="211" spans="2:3" ht="13.5" hidden="1" thickBot="1" x14ac:dyDescent="0.25">
      <c r="B211" s="110">
        <f t="shared" ref="B211:B224" si="1">B210+1</f>
        <v>2086</v>
      </c>
      <c r="C211" s="135">
        <f>[22]С2.5!$BS$11</f>
        <v>0</v>
      </c>
    </row>
    <row r="212" spans="2:3" ht="13.5" hidden="1" thickBot="1" x14ac:dyDescent="0.25">
      <c r="B212" s="110">
        <f t="shared" si="1"/>
        <v>2087</v>
      </c>
      <c r="C212" s="135">
        <f>[22]С2.5!$BT$11</f>
        <v>0</v>
      </c>
    </row>
    <row r="213" spans="2:3" ht="13.5" hidden="1" thickBot="1" x14ac:dyDescent="0.25">
      <c r="B213" s="110">
        <f t="shared" si="1"/>
        <v>2088</v>
      </c>
      <c r="C213" s="135">
        <f>[22]С2.5!$BU$11</f>
        <v>0</v>
      </c>
    </row>
    <row r="214" spans="2:3" ht="13.5" hidden="1" thickBot="1" x14ac:dyDescent="0.25">
      <c r="B214" s="110">
        <f t="shared" si="1"/>
        <v>2089</v>
      </c>
      <c r="C214" s="135">
        <f>[22]С2.5!$BV$11</f>
        <v>0</v>
      </c>
    </row>
    <row r="215" spans="2:3" ht="13.5" hidden="1" thickBot="1" x14ac:dyDescent="0.25">
      <c r="B215" s="110">
        <f t="shared" si="1"/>
        <v>2090</v>
      </c>
      <c r="C215" s="135">
        <f>[22]С2.5!$BW$11</f>
        <v>0</v>
      </c>
    </row>
    <row r="216" spans="2:3" ht="13.5" hidden="1" thickBot="1" x14ac:dyDescent="0.25">
      <c r="B216" s="110">
        <f t="shared" si="1"/>
        <v>2091</v>
      </c>
      <c r="C216" s="135">
        <f>[22]С2.5!$BX$11</f>
        <v>0</v>
      </c>
    </row>
    <row r="217" spans="2:3" ht="13.5" hidden="1" thickBot="1" x14ac:dyDescent="0.25">
      <c r="B217" s="110">
        <f t="shared" si="1"/>
        <v>2092</v>
      </c>
      <c r="C217" s="135">
        <f>[22]С2.5!$BY$11</f>
        <v>0</v>
      </c>
    </row>
    <row r="218" spans="2:3" ht="13.5" hidden="1" thickBot="1" x14ac:dyDescent="0.25">
      <c r="B218" s="110">
        <f t="shared" si="1"/>
        <v>2093</v>
      </c>
      <c r="C218" s="135">
        <f>[22]С2.5!$BZ$11</f>
        <v>0</v>
      </c>
    </row>
    <row r="219" spans="2:3" ht="13.5" hidden="1" thickBot="1" x14ac:dyDescent="0.25">
      <c r="B219" s="110">
        <f t="shared" si="1"/>
        <v>2094</v>
      </c>
      <c r="C219" s="135">
        <f>[22]С2.5!$CA$11</f>
        <v>0</v>
      </c>
    </row>
    <row r="220" spans="2:3" ht="13.5" hidden="1" thickBot="1" x14ac:dyDescent="0.25">
      <c r="B220" s="110">
        <f t="shared" si="1"/>
        <v>2095</v>
      </c>
      <c r="C220" s="135">
        <f>[22]С2.5!$CB$11</f>
        <v>0</v>
      </c>
    </row>
    <row r="221" spans="2:3" ht="13.5" hidden="1" thickBot="1" x14ac:dyDescent="0.25">
      <c r="B221" s="110">
        <f t="shared" si="1"/>
        <v>2096</v>
      </c>
      <c r="C221" s="135">
        <f>[22]С2.5!$CC$11</f>
        <v>0</v>
      </c>
    </row>
    <row r="222" spans="2:3" ht="13.5" hidden="1" thickBot="1" x14ac:dyDescent="0.25">
      <c r="B222" s="110">
        <f t="shared" si="1"/>
        <v>2097</v>
      </c>
      <c r="C222" s="135">
        <f>[22]С2.5!$CD$11</f>
        <v>0</v>
      </c>
    </row>
    <row r="223" spans="2:3" ht="13.5" hidden="1" thickBot="1" x14ac:dyDescent="0.25">
      <c r="B223" s="110">
        <f t="shared" si="1"/>
        <v>2098</v>
      </c>
      <c r="C223" s="135">
        <f>[22]С2.5!$CE$11</f>
        <v>0</v>
      </c>
    </row>
    <row r="224" spans="2:3" ht="13.5" hidden="1" thickBot="1" x14ac:dyDescent="0.25">
      <c r="B224" s="110">
        <f t="shared" si="1"/>
        <v>2099</v>
      </c>
      <c r="C224" s="135">
        <f>[22]С2.5!$CF$11</f>
        <v>0</v>
      </c>
    </row>
    <row r="225" spans="2:3" ht="13.5" hidden="1" thickBot="1" x14ac:dyDescent="0.25">
      <c r="B225" s="112">
        <f>B162+1</f>
        <v>2038</v>
      </c>
      <c r="C225" s="136" t="e">
        <f>[22]С2.5!#REF!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8]!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19458" r:id="rId4" name="Button 2">
              <controlPr defaultSize="0" print="0" autoFill="0" autoPict="0" macro="[22]!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tabSelected="1" zoomScaleNormal="100"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28.5703125" style="141" customWidth="1"/>
    <col min="5" max="5" width="5.140625" style="2" customWidth="1"/>
    <col min="6" max="6" width="17.5703125" style="2" customWidth="1"/>
    <col min="7" max="250" width="9.140625" style="2"/>
    <col min="251" max="251" width="3.570312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570312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570312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570312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570312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570312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570312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570312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570312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570312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570312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570312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570312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570312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570312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570312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570312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570312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570312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570312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570312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570312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570312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570312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570312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570312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570312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570312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570312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570312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570312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570312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570312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570312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570312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570312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570312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570312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570312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570312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570312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570312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570312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570312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570312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570312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570312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570312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570312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570312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570312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570312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570312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570312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570312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570312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570312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570312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570312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570312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570312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570312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570312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1"/>
      <c r="B1" s="163" t="s">
        <v>0</v>
      </c>
      <c r="C1" s="163"/>
      <c r="D1" s="163"/>
    </row>
    <row r="2" spans="1:4" x14ac:dyDescent="0.2">
      <c r="A2" s="3"/>
      <c r="B2" s="4" t="s">
        <v>1</v>
      </c>
      <c r="C2" s="5">
        <v>45317</v>
      </c>
    </row>
    <row r="3" spans="1:4" x14ac:dyDescent="0.2">
      <c r="A3" s="3"/>
      <c r="B3" s="6" t="s">
        <v>2</v>
      </c>
    </row>
    <row r="4" spans="1:4" ht="25.5" x14ac:dyDescent="0.2">
      <c r="A4" s="8"/>
      <c r="B4" s="9" t="str">
        <f>[23]И1!D13</f>
        <v>Субъект Российской Федерации</v>
      </c>
      <c r="C4" s="10" t="str">
        <f>[23]И1!E13</f>
        <v>Новосибирская область</v>
      </c>
      <c r="D4" s="142"/>
    </row>
    <row r="5" spans="1:4" ht="46.9" customHeight="1" x14ac:dyDescent="0.2">
      <c r="A5" s="8"/>
      <c r="B5" s="9" t="str">
        <f>[23]И1!D14</f>
        <v>Тип муниципального образования (выберите из списка)</v>
      </c>
      <c r="C5" s="10" t="str">
        <f>[23]И1!E14</f>
        <v xml:space="preserve">деревня Шибково, Искитимский муниципальный район </v>
      </c>
      <c r="D5" s="142"/>
    </row>
    <row r="6" spans="1:4" x14ac:dyDescent="0.2">
      <c r="A6" s="8"/>
      <c r="B6" s="9" t="str">
        <f>IF([23]И1!E15="","",[23]И1!D15)</f>
        <v/>
      </c>
      <c r="C6" s="10" t="str">
        <f>IF([23]И1!E15="","",[23]И1!E15)</f>
        <v/>
      </c>
      <c r="D6" s="142"/>
    </row>
    <row r="7" spans="1:4" x14ac:dyDescent="0.2">
      <c r="A7" s="8"/>
      <c r="B7" s="9" t="str">
        <f>[23]И1!D16</f>
        <v>Код ОКТМО</v>
      </c>
      <c r="C7" s="11" t="str">
        <f>[23]И1!E16</f>
        <v>(50615440101)</v>
      </c>
      <c r="D7" s="142"/>
    </row>
    <row r="8" spans="1:4" x14ac:dyDescent="0.2">
      <c r="A8" s="8"/>
      <c r="B8" s="12" t="str">
        <f>[23]И1!D17</f>
        <v>Система теплоснабжения</v>
      </c>
      <c r="C8" s="13">
        <f>[23]И1!E17</f>
        <v>0</v>
      </c>
      <c r="D8" s="142"/>
    </row>
    <row r="9" spans="1:4" x14ac:dyDescent="0.2">
      <c r="A9" s="8"/>
      <c r="B9" s="9" t="str">
        <f>[23]И1!D8</f>
        <v>Период регулирования (i)-й</v>
      </c>
      <c r="C9" s="14">
        <f>[23]И1!E8</f>
        <v>2024</v>
      </c>
      <c r="D9" s="142"/>
    </row>
    <row r="10" spans="1:4" x14ac:dyDescent="0.2">
      <c r="A10" s="8"/>
      <c r="B10" s="9" t="str">
        <f>[23]И1!D9</f>
        <v>Период регулирования (i-1)-й</v>
      </c>
      <c r="C10" s="14">
        <f>[23]И1!E9</f>
        <v>2023</v>
      </c>
      <c r="D10" s="142"/>
    </row>
    <row r="11" spans="1:4" x14ac:dyDescent="0.2">
      <c r="A11" s="8"/>
      <c r="B11" s="9" t="str">
        <f>[23]И1!D10</f>
        <v>Период регулирования (i-2)-й</v>
      </c>
      <c r="C11" s="14">
        <f>[23]И1!E10</f>
        <v>2022</v>
      </c>
      <c r="D11" s="142"/>
    </row>
    <row r="12" spans="1:4" x14ac:dyDescent="0.2">
      <c r="A12" s="8"/>
      <c r="B12" s="9" t="str">
        <f>[23]И1!D11</f>
        <v>Базовый год (б)</v>
      </c>
      <c r="C12" s="14">
        <f>[23]И1!E11</f>
        <v>2019</v>
      </c>
      <c r="D12" s="142"/>
    </row>
    <row r="13" spans="1:4" ht="38.25" x14ac:dyDescent="0.2">
      <c r="A13" s="8"/>
      <c r="B13" s="9" t="str">
        <f>[23]И1!D18</f>
        <v>Вид топлива, использование которого преобладает в системе теплоснабжения</v>
      </c>
      <c r="C13" s="15" t="str">
        <f>[23]С1.1!E13</f>
        <v>уголь (вид угля не указан в топливном балансе)</v>
      </c>
      <c r="D13" s="142"/>
    </row>
    <row r="14" spans="1:4" ht="31.7" customHeight="1" thickBot="1" x14ac:dyDescent="0.25">
      <c r="A14" s="162" t="s">
        <v>3</v>
      </c>
      <c r="B14" s="162"/>
      <c r="C14" s="162"/>
    </row>
    <row r="15" spans="1:4" x14ac:dyDescent="0.2">
      <c r="A15" s="16" t="s">
        <v>4</v>
      </c>
      <c r="B15" s="17" t="s">
        <v>5</v>
      </c>
      <c r="C15" s="18" t="s">
        <v>6</v>
      </c>
    </row>
    <row r="16" spans="1:4" x14ac:dyDescent="0.2">
      <c r="A16" s="19">
        <v>1</v>
      </c>
      <c r="B16" s="20">
        <v>2</v>
      </c>
      <c r="C16" s="21">
        <v>3</v>
      </c>
    </row>
    <row r="17" spans="1:4" x14ac:dyDescent="0.2">
      <c r="A17" s="22">
        <v>1</v>
      </c>
      <c r="B17" s="23" t="s">
        <v>7</v>
      </c>
      <c r="C17" s="24">
        <f>SUM(C18:C22)</f>
        <v>3652.0526007687163</v>
      </c>
    </row>
    <row r="18" spans="1:4" ht="42.75" x14ac:dyDescent="0.2">
      <c r="A18" s="22" t="s">
        <v>8</v>
      </c>
      <c r="B18" s="25" t="s">
        <v>9</v>
      </c>
      <c r="C18" s="26">
        <f>[23]С1!F12</f>
        <v>665.23209308057574</v>
      </c>
    </row>
    <row r="19" spans="1:4" ht="42.75" x14ac:dyDescent="0.2">
      <c r="A19" s="22" t="s">
        <v>10</v>
      </c>
      <c r="B19" s="25" t="s">
        <v>11</v>
      </c>
      <c r="C19" s="26">
        <f>[23]С2!F12</f>
        <v>2000.3680279558928</v>
      </c>
    </row>
    <row r="20" spans="1:4" ht="30" x14ac:dyDescent="0.2">
      <c r="A20" s="22" t="s">
        <v>12</v>
      </c>
      <c r="B20" s="25" t="s">
        <v>13</v>
      </c>
      <c r="C20" s="26">
        <f>[23]С3!F12</f>
        <v>475.74490066496389</v>
      </c>
    </row>
    <row r="21" spans="1:4" ht="42.75" x14ac:dyDescent="0.2">
      <c r="A21" s="22" t="s">
        <v>14</v>
      </c>
      <c r="B21" s="25" t="s">
        <v>15</v>
      </c>
      <c r="C21" s="26">
        <f>[23]С4!F12</f>
        <v>439.09870454240729</v>
      </c>
    </row>
    <row r="22" spans="1:4" ht="30" x14ac:dyDescent="0.2">
      <c r="A22" s="22" t="s">
        <v>16</v>
      </c>
      <c r="B22" s="25" t="s">
        <v>17</v>
      </c>
      <c r="C22" s="26">
        <f>[23]С5!F12</f>
        <v>71.608874524876796</v>
      </c>
    </row>
    <row r="23" spans="1:4" ht="43.5" thickBot="1" x14ac:dyDescent="0.25">
      <c r="A23" s="27" t="s">
        <v>18</v>
      </c>
      <c r="B23" s="140" t="s">
        <v>19</v>
      </c>
      <c r="C23" s="28" t="str">
        <f>[23]С6!F12</f>
        <v>-</v>
      </c>
    </row>
    <row r="24" spans="1:4" ht="13.5" thickBot="1" x14ac:dyDescent="0.25">
      <c r="A24" s="3"/>
    </row>
    <row r="25" spans="1:4" x14ac:dyDescent="0.2">
      <c r="A25" s="16" t="s">
        <v>4</v>
      </c>
      <c r="B25" s="29" t="s">
        <v>5</v>
      </c>
      <c r="C25" s="30" t="s">
        <v>6</v>
      </c>
      <c r="D25" s="143" t="s">
        <v>259</v>
      </c>
    </row>
    <row r="26" spans="1:4" x14ac:dyDescent="0.2">
      <c r="A26" s="19">
        <v>1</v>
      </c>
      <c r="B26" s="31">
        <v>2</v>
      </c>
      <c r="C26" s="32">
        <v>3</v>
      </c>
      <c r="D26" s="144">
        <v>4</v>
      </c>
    </row>
    <row r="27" spans="1:4" ht="30" customHeight="1" x14ac:dyDescent="0.2">
      <c r="A27" s="22">
        <v>1</v>
      </c>
      <c r="B27" s="164" t="s">
        <v>20</v>
      </c>
      <c r="C27" s="164"/>
      <c r="D27" s="169"/>
    </row>
    <row r="28" spans="1:4" x14ac:dyDescent="0.2">
      <c r="A28" s="22" t="s">
        <v>8</v>
      </c>
      <c r="B28" s="33" t="s">
        <v>21</v>
      </c>
      <c r="C28" s="34">
        <f>[23]С1.1!E16</f>
        <v>5100</v>
      </c>
      <c r="D28" s="145">
        <f>[23]С1.1!F16</f>
        <v>0</v>
      </c>
    </row>
    <row r="29" spans="1:4" ht="42.75" x14ac:dyDescent="0.2">
      <c r="A29" s="22" t="s">
        <v>10</v>
      </c>
      <c r="B29" s="33" t="s">
        <v>22</v>
      </c>
      <c r="C29" s="34">
        <f>[23]С1.1!E27</f>
        <v>2988.9166666666665</v>
      </c>
      <c r="D29" s="145">
        <f>IF([23]С1.1!E23=[23]С1.1!I9,[23]С1.1!F24,IF([23]С1.1!E23=[23]С1.1!I10,[23]С1.1!I10,IF([23]С1.1!E23=[23]С1.1!I11,[23]С1.3!G9,IF([23]С1.1!E23=[23]С1.1!I12,[23]С1.1!F25,IF([23]С1.1!E23=[23]С1.1!I13,[23]С1.1!F26,"")))))</f>
        <v>0</v>
      </c>
    </row>
    <row r="30" spans="1:4" ht="267.75" x14ac:dyDescent="0.2">
      <c r="A30" s="22" t="s">
        <v>12</v>
      </c>
      <c r="B30" s="33" t="s">
        <v>23</v>
      </c>
      <c r="C30" s="35">
        <f>[23]С1.1!E19</f>
        <v>-0.19900000000000001</v>
      </c>
      <c r="D30" s="145" t="str">
        <f>[23]С1.1!F19</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1" spans="1:4" ht="229.5" x14ac:dyDescent="0.2">
      <c r="A31" s="22" t="s">
        <v>14</v>
      </c>
      <c r="B31" s="33" t="s">
        <v>24</v>
      </c>
      <c r="C31" s="35">
        <f>[23]С1.1!E20</f>
        <v>5.7000000000000002E-2</v>
      </c>
      <c r="D31" s="145" t="str">
        <f>[23]С1.1!F20</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2" spans="1:4" ht="30" x14ac:dyDescent="0.2">
      <c r="A32" s="22" t="s">
        <v>16</v>
      </c>
      <c r="B32" s="36" t="s">
        <v>25</v>
      </c>
      <c r="C32" s="37">
        <f>[23]С1!F13</f>
        <v>176.4</v>
      </c>
      <c r="D32" s="146" t="s">
        <v>260</v>
      </c>
    </row>
    <row r="33" spans="1:4" x14ac:dyDescent="0.2">
      <c r="A33" s="22" t="s">
        <v>18</v>
      </c>
      <c r="B33" s="36" t="s">
        <v>26</v>
      </c>
      <c r="C33" s="38">
        <f>[23]С1!F16</f>
        <v>7000</v>
      </c>
      <c r="D33" s="147" t="s">
        <v>261</v>
      </c>
    </row>
    <row r="34" spans="1:4" ht="14.25" x14ac:dyDescent="0.2">
      <c r="A34" s="22" t="s">
        <v>27</v>
      </c>
      <c r="B34" s="39" t="s">
        <v>28</v>
      </c>
      <c r="C34" s="40">
        <f>[23]С1!F17</f>
        <v>0.72857142857142854</v>
      </c>
      <c r="D34" s="145"/>
    </row>
    <row r="35" spans="1:4" ht="15.75" x14ac:dyDescent="0.2">
      <c r="A35" s="41" t="s">
        <v>29</v>
      </c>
      <c r="B35" s="42" t="s">
        <v>30</v>
      </c>
      <c r="C35" s="40">
        <f>[23]С1!F20</f>
        <v>21.588411179999994</v>
      </c>
      <c r="D35" s="145"/>
    </row>
    <row r="36" spans="1:4" ht="15.75" x14ac:dyDescent="0.2">
      <c r="A36" s="41" t="s">
        <v>31</v>
      </c>
      <c r="B36" s="43" t="s">
        <v>32</v>
      </c>
      <c r="C36" s="40">
        <f>[23]С1!F21</f>
        <v>20.818139999999996</v>
      </c>
      <c r="D36" s="145"/>
    </row>
    <row r="37" spans="1:4" ht="14.25" x14ac:dyDescent="0.2">
      <c r="A37" s="41" t="s">
        <v>33</v>
      </c>
      <c r="B37" s="44" t="s">
        <v>34</v>
      </c>
      <c r="C37" s="40">
        <f>[23]С1!F22</f>
        <v>1.0369999999999999</v>
      </c>
      <c r="D37" s="145" t="s">
        <v>262</v>
      </c>
    </row>
    <row r="38" spans="1:4" ht="53.25" thickBot="1" x14ac:dyDescent="0.25">
      <c r="A38" s="27" t="s">
        <v>35</v>
      </c>
      <c r="B38" s="45" t="s">
        <v>36</v>
      </c>
      <c r="C38" s="46">
        <f>[23]С1!F23</f>
        <v>1.0469999999999999</v>
      </c>
      <c r="D38" s="148" t="s">
        <v>263</v>
      </c>
    </row>
    <row r="39" spans="1:4" ht="13.5" thickBot="1" x14ac:dyDescent="0.25">
      <c r="A39" s="47"/>
      <c r="B39" s="48"/>
      <c r="C39" s="49"/>
      <c r="D39" s="149"/>
    </row>
    <row r="40" spans="1:4" ht="30" customHeight="1" x14ac:dyDescent="0.2">
      <c r="A40" s="50" t="s">
        <v>37</v>
      </c>
      <c r="B40" s="165" t="s">
        <v>38</v>
      </c>
      <c r="C40" s="165"/>
      <c r="D40" s="170"/>
    </row>
    <row r="41" spans="1:4" ht="25.5" x14ac:dyDescent="0.2">
      <c r="A41" s="22" t="s">
        <v>39</v>
      </c>
      <c r="B41" s="36" t="s">
        <v>40</v>
      </c>
      <c r="C41" s="51" t="str">
        <f>[23]С2.1!E12</f>
        <v>V</v>
      </c>
      <c r="D41" s="145" t="s">
        <v>264</v>
      </c>
    </row>
    <row r="42" spans="1:4" ht="242.25" x14ac:dyDescent="0.2">
      <c r="A42" s="22" t="s">
        <v>41</v>
      </c>
      <c r="B42" s="33" t="s">
        <v>42</v>
      </c>
      <c r="C42" s="51" t="str">
        <f>[23]С2.1!E13</f>
        <v>6 и менее баллов</v>
      </c>
      <c r="D42" s="145" t="str">
        <f>[23]С2.1!F13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3" spans="1:4" ht="165.75" x14ac:dyDescent="0.2">
      <c r="A43" s="22" t="s">
        <v>43</v>
      </c>
      <c r="B43" s="33" t="s">
        <v>44</v>
      </c>
      <c r="C43" s="51" t="str">
        <f>[23]С2.1!E14</f>
        <v>от 200 до 500</v>
      </c>
      <c r="D43" s="145" t="str">
        <f>[23]С2.1!F14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4" spans="1:4" ht="25.5" x14ac:dyDescent="0.2">
      <c r="A44" s="22" t="s">
        <v>45</v>
      </c>
      <c r="B44" s="33" t="s">
        <v>46</v>
      </c>
      <c r="C44" s="52" t="str">
        <f>[23]С2.1!E15</f>
        <v>нет</v>
      </c>
      <c r="D44" s="145">
        <f>[23]С2.1!F15</f>
        <v>0</v>
      </c>
    </row>
    <row r="45" spans="1:4" ht="30" x14ac:dyDescent="0.2">
      <c r="A45" s="22" t="s">
        <v>47</v>
      </c>
      <c r="B45" s="33" t="s">
        <v>48</v>
      </c>
      <c r="C45" s="34">
        <f>[23]С2!F18</f>
        <v>35106.652004551666</v>
      </c>
      <c r="D45" s="146"/>
    </row>
    <row r="46" spans="1:4" ht="30" x14ac:dyDescent="0.2">
      <c r="A46" s="22" t="s">
        <v>49</v>
      </c>
      <c r="B46" s="53" t="s">
        <v>50</v>
      </c>
      <c r="C46" s="34">
        <f>IF([23]С2!F19&gt;0,[23]С2!F19,[23]С2!F20)</f>
        <v>23441.524932855718</v>
      </c>
      <c r="D46" s="145"/>
    </row>
    <row r="47" spans="1:4" ht="38.25" x14ac:dyDescent="0.2">
      <c r="A47" s="22" t="s">
        <v>51</v>
      </c>
      <c r="B47" s="54" t="s">
        <v>52</v>
      </c>
      <c r="C47" s="34">
        <f>[23]С2.1!E19</f>
        <v>-38</v>
      </c>
      <c r="D47" s="145" t="str">
        <f>CONCATENATE([23]С2.1!F19,"  ",[23]С2.1!F20)</f>
        <v xml:space="preserve">Схема теплоснабжения (расчетная температура наружного воздуха)  </v>
      </c>
    </row>
    <row r="48" spans="1:4" ht="25.5" x14ac:dyDescent="0.2">
      <c r="A48" s="22" t="s">
        <v>53</v>
      </c>
      <c r="B48" s="54" t="s">
        <v>54</v>
      </c>
      <c r="C48" s="34" t="str">
        <f>[23]С2.1!E22</f>
        <v>нет</v>
      </c>
      <c r="D48" s="150">
        <f>[23]С2.1!F22</f>
        <v>0</v>
      </c>
    </row>
    <row r="49" spans="1:4" ht="38.25" x14ac:dyDescent="0.2">
      <c r="A49" s="22" t="s">
        <v>55</v>
      </c>
      <c r="B49" s="55" t="s">
        <v>56</v>
      </c>
      <c r="C49" s="34">
        <f>[23]С2.2!E10</f>
        <v>1287</v>
      </c>
      <c r="D49" s="145" t="s">
        <v>265</v>
      </c>
    </row>
    <row r="50" spans="1:4" ht="25.5" x14ac:dyDescent="0.2">
      <c r="A50" s="22" t="s">
        <v>57</v>
      </c>
      <c r="B50" s="56" t="s">
        <v>58</v>
      </c>
      <c r="C50" s="34">
        <f>[23]С2.2!E12</f>
        <v>5.97</v>
      </c>
      <c r="D50" s="145" t="s">
        <v>266</v>
      </c>
    </row>
    <row r="51" spans="1:4" ht="52.5" x14ac:dyDescent="0.2">
      <c r="A51" s="22" t="s">
        <v>59</v>
      </c>
      <c r="B51" s="57" t="s">
        <v>60</v>
      </c>
      <c r="C51" s="34">
        <f>[23]С2.2!E13</f>
        <v>1</v>
      </c>
      <c r="D51" s="147" t="s">
        <v>261</v>
      </c>
    </row>
    <row r="52" spans="1:4" ht="27.75" x14ac:dyDescent="0.2">
      <c r="A52" s="22" t="s">
        <v>61</v>
      </c>
      <c r="B52" s="56" t="s">
        <v>62</v>
      </c>
      <c r="C52" s="34">
        <f>[23]С2.2!E14</f>
        <v>12104</v>
      </c>
      <c r="D52" s="145" t="s">
        <v>265</v>
      </c>
    </row>
    <row r="53" spans="1:4" ht="63.75" x14ac:dyDescent="0.2">
      <c r="A53" s="22" t="s">
        <v>63</v>
      </c>
      <c r="B53" s="57" t="s">
        <v>64</v>
      </c>
      <c r="C53" s="35">
        <f>[23]С2.2!E15</f>
        <v>4.8000000000000001E-2</v>
      </c>
      <c r="D53" s="145" t="s">
        <v>267</v>
      </c>
    </row>
    <row r="54" spans="1:4" ht="76.5" x14ac:dyDescent="0.2">
      <c r="A54" s="22" t="s">
        <v>65</v>
      </c>
      <c r="B54" s="57" t="s">
        <v>66</v>
      </c>
      <c r="C54" s="34">
        <f>[23]С2.2!E16</f>
        <v>1</v>
      </c>
      <c r="D54" s="145" t="s">
        <v>268</v>
      </c>
    </row>
    <row r="55" spans="1:4" ht="15.75" x14ac:dyDescent="0.2">
      <c r="A55" s="22" t="s">
        <v>67</v>
      </c>
      <c r="B55" s="58" t="s">
        <v>68</v>
      </c>
      <c r="C55" s="34">
        <f>[23]С2!F21</f>
        <v>1</v>
      </c>
      <c r="D55" s="146" t="s">
        <v>269</v>
      </c>
    </row>
    <row r="56" spans="1:4" ht="30" x14ac:dyDescent="0.2">
      <c r="A56" s="59" t="s">
        <v>69</v>
      </c>
      <c r="B56" s="33" t="s">
        <v>70</v>
      </c>
      <c r="C56" s="34">
        <f>[23]С2!F13</f>
        <v>183796.83936385796</v>
      </c>
      <c r="D56" s="146"/>
    </row>
    <row r="57" spans="1:4" ht="30" x14ac:dyDescent="0.2">
      <c r="A57" s="59" t="s">
        <v>71</v>
      </c>
      <c r="B57" s="58" t="s">
        <v>72</v>
      </c>
      <c r="C57" s="34">
        <f>[23]С2!F14</f>
        <v>113455</v>
      </c>
      <c r="D57" s="146" t="s">
        <v>260</v>
      </c>
    </row>
    <row r="58" spans="1:4" ht="15.75" x14ac:dyDescent="0.2">
      <c r="A58" s="59" t="s">
        <v>73</v>
      </c>
      <c r="B58" s="60" t="s">
        <v>74</v>
      </c>
      <c r="C58" s="40">
        <f>[23]С2!F15</f>
        <v>1.071</v>
      </c>
      <c r="D58" s="146" t="s">
        <v>270</v>
      </c>
    </row>
    <row r="59" spans="1:4" ht="15.75" x14ac:dyDescent="0.2">
      <c r="A59" s="59" t="s">
        <v>75</v>
      </c>
      <c r="B59" s="60" t="s">
        <v>76</v>
      </c>
      <c r="C59" s="40">
        <f>[23]С2!F16</f>
        <v>1</v>
      </c>
      <c r="D59" s="146" t="s">
        <v>269</v>
      </c>
    </row>
    <row r="60" spans="1:4" ht="17.25" x14ac:dyDescent="0.2">
      <c r="A60" s="59" t="s">
        <v>77</v>
      </c>
      <c r="B60" s="58" t="s">
        <v>78</v>
      </c>
      <c r="C60" s="34">
        <f>[23]С2!F17</f>
        <v>1.01</v>
      </c>
      <c r="D60" s="146" t="s">
        <v>271</v>
      </c>
    </row>
    <row r="61" spans="1:4" s="63" customFormat="1" ht="14.25" x14ac:dyDescent="0.2">
      <c r="A61" s="59" t="s">
        <v>79</v>
      </c>
      <c r="B61" s="61" t="s">
        <v>80</v>
      </c>
      <c r="C61" s="62">
        <f>[23]С2!F33</f>
        <v>10</v>
      </c>
      <c r="D61" s="146" t="s">
        <v>272</v>
      </c>
    </row>
    <row r="62" spans="1:4" ht="30" x14ac:dyDescent="0.2">
      <c r="A62" s="59" t="s">
        <v>81</v>
      </c>
      <c r="B62" s="64" t="s">
        <v>82</v>
      </c>
      <c r="C62" s="34">
        <f>[23]С2!F26</f>
        <v>2780.7867618428891</v>
      </c>
      <c r="D62" s="146"/>
    </row>
    <row r="63" spans="1:4" ht="165.75" x14ac:dyDescent="0.2">
      <c r="A63" s="59" t="s">
        <v>83</v>
      </c>
      <c r="B63" s="53" t="s">
        <v>84</v>
      </c>
      <c r="C63" s="34">
        <f>[23]С2!F27</f>
        <v>0.44209422600000003</v>
      </c>
      <c r="D63" s="145" t="str">
        <f>[23]С2.4!F12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4" spans="1:4" ht="17.25" x14ac:dyDescent="0.2">
      <c r="A64" s="59" t="s">
        <v>85</v>
      </c>
      <c r="B64" s="58" t="s">
        <v>86</v>
      </c>
      <c r="C64" s="62">
        <f>[23]С2!F28</f>
        <v>4200</v>
      </c>
      <c r="D64" s="146" t="s">
        <v>260</v>
      </c>
    </row>
    <row r="65" spans="1:4" ht="42.75" x14ac:dyDescent="0.2">
      <c r="A65" s="59" t="s">
        <v>87</v>
      </c>
      <c r="B65" s="33" t="s">
        <v>88</v>
      </c>
      <c r="C65" s="34">
        <f>[23]С2!F22</f>
        <v>38698.422798410109</v>
      </c>
      <c r="D65" s="146"/>
    </row>
    <row r="66" spans="1:4" ht="30" x14ac:dyDescent="0.2">
      <c r="A66" s="59" t="s">
        <v>89</v>
      </c>
      <c r="B66" s="60" t="s">
        <v>90</v>
      </c>
      <c r="C66" s="34">
        <f>[23]С2!F23</f>
        <v>1990</v>
      </c>
      <c r="D66" s="145" t="s">
        <v>273</v>
      </c>
    </row>
    <row r="67" spans="1:4" ht="30" x14ac:dyDescent="0.2">
      <c r="A67" s="59" t="s">
        <v>91</v>
      </c>
      <c r="B67" s="53" t="s">
        <v>92</v>
      </c>
      <c r="C67" s="34">
        <f>[23]С2.1!E27</f>
        <v>14307.876789999998</v>
      </c>
      <c r="D67" s="146"/>
    </row>
    <row r="68" spans="1:4" ht="38.25" x14ac:dyDescent="0.2">
      <c r="A68" s="59" t="s">
        <v>93</v>
      </c>
      <c r="B68" s="65" t="s">
        <v>94</v>
      </c>
      <c r="C68" s="52">
        <f>[23]С2.3!E21</f>
        <v>0</v>
      </c>
      <c r="D68" s="145">
        <f>[23]С2.3!F21</f>
        <v>0</v>
      </c>
    </row>
    <row r="69" spans="1:4" ht="25.5" x14ac:dyDescent="0.2">
      <c r="A69" s="59" t="s">
        <v>95</v>
      </c>
      <c r="B69" s="66" t="s">
        <v>96</v>
      </c>
      <c r="C69" s="67">
        <f>[23]С2.3!E11</f>
        <v>9.89</v>
      </c>
      <c r="D69" s="146" t="s">
        <v>274</v>
      </c>
    </row>
    <row r="70" spans="1:4" ht="25.5" x14ac:dyDescent="0.2">
      <c r="A70" s="59" t="s">
        <v>97</v>
      </c>
      <c r="B70" s="66" t="s">
        <v>98</v>
      </c>
      <c r="C70" s="62">
        <f>[23]С2.3!E13</f>
        <v>300</v>
      </c>
      <c r="D70" s="146" t="s">
        <v>274</v>
      </c>
    </row>
    <row r="71" spans="1:4" ht="25.5" x14ac:dyDescent="0.2">
      <c r="A71" s="59" t="s">
        <v>99</v>
      </c>
      <c r="B71" s="65" t="s">
        <v>100</v>
      </c>
      <c r="C71" s="68">
        <f>IF([23]С2.3!E22&gt;0,[23]С2.3!E22,[23]С2.3!E14)</f>
        <v>61211</v>
      </c>
      <c r="D71" s="145" t="str">
        <f>IF(C71=[23]С2.3!E14,"Таблица ТЭП (IV)",[23]С2.3!F22)</f>
        <v>Таблица ТЭП (IV)</v>
      </c>
    </row>
    <row r="72" spans="1:4" ht="38.25" x14ac:dyDescent="0.2">
      <c r="A72" s="59" t="s">
        <v>101</v>
      </c>
      <c r="B72" s="65" t="s">
        <v>102</v>
      </c>
      <c r="C72" s="68">
        <f>IF([23]С2.3!E23&gt;0,[23]С2.3!E23,[23]С2.3!E15)</f>
        <v>45675</v>
      </c>
      <c r="D72" s="145" t="str">
        <f>IF(C72=[23]С2.3!E15,"Таблица ТЭП (IV)",[23]С2.3!F23)</f>
        <v>Таблица ТЭП (IV)</v>
      </c>
    </row>
    <row r="73" spans="1:4" ht="30" x14ac:dyDescent="0.2">
      <c r="A73" s="59" t="s">
        <v>103</v>
      </c>
      <c r="B73" s="53" t="s">
        <v>104</v>
      </c>
      <c r="C73" s="34">
        <f>[23]С2.1!E28</f>
        <v>9541.9567200000001</v>
      </c>
      <c r="D73" s="146"/>
    </row>
    <row r="74" spans="1:4" ht="38.25" x14ac:dyDescent="0.2">
      <c r="A74" s="59" t="s">
        <v>105</v>
      </c>
      <c r="B74" s="65" t="s">
        <v>106</v>
      </c>
      <c r="C74" s="52">
        <f>[23]С2.3!E25</f>
        <v>0</v>
      </c>
      <c r="D74" s="145">
        <f>[23]С2.3!F25</f>
        <v>0</v>
      </c>
    </row>
    <row r="75" spans="1:4" ht="25.5" x14ac:dyDescent="0.2">
      <c r="A75" s="59" t="s">
        <v>107</v>
      </c>
      <c r="B75" s="66" t="s">
        <v>108</v>
      </c>
      <c r="C75" s="67">
        <f>[23]С2.3!E12</f>
        <v>0.56000000000000005</v>
      </c>
      <c r="D75" s="146" t="s">
        <v>274</v>
      </c>
    </row>
    <row r="76" spans="1:4" ht="25.5" x14ac:dyDescent="0.2">
      <c r="A76" s="59" t="s">
        <v>109</v>
      </c>
      <c r="B76" s="66" t="s">
        <v>98</v>
      </c>
      <c r="C76" s="62">
        <f>[23]С2.3!E13</f>
        <v>300</v>
      </c>
      <c r="D76" s="146" t="s">
        <v>274</v>
      </c>
    </row>
    <row r="77" spans="1:4" ht="25.5" x14ac:dyDescent="0.2">
      <c r="A77" s="59" t="s">
        <v>110</v>
      </c>
      <c r="B77" s="69" t="s">
        <v>111</v>
      </c>
      <c r="C77" s="68">
        <f>IF([23]С2.3!E26&gt;0,[23]С2.3!E26,[23]С2.3!E16)</f>
        <v>65637</v>
      </c>
      <c r="D77" s="145" t="str">
        <f>IF(C77=[23]С2.3!E16,"Таблица ТЭП (IV)",[23]С2.3!F26)</f>
        <v>Таблица ТЭП (IV)</v>
      </c>
    </row>
    <row r="78" spans="1:4" ht="38.25" x14ac:dyDescent="0.2">
      <c r="A78" s="59" t="s">
        <v>112</v>
      </c>
      <c r="B78" s="69" t="s">
        <v>113</v>
      </c>
      <c r="C78" s="68">
        <f>IF([23]С2.3!E27&gt;0,[23]С2.3!E27,[23]С2.3!E17)</f>
        <v>31684</v>
      </c>
      <c r="D78" s="145" t="str">
        <f>IF(C78=[23]С2.3!E17,"Таблица ТЭП (IV)",[23]С2.3!F27)</f>
        <v>Таблица ТЭП (IV)</v>
      </c>
    </row>
    <row r="79" spans="1:4" ht="17.25" x14ac:dyDescent="0.2">
      <c r="A79" s="59" t="s">
        <v>114</v>
      </c>
      <c r="B79" s="33" t="s">
        <v>115</v>
      </c>
      <c r="C79" s="35">
        <f>[23]С2!F29</f>
        <v>9.5962865259740182E-2</v>
      </c>
      <c r="D79" s="151"/>
    </row>
    <row r="80" spans="1:4" ht="30" x14ac:dyDescent="0.2">
      <c r="A80" s="59" t="s">
        <v>116</v>
      </c>
      <c r="B80" s="53" t="s">
        <v>117</v>
      </c>
      <c r="C80" s="70">
        <f>[23]С2!F30</f>
        <v>8.4029304029304031E-2</v>
      </c>
      <c r="D80" s="152" t="str">
        <f>[23]С2.6!G11</f>
        <v>Информация с официального сайта Банка России</v>
      </c>
    </row>
    <row r="81" spans="1:4" ht="17.25" x14ac:dyDescent="0.2">
      <c r="A81" s="59" t="s">
        <v>118</v>
      </c>
      <c r="B81" s="71" t="s">
        <v>119</v>
      </c>
      <c r="C81" s="35">
        <f>[23]С2!F31</f>
        <v>0.13880000000000001</v>
      </c>
      <c r="D81" s="146" t="s">
        <v>272</v>
      </c>
    </row>
    <row r="82" spans="1:4" s="63" customFormat="1" ht="18" thickBot="1" x14ac:dyDescent="0.25">
      <c r="A82" s="72" t="s">
        <v>120</v>
      </c>
      <c r="B82" s="73" t="s">
        <v>121</v>
      </c>
      <c r="C82" s="74">
        <f>[23]С2!F32</f>
        <v>0.12640000000000001</v>
      </c>
      <c r="D82" s="153" t="s">
        <v>272</v>
      </c>
    </row>
    <row r="83" spans="1:4" ht="13.5" thickBot="1" x14ac:dyDescent="0.25">
      <c r="A83" s="47"/>
      <c r="B83" s="75"/>
      <c r="C83" s="15"/>
      <c r="D83" s="154"/>
    </row>
    <row r="84" spans="1:4" s="63" customFormat="1" ht="30" customHeight="1" x14ac:dyDescent="0.2">
      <c r="A84" s="76" t="s">
        <v>122</v>
      </c>
      <c r="B84" s="165" t="s">
        <v>123</v>
      </c>
      <c r="C84" s="165"/>
      <c r="D84" s="170"/>
    </row>
    <row r="85" spans="1:4" s="63" customFormat="1" ht="30" x14ac:dyDescent="0.2">
      <c r="A85" s="77" t="s">
        <v>124</v>
      </c>
      <c r="B85" s="33" t="s">
        <v>125</v>
      </c>
      <c r="C85" s="34">
        <f>[23]С3!F14</f>
        <v>6117.6201782637581</v>
      </c>
      <c r="D85" s="145"/>
    </row>
    <row r="86" spans="1:4" s="63" customFormat="1" ht="42.75" x14ac:dyDescent="0.2">
      <c r="A86" s="77" t="s">
        <v>126</v>
      </c>
      <c r="B86" s="53" t="s">
        <v>127</v>
      </c>
      <c r="C86" s="78">
        <f>[23]С3!F15</f>
        <v>0.2</v>
      </c>
      <c r="D86" s="145">
        <f>[23]С3.1!F12</f>
        <v>0</v>
      </c>
    </row>
    <row r="87" spans="1:4" s="63" customFormat="1" ht="14.25" x14ac:dyDescent="0.2">
      <c r="A87" s="77" t="s">
        <v>128</v>
      </c>
      <c r="B87" s="79" t="s">
        <v>129</v>
      </c>
      <c r="C87" s="62">
        <f>[23]С3!F18</f>
        <v>15</v>
      </c>
      <c r="D87" s="145" t="s">
        <v>272</v>
      </c>
    </row>
    <row r="88" spans="1:4" s="63" customFormat="1" ht="17.25" x14ac:dyDescent="0.2">
      <c r="A88" s="77" t="s">
        <v>130</v>
      </c>
      <c r="B88" s="33" t="s">
        <v>131</v>
      </c>
      <c r="C88" s="34">
        <f>[23]С3!F19</f>
        <v>3778.1614077800232</v>
      </c>
      <c r="D88" s="145"/>
    </row>
    <row r="89" spans="1:4" s="63" customFormat="1" ht="55.5" x14ac:dyDescent="0.2">
      <c r="A89" s="77" t="s">
        <v>132</v>
      </c>
      <c r="B89" s="53" t="s">
        <v>133</v>
      </c>
      <c r="C89" s="80">
        <f>[23]С3!F20</f>
        <v>2.1999999999999999E-2</v>
      </c>
      <c r="D89" s="145">
        <f>[23]С3.1!F13</f>
        <v>0</v>
      </c>
    </row>
    <row r="90" spans="1:4" s="63" customFormat="1" ht="14.25" x14ac:dyDescent="0.2">
      <c r="A90" s="77" t="s">
        <v>134</v>
      </c>
      <c r="B90" s="58" t="s">
        <v>80</v>
      </c>
      <c r="C90" s="62">
        <f>[23]С3!F21</f>
        <v>10</v>
      </c>
      <c r="D90" s="145" t="s">
        <v>272</v>
      </c>
    </row>
    <row r="91" spans="1:4" s="63" customFormat="1" ht="17.25" x14ac:dyDescent="0.2">
      <c r="A91" s="77" t="s">
        <v>135</v>
      </c>
      <c r="B91" s="33" t="s">
        <v>136</v>
      </c>
      <c r="C91" s="34">
        <f>[23]С3!F22</f>
        <v>8.3423602855286667</v>
      </c>
      <c r="D91" s="145"/>
    </row>
    <row r="92" spans="1:4" s="63" customFormat="1" ht="55.5" x14ac:dyDescent="0.2">
      <c r="A92" s="77" t="s">
        <v>137</v>
      </c>
      <c r="B92" s="53" t="s">
        <v>138</v>
      </c>
      <c r="C92" s="80">
        <f>[23]С3!F23</f>
        <v>3.0000000000000001E-3</v>
      </c>
      <c r="D92" s="145">
        <f>[23]С3.1!F14</f>
        <v>0</v>
      </c>
    </row>
    <row r="93" spans="1:4" s="63" customFormat="1" ht="27.75" thickBot="1" x14ac:dyDescent="0.25">
      <c r="A93" s="81" t="s">
        <v>139</v>
      </c>
      <c r="B93" s="82" t="s">
        <v>140</v>
      </c>
      <c r="C93" s="83">
        <f>[23]С3!F24</f>
        <v>2780.7867618428891</v>
      </c>
      <c r="D93" s="148"/>
    </row>
    <row r="94" spans="1:4" ht="13.5" thickBot="1" x14ac:dyDescent="0.25">
      <c r="A94" s="47"/>
      <c r="B94" s="75"/>
      <c r="C94" s="15"/>
      <c r="D94" s="154"/>
    </row>
    <row r="95" spans="1:4" ht="30" customHeight="1" x14ac:dyDescent="0.2">
      <c r="A95" s="84" t="s">
        <v>141</v>
      </c>
      <c r="B95" s="165" t="s">
        <v>142</v>
      </c>
      <c r="C95" s="165"/>
      <c r="D95" s="170"/>
    </row>
    <row r="96" spans="1:4" ht="30" x14ac:dyDescent="0.2">
      <c r="A96" s="59" t="s">
        <v>143</v>
      </c>
      <c r="B96" s="33" t="s">
        <v>144</v>
      </c>
      <c r="C96" s="34">
        <f>[23]С4!F16</f>
        <v>1652.5</v>
      </c>
      <c r="D96" s="145"/>
    </row>
    <row r="97" spans="1:4" ht="30" x14ac:dyDescent="0.2">
      <c r="A97" s="59" t="s">
        <v>145</v>
      </c>
      <c r="B97" s="58" t="s">
        <v>146</v>
      </c>
      <c r="C97" s="34">
        <f>[23]С4!F17</f>
        <v>73547</v>
      </c>
      <c r="D97" s="145" t="s">
        <v>260</v>
      </c>
    </row>
    <row r="98" spans="1:4" ht="17.25" x14ac:dyDescent="0.2">
      <c r="A98" s="59" t="s">
        <v>147</v>
      </c>
      <c r="B98" s="58" t="s">
        <v>148</v>
      </c>
      <c r="C98" s="40">
        <f>[23]С4!F18</f>
        <v>0.02</v>
      </c>
      <c r="D98" s="145" t="s">
        <v>260</v>
      </c>
    </row>
    <row r="99" spans="1:4" ht="30" x14ac:dyDescent="0.2">
      <c r="A99" s="59" t="s">
        <v>149</v>
      </c>
      <c r="B99" s="58" t="s">
        <v>150</v>
      </c>
      <c r="C99" s="34">
        <f>[23]С4!F19</f>
        <v>12104</v>
      </c>
      <c r="D99" s="145" t="s">
        <v>275</v>
      </c>
    </row>
    <row r="100" spans="1:4" ht="31.5" x14ac:dyDescent="0.2">
      <c r="A100" s="59" t="s">
        <v>151</v>
      </c>
      <c r="B100" s="58" t="s">
        <v>152</v>
      </c>
      <c r="C100" s="40">
        <f>[23]С4!F20</f>
        <v>1.4999999999999999E-2</v>
      </c>
      <c r="D100" s="145" t="s">
        <v>275</v>
      </c>
    </row>
    <row r="101" spans="1:4" ht="30" x14ac:dyDescent="0.2">
      <c r="A101" s="59" t="s">
        <v>153</v>
      </c>
      <c r="B101" s="33" t="s">
        <v>154</v>
      </c>
      <c r="C101" s="34">
        <f>[23]С4!F21</f>
        <v>1933.1949342509995</v>
      </c>
      <c r="D101" s="145"/>
    </row>
    <row r="102" spans="1:4" ht="24" customHeight="1" x14ac:dyDescent="0.2">
      <c r="A102" s="59" t="s">
        <v>155</v>
      </c>
      <c r="B102" s="53" t="s">
        <v>156</v>
      </c>
      <c r="C102" s="85">
        <f>IF([23]С4.2!F8="да",[23]С4.2!D21,[23]С4.2!D15)</f>
        <v>0</v>
      </c>
      <c r="D102" s="145"/>
    </row>
    <row r="103" spans="1:4" ht="68.25" x14ac:dyDescent="0.2">
      <c r="A103" s="59" t="s">
        <v>157</v>
      </c>
      <c r="B103" s="53" t="s">
        <v>158</v>
      </c>
      <c r="C103" s="34">
        <f>[23]С4!F22</f>
        <v>3.6112641666666665</v>
      </c>
      <c r="D103" s="145">
        <f>IF([23]С4.2!F8="да",[23]С4.2!E21,[23]С4.2!E15)</f>
        <v>0</v>
      </c>
    </row>
    <row r="104" spans="1:4" ht="30" x14ac:dyDescent="0.2">
      <c r="A104" s="59" t="s">
        <v>159</v>
      </c>
      <c r="B104" s="58" t="s">
        <v>160</v>
      </c>
      <c r="C104" s="34">
        <f>[23]С4!F23</f>
        <v>180</v>
      </c>
      <c r="D104" s="145" t="s">
        <v>273</v>
      </c>
    </row>
    <row r="105" spans="1:4" ht="14.25" x14ac:dyDescent="0.2">
      <c r="A105" s="59" t="s">
        <v>161</v>
      </c>
      <c r="B105" s="53" t="s">
        <v>162</v>
      </c>
      <c r="C105" s="34">
        <f>[23]С4!F24</f>
        <v>8497.1999999999989</v>
      </c>
      <c r="D105" s="145" t="s">
        <v>260</v>
      </c>
    </row>
    <row r="106" spans="1:4" ht="14.25" x14ac:dyDescent="0.2">
      <c r="A106" s="59" t="s">
        <v>163</v>
      </c>
      <c r="B106" s="58" t="s">
        <v>164</v>
      </c>
      <c r="C106" s="40">
        <f>[23]С4!F25</f>
        <v>0.35</v>
      </c>
      <c r="D106" s="145" t="s">
        <v>276</v>
      </c>
    </row>
    <row r="107" spans="1:4" ht="17.25" x14ac:dyDescent="0.2">
      <c r="A107" s="59" t="s">
        <v>165</v>
      </c>
      <c r="B107" s="33" t="s">
        <v>166</v>
      </c>
      <c r="C107" s="34">
        <f>[23]С4!F26</f>
        <v>85.988129999999998</v>
      </c>
      <c r="D107" s="145"/>
    </row>
    <row r="108" spans="1:4" ht="25.5" x14ac:dyDescent="0.2">
      <c r="A108" s="59" t="s">
        <v>167</v>
      </c>
      <c r="B108" s="53" t="s">
        <v>94</v>
      </c>
      <c r="C108" s="85">
        <f>[23]С4.3!E16</f>
        <v>0</v>
      </c>
      <c r="D108" s="145">
        <f>[23]С4.3!F16</f>
        <v>0</v>
      </c>
    </row>
    <row r="109" spans="1:4" ht="25.5" x14ac:dyDescent="0.2">
      <c r="A109" s="59" t="s">
        <v>168</v>
      </c>
      <c r="B109" s="53" t="s">
        <v>169</v>
      </c>
      <c r="C109" s="34">
        <f>[23]С4.3!E17</f>
        <v>20.350000000000001</v>
      </c>
      <c r="D109" s="150">
        <f>[23]С4.3!F17</f>
        <v>0</v>
      </c>
    </row>
    <row r="110" spans="1:4" ht="38.25" x14ac:dyDescent="0.2">
      <c r="A110" s="59" t="s">
        <v>170</v>
      </c>
      <c r="B110" s="53" t="s">
        <v>106</v>
      </c>
      <c r="C110" s="85">
        <f>[23]С4.3!E18</f>
        <v>0</v>
      </c>
      <c r="D110" s="145">
        <f>[23]С4.3!F18</f>
        <v>0</v>
      </c>
    </row>
    <row r="111" spans="1:4" x14ac:dyDescent="0.2">
      <c r="A111" s="59" t="s">
        <v>171</v>
      </c>
      <c r="B111" s="53" t="s">
        <v>172</v>
      </c>
      <c r="C111" s="34">
        <f>[23]С4.3!E19</f>
        <v>71.67</v>
      </c>
      <c r="D111" s="150">
        <f>[23]С4.3!F19</f>
        <v>0</v>
      </c>
    </row>
    <row r="112" spans="1:4" x14ac:dyDescent="0.2">
      <c r="A112" s="59" t="s">
        <v>173</v>
      </c>
      <c r="B112" s="58" t="s">
        <v>174</v>
      </c>
      <c r="C112" s="34">
        <f>[23]С4.3!E11</f>
        <v>1871</v>
      </c>
      <c r="D112" s="145" t="s">
        <v>260</v>
      </c>
    </row>
    <row r="113" spans="1:4" x14ac:dyDescent="0.2">
      <c r="A113" s="59" t="s">
        <v>175</v>
      </c>
      <c r="B113" s="58" t="s">
        <v>176</v>
      </c>
      <c r="C113" s="52">
        <f>[23]С4.3!E12</f>
        <v>1636</v>
      </c>
      <c r="D113" s="145" t="s">
        <v>260</v>
      </c>
    </row>
    <row r="114" spans="1:4" x14ac:dyDescent="0.2">
      <c r="A114" s="59" t="s">
        <v>177</v>
      </c>
      <c r="B114" s="58" t="s">
        <v>178</v>
      </c>
      <c r="C114" s="52">
        <f>[23]С4.3!E13</f>
        <v>204</v>
      </c>
      <c r="D114" s="145" t="s">
        <v>260</v>
      </c>
    </row>
    <row r="115" spans="1:4" ht="30" x14ac:dyDescent="0.2">
      <c r="A115" s="59" t="s">
        <v>179</v>
      </c>
      <c r="B115" s="33" t="s">
        <v>180</v>
      </c>
      <c r="C115" s="34">
        <f>[23]С4!F27</f>
        <v>1291.2863994686898</v>
      </c>
      <c r="D115" s="145"/>
    </row>
    <row r="116" spans="1:4" ht="25.5" x14ac:dyDescent="0.2">
      <c r="A116" s="59" t="s">
        <v>181</v>
      </c>
      <c r="B116" s="53" t="s">
        <v>182</v>
      </c>
      <c r="C116" s="34">
        <f>[23]С4!F28</f>
        <v>991.77142816335618</v>
      </c>
      <c r="D116" s="150"/>
    </row>
    <row r="117" spans="1:4" ht="42.75" x14ac:dyDescent="0.2">
      <c r="A117" s="59" t="s">
        <v>183</v>
      </c>
      <c r="B117" s="53" t="s">
        <v>184</v>
      </c>
      <c r="C117" s="34">
        <f>[23]С4!F29</f>
        <v>299.51497130533357</v>
      </c>
      <c r="D117" s="145"/>
    </row>
    <row r="118" spans="1:4" ht="30" x14ac:dyDescent="0.2">
      <c r="A118" s="59" t="s">
        <v>185</v>
      </c>
      <c r="B118" s="39" t="s">
        <v>186</v>
      </c>
      <c r="C118" s="34">
        <f>[23]С4!F30</f>
        <v>1708.5430685767656</v>
      </c>
      <c r="D118" s="145"/>
    </row>
    <row r="119" spans="1:4" ht="42.75" x14ac:dyDescent="0.2">
      <c r="A119" s="59" t="s">
        <v>187</v>
      </c>
      <c r="B119" s="86" t="s">
        <v>188</v>
      </c>
      <c r="C119" s="34">
        <f>[23]С4!F33</f>
        <v>986.46332023711193</v>
      </c>
      <c r="D119" s="145"/>
    </row>
    <row r="120" spans="1:4" ht="30" x14ac:dyDescent="0.2">
      <c r="A120" s="59" t="s">
        <v>189</v>
      </c>
      <c r="B120" s="87" t="s">
        <v>190</v>
      </c>
      <c r="C120" s="34">
        <f>[23]С4!F35</f>
        <v>17.040680999999999</v>
      </c>
      <c r="D120" s="150"/>
    </row>
    <row r="121" spans="1:4" ht="14.25" x14ac:dyDescent="0.2">
      <c r="A121" s="59" t="s">
        <v>191</v>
      </c>
      <c r="B121" s="56" t="s">
        <v>192</v>
      </c>
      <c r="C121" s="34">
        <f>[23]С4!F36</f>
        <v>14319.9</v>
      </c>
      <c r="D121" s="145" t="s">
        <v>277</v>
      </c>
    </row>
    <row r="122" spans="1:4" ht="28.5" thickBot="1" x14ac:dyDescent="0.25">
      <c r="A122" s="72" t="s">
        <v>193</v>
      </c>
      <c r="B122" s="88" t="s">
        <v>194</v>
      </c>
      <c r="C122" s="83">
        <f>[23]С4!F37</f>
        <v>1.19</v>
      </c>
      <c r="D122" s="148" t="str">
        <f>[23]С4.1!F12</f>
        <v>пп № 274 от 01.03.2022</v>
      </c>
    </row>
    <row r="123" spans="1:4" s="89" customFormat="1" ht="13.5" thickBot="1" x14ac:dyDescent="0.25">
      <c r="A123" s="47"/>
      <c r="B123" s="75"/>
      <c r="C123" s="15"/>
      <c r="D123" s="154"/>
    </row>
    <row r="124" spans="1:4" s="63" customFormat="1" ht="30" customHeight="1" x14ac:dyDescent="0.2">
      <c r="A124" s="76" t="s">
        <v>195</v>
      </c>
      <c r="B124" s="165" t="s">
        <v>196</v>
      </c>
      <c r="C124" s="165"/>
      <c r="D124" s="170"/>
    </row>
    <row r="125" spans="1:4" ht="16.5" thickBot="1" x14ac:dyDescent="0.25">
      <c r="A125" s="27" t="s">
        <v>197</v>
      </c>
      <c r="B125" s="90" t="s">
        <v>198</v>
      </c>
      <c r="C125" s="83">
        <f>[23]С5!F17</f>
        <v>0.02</v>
      </c>
      <c r="D125" s="155" t="s">
        <v>261</v>
      </c>
    </row>
    <row r="126" spans="1:4" s="89" customFormat="1" ht="13.5" thickBot="1" x14ac:dyDescent="0.25">
      <c r="A126" s="47"/>
      <c r="B126" s="75"/>
      <c r="C126" s="15"/>
      <c r="D126" s="154"/>
    </row>
    <row r="127" spans="1:4" ht="42.75" customHeight="1" x14ac:dyDescent="0.2">
      <c r="A127" s="84" t="s">
        <v>199</v>
      </c>
      <c r="B127" s="166" t="s">
        <v>200</v>
      </c>
      <c r="C127" s="166"/>
      <c r="D127" s="171"/>
    </row>
    <row r="128" spans="1:4" ht="68.25" x14ac:dyDescent="0.2">
      <c r="A128" s="59" t="s">
        <v>201</v>
      </c>
      <c r="B128" s="91" t="s">
        <v>202</v>
      </c>
      <c r="C128" s="34" t="s">
        <v>203</v>
      </c>
      <c r="D128" s="146" t="s">
        <v>261</v>
      </c>
    </row>
    <row r="129" spans="1:5" ht="42.75" hidden="1" x14ac:dyDescent="0.2">
      <c r="A129" s="59" t="s">
        <v>204</v>
      </c>
      <c r="B129" s="86" t="s">
        <v>205</v>
      </c>
      <c r="C129" s="92"/>
      <c r="D129" s="145"/>
    </row>
    <row r="130" spans="1:5" ht="69" thickBot="1" x14ac:dyDescent="0.25">
      <c r="A130" s="72" t="s">
        <v>206</v>
      </c>
      <c r="B130" s="93" t="s">
        <v>207</v>
      </c>
      <c r="C130" s="94" t="s">
        <v>203</v>
      </c>
      <c r="D130" s="153" t="s">
        <v>261</v>
      </c>
    </row>
    <row r="131" spans="1:5" ht="62.25" hidden="1" customHeight="1" x14ac:dyDescent="0.2">
      <c r="A131" s="95" t="s">
        <v>208</v>
      </c>
      <c r="B131" s="96" t="s">
        <v>209</v>
      </c>
      <c r="C131" s="97"/>
      <c r="D131" s="156"/>
    </row>
    <row r="132" spans="1:5" ht="68.25" hidden="1" x14ac:dyDescent="0.2">
      <c r="A132" s="59" t="s">
        <v>210</v>
      </c>
      <c r="B132" s="86" t="s">
        <v>211</v>
      </c>
      <c r="C132" s="35"/>
      <c r="D132" s="145"/>
    </row>
    <row r="133" spans="1:5" ht="69" hidden="1" thickBot="1" x14ac:dyDescent="0.25">
      <c r="A133" s="72" t="s">
        <v>212</v>
      </c>
      <c r="B133" s="98" t="s">
        <v>213</v>
      </c>
      <c r="C133" s="74"/>
      <c r="D133" s="148"/>
    </row>
    <row r="134" spans="1:5" s="89" customFormat="1" ht="13.5" thickBot="1" x14ac:dyDescent="0.25">
      <c r="A134" s="47"/>
      <c r="B134" s="75"/>
      <c r="C134" s="15"/>
      <c r="D134" s="154"/>
    </row>
    <row r="135" spans="1:5" ht="26.25" customHeight="1" x14ac:dyDescent="0.2">
      <c r="A135" s="84" t="s">
        <v>214</v>
      </c>
      <c r="B135" s="99" t="s">
        <v>215</v>
      </c>
      <c r="C135" s="100">
        <f>[23]С2!F37</f>
        <v>20.818139999999996</v>
      </c>
      <c r="D135" s="157"/>
    </row>
    <row r="136" spans="1:5" ht="14.25" x14ac:dyDescent="0.2">
      <c r="A136" s="59" t="s">
        <v>216</v>
      </c>
      <c r="B136" s="101" t="s">
        <v>217</v>
      </c>
      <c r="C136" s="34">
        <f>[23]С2!F38</f>
        <v>7</v>
      </c>
      <c r="D136" s="145" t="s">
        <v>260</v>
      </c>
    </row>
    <row r="137" spans="1:5" ht="17.25" x14ac:dyDescent="0.2">
      <c r="A137" s="59" t="s">
        <v>218</v>
      </c>
      <c r="B137" s="101" t="s">
        <v>219</v>
      </c>
      <c r="C137" s="34">
        <f>[23]С2!F40</f>
        <v>0.97</v>
      </c>
      <c r="D137" s="145" t="s">
        <v>260</v>
      </c>
    </row>
    <row r="138" spans="1:5" ht="15" thickBot="1" x14ac:dyDescent="0.25">
      <c r="A138" s="72" t="s">
        <v>220</v>
      </c>
      <c r="B138" s="102" t="s">
        <v>221</v>
      </c>
      <c r="C138" s="46">
        <f>[23]С2!F42</f>
        <v>0.35</v>
      </c>
      <c r="D138" s="148" t="s">
        <v>276</v>
      </c>
    </row>
    <row r="139" spans="1:5" s="89" customFormat="1" ht="13.5" thickBot="1" x14ac:dyDescent="0.25">
      <c r="A139" s="47"/>
      <c r="B139" s="75"/>
      <c r="C139" s="15"/>
      <c r="D139" s="154"/>
    </row>
    <row r="140" spans="1:5" ht="409.5" x14ac:dyDescent="0.2">
      <c r="A140" s="84" t="s">
        <v>222</v>
      </c>
      <c r="B140" s="103" t="s">
        <v>223</v>
      </c>
      <c r="C140" s="104">
        <f>[23]С2!F35</f>
        <v>1.4976266307379205</v>
      </c>
      <c r="D140" s="158" t="str">
        <f>[23]С2.5!D15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0" s="89"/>
    </row>
    <row r="141" spans="1:5" ht="22.7" customHeight="1" thickBot="1" x14ac:dyDescent="0.25">
      <c r="A141" s="72" t="s">
        <v>224</v>
      </c>
      <c r="B141" s="161" t="s">
        <v>225</v>
      </c>
      <c r="C141" s="161"/>
      <c r="D141" s="168"/>
      <c r="E141" s="89"/>
    </row>
    <row r="142" spans="1:5" ht="13.5" thickBot="1" x14ac:dyDescent="0.25">
      <c r="A142" s="105"/>
      <c r="B142" s="106" t="s">
        <v>226</v>
      </c>
      <c r="C142" s="107"/>
      <c r="D142" s="142"/>
      <c r="E142" s="89"/>
    </row>
    <row r="143" spans="1:5" x14ac:dyDescent="0.2">
      <c r="A143" s="105"/>
      <c r="B143" s="108">
        <v>2020</v>
      </c>
      <c r="C143" s="109">
        <f>[23]С2.5!$E$11</f>
        <v>-2.9000000000000026E-2</v>
      </c>
      <c r="D143" s="142"/>
      <c r="E143" s="89"/>
    </row>
    <row r="144" spans="1:5" x14ac:dyDescent="0.2">
      <c r="A144" s="105"/>
      <c r="B144" s="110">
        <f>B143+1</f>
        <v>2021</v>
      </c>
      <c r="C144" s="111">
        <f>[23]С2.5!$F$11</f>
        <v>0.245</v>
      </c>
      <c r="D144" s="142"/>
      <c r="E144" s="89"/>
    </row>
    <row r="145" spans="1:5" x14ac:dyDescent="0.2">
      <c r="A145" s="105"/>
      <c r="B145" s="110">
        <f t="shared" ref="B145:B208" si="0">B144+1</f>
        <v>2022</v>
      </c>
      <c r="C145" s="111">
        <f>[23]С2.5!$G$11</f>
        <v>0.114</v>
      </c>
      <c r="D145" s="142"/>
      <c r="E145" s="89"/>
    </row>
    <row r="146" spans="1:5" ht="13.5" thickBot="1" x14ac:dyDescent="0.25">
      <c r="A146" s="105"/>
      <c r="B146" s="112">
        <f t="shared" si="0"/>
        <v>2023</v>
      </c>
      <c r="C146" s="113">
        <f>[23]С2.5!$H$11</f>
        <v>2.4E-2</v>
      </c>
      <c r="D146" s="142"/>
      <c r="E146" s="89"/>
    </row>
    <row r="147" spans="1:5" x14ac:dyDescent="0.2">
      <c r="A147" s="105"/>
      <c r="B147" s="114">
        <f t="shared" si="0"/>
        <v>2024</v>
      </c>
      <c r="C147" s="115">
        <f>[23]С2.5!$I$11</f>
        <v>8.5999999999999993E-2</v>
      </c>
      <c r="D147" s="142"/>
      <c r="E147" s="89"/>
    </row>
    <row r="148" spans="1:5" hidden="1" x14ac:dyDescent="0.2">
      <c r="A148" s="105"/>
      <c r="B148" s="110">
        <f t="shared" si="0"/>
        <v>2025</v>
      </c>
      <c r="C148" s="111">
        <f>[23]С2.5!$J$11</f>
        <v>0.21215960863291</v>
      </c>
      <c r="D148" s="142"/>
      <c r="E148" s="89"/>
    </row>
    <row r="149" spans="1:5" hidden="1" x14ac:dyDescent="0.2">
      <c r="A149" s="105"/>
      <c r="B149" s="110">
        <f t="shared" si="0"/>
        <v>2026</v>
      </c>
      <c r="C149" s="111">
        <f>[23]С2.5!$K$11</f>
        <v>3.5813361771260002E-2</v>
      </c>
      <c r="D149" s="142"/>
      <c r="E149" s="89"/>
    </row>
    <row r="150" spans="1:5" hidden="1" x14ac:dyDescent="0.2">
      <c r="A150" s="105"/>
      <c r="B150" s="110">
        <f t="shared" si="0"/>
        <v>2027</v>
      </c>
      <c r="C150" s="111">
        <f>[23]С2.5!$L$11</f>
        <v>3.2682303599220003E-2</v>
      </c>
      <c r="D150" s="142"/>
      <c r="E150" s="89"/>
    </row>
    <row r="151" spans="1:5" hidden="1" x14ac:dyDescent="0.2">
      <c r="A151" s="105"/>
      <c r="B151" s="110">
        <f t="shared" si="0"/>
        <v>2028</v>
      </c>
      <c r="C151" s="111">
        <f>[23]С2.5!$M$11</f>
        <v>0</v>
      </c>
      <c r="D151" s="142"/>
      <c r="E151" s="89"/>
    </row>
    <row r="152" spans="1:5" hidden="1" x14ac:dyDescent="0.2">
      <c r="A152" s="105"/>
      <c r="B152" s="110">
        <f t="shared" si="0"/>
        <v>2029</v>
      </c>
      <c r="C152" s="111">
        <f>[23]С2.5!$N$11</f>
        <v>0</v>
      </c>
      <c r="D152" s="142"/>
      <c r="E152" s="89"/>
    </row>
    <row r="153" spans="1:5" hidden="1" x14ac:dyDescent="0.2">
      <c r="A153" s="105"/>
      <c r="B153" s="110">
        <f t="shared" si="0"/>
        <v>2030</v>
      </c>
      <c r="C153" s="111">
        <f>[23]С2.5!$O$11</f>
        <v>0</v>
      </c>
      <c r="D153" s="142"/>
      <c r="E153" s="89"/>
    </row>
    <row r="154" spans="1:5" hidden="1" x14ac:dyDescent="0.2">
      <c r="A154" s="105"/>
      <c r="B154" s="110">
        <f t="shared" si="0"/>
        <v>2031</v>
      </c>
      <c r="C154" s="111">
        <f>[23]С2.5!$P$11</f>
        <v>0</v>
      </c>
      <c r="D154" s="142"/>
      <c r="E154" s="89"/>
    </row>
    <row r="155" spans="1:5" hidden="1" x14ac:dyDescent="0.2">
      <c r="A155" s="89"/>
      <c r="B155" s="110">
        <f t="shared" si="0"/>
        <v>2032</v>
      </c>
      <c r="C155" s="111">
        <f>[23]С2.5!$Q$11</f>
        <v>0</v>
      </c>
      <c r="D155" s="142"/>
      <c r="E155" s="89"/>
    </row>
    <row r="156" spans="1:5" hidden="1" x14ac:dyDescent="0.2">
      <c r="A156" s="89"/>
      <c r="B156" s="110">
        <f t="shared" si="0"/>
        <v>2033</v>
      </c>
      <c r="C156" s="111">
        <f>[23]С2.5!$R$11</f>
        <v>0</v>
      </c>
      <c r="D156" s="142"/>
      <c r="E156" s="89"/>
    </row>
    <row r="157" spans="1:5" hidden="1" x14ac:dyDescent="0.2">
      <c r="B157" s="110">
        <f t="shared" si="0"/>
        <v>2034</v>
      </c>
      <c r="C157" s="111">
        <f>[23]С2.5!$S$11</f>
        <v>0</v>
      </c>
    </row>
    <row r="158" spans="1:5" hidden="1" x14ac:dyDescent="0.2">
      <c r="B158" s="110">
        <f t="shared" si="0"/>
        <v>2035</v>
      </c>
      <c r="C158" s="111">
        <f>[23]С2.5!$T$11</f>
        <v>0</v>
      </c>
    </row>
    <row r="159" spans="1:5" hidden="1" x14ac:dyDescent="0.2">
      <c r="B159" s="110">
        <f t="shared" si="0"/>
        <v>2036</v>
      </c>
      <c r="C159" s="111">
        <f>[23]С2.5!$U$11</f>
        <v>0</v>
      </c>
    </row>
    <row r="160" spans="1:5" hidden="1" x14ac:dyDescent="0.2">
      <c r="B160" s="110">
        <f t="shared" si="0"/>
        <v>2037</v>
      </c>
      <c r="C160" s="111">
        <f>[23]С2.5!$V$11</f>
        <v>0</v>
      </c>
    </row>
    <row r="161" spans="2:3" s="2" customFormat="1" hidden="1" x14ac:dyDescent="0.2">
      <c r="B161" s="110">
        <f t="shared" si="0"/>
        <v>2038</v>
      </c>
      <c r="C161" s="111">
        <f>[23]С2.5!$W$11</f>
        <v>0</v>
      </c>
    </row>
    <row r="162" spans="2:3" s="2" customFormat="1" hidden="1" x14ac:dyDescent="0.2">
      <c r="B162" s="110">
        <f t="shared" si="0"/>
        <v>2039</v>
      </c>
      <c r="C162" s="111">
        <f>[23]С2.5!$X$11</f>
        <v>0</v>
      </c>
    </row>
    <row r="163" spans="2:3" s="2" customFormat="1" hidden="1" x14ac:dyDescent="0.2">
      <c r="B163" s="110">
        <f t="shared" si="0"/>
        <v>2040</v>
      </c>
      <c r="C163" s="111">
        <f>[23]С2.5!$Y$11</f>
        <v>0</v>
      </c>
    </row>
    <row r="164" spans="2:3" s="2" customFormat="1" hidden="1" x14ac:dyDescent="0.2">
      <c r="B164" s="110">
        <f t="shared" si="0"/>
        <v>2041</v>
      </c>
      <c r="C164" s="111">
        <f>[23]С2.5!$Z$11</f>
        <v>0</v>
      </c>
    </row>
    <row r="165" spans="2:3" s="2" customFormat="1" hidden="1" x14ac:dyDescent="0.2">
      <c r="B165" s="110">
        <f t="shared" si="0"/>
        <v>2042</v>
      </c>
      <c r="C165" s="111">
        <f>[23]С2.5!$AA$11</f>
        <v>0</v>
      </c>
    </row>
    <row r="166" spans="2:3" s="2" customFormat="1" hidden="1" x14ac:dyDescent="0.2">
      <c r="B166" s="110">
        <f t="shared" si="0"/>
        <v>2043</v>
      </c>
      <c r="C166" s="111">
        <f>[23]С2.5!$AB$11</f>
        <v>0</v>
      </c>
    </row>
    <row r="167" spans="2:3" s="2" customFormat="1" hidden="1" x14ac:dyDescent="0.2">
      <c r="B167" s="110">
        <f t="shared" si="0"/>
        <v>2044</v>
      </c>
      <c r="C167" s="111">
        <f>[23]С2.5!$AC$11</f>
        <v>0</v>
      </c>
    </row>
    <row r="168" spans="2:3" s="2" customFormat="1" hidden="1" x14ac:dyDescent="0.2">
      <c r="B168" s="110">
        <f t="shared" si="0"/>
        <v>2045</v>
      </c>
      <c r="C168" s="111">
        <f>[23]С2.5!$AD$11</f>
        <v>0</v>
      </c>
    </row>
    <row r="169" spans="2:3" s="2" customFormat="1" hidden="1" x14ac:dyDescent="0.2">
      <c r="B169" s="110">
        <f t="shared" si="0"/>
        <v>2046</v>
      </c>
      <c r="C169" s="111">
        <f>[23]С2.5!$AE$11</f>
        <v>0</v>
      </c>
    </row>
    <row r="170" spans="2:3" s="2" customFormat="1" hidden="1" x14ac:dyDescent="0.2">
      <c r="B170" s="110">
        <f t="shared" si="0"/>
        <v>2047</v>
      </c>
      <c r="C170" s="111">
        <f>[23]С2.5!$AF$11</f>
        <v>0</v>
      </c>
    </row>
    <row r="171" spans="2:3" s="2" customFormat="1" hidden="1" x14ac:dyDescent="0.2">
      <c r="B171" s="110">
        <f t="shared" si="0"/>
        <v>2048</v>
      </c>
      <c r="C171" s="111">
        <f>[23]С2.5!$AG$11</f>
        <v>0</v>
      </c>
    </row>
    <row r="172" spans="2:3" s="2" customFormat="1" hidden="1" x14ac:dyDescent="0.2">
      <c r="B172" s="110">
        <f t="shared" si="0"/>
        <v>2049</v>
      </c>
      <c r="C172" s="111">
        <f>[23]С2.5!$AH$11</f>
        <v>0</v>
      </c>
    </row>
    <row r="173" spans="2:3" s="2" customFormat="1" hidden="1" x14ac:dyDescent="0.2">
      <c r="B173" s="110">
        <f t="shared" si="0"/>
        <v>2050</v>
      </c>
      <c r="C173" s="111">
        <f>[23]С2.5!$AI$11</f>
        <v>0</v>
      </c>
    </row>
    <row r="174" spans="2:3" s="2" customFormat="1" hidden="1" x14ac:dyDescent="0.2">
      <c r="B174" s="110">
        <f t="shared" si="0"/>
        <v>2051</v>
      </c>
      <c r="C174" s="111">
        <f>[23]С2.5!$AJ$11</f>
        <v>0</v>
      </c>
    </row>
    <row r="175" spans="2:3" s="2" customFormat="1" hidden="1" x14ac:dyDescent="0.2">
      <c r="B175" s="110">
        <f t="shared" si="0"/>
        <v>2052</v>
      </c>
      <c r="C175" s="111">
        <f>[23]С2.5!$AK$11</f>
        <v>0</v>
      </c>
    </row>
    <row r="176" spans="2:3" s="2" customFormat="1" hidden="1" x14ac:dyDescent="0.2">
      <c r="B176" s="110">
        <f t="shared" si="0"/>
        <v>2053</v>
      </c>
      <c r="C176" s="111">
        <f>[23]С2.5!$AL$11</f>
        <v>0</v>
      </c>
    </row>
    <row r="177" spans="2:3" s="2" customFormat="1" hidden="1" x14ac:dyDescent="0.2">
      <c r="B177" s="110">
        <f t="shared" si="0"/>
        <v>2054</v>
      </c>
      <c r="C177" s="111">
        <f>[23]С2.5!$AM$11</f>
        <v>0</v>
      </c>
    </row>
    <row r="178" spans="2:3" s="2" customFormat="1" hidden="1" x14ac:dyDescent="0.2">
      <c r="B178" s="110">
        <f t="shared" si="0"/>
        <v>2055</v>
      </c>
      <c r="C178" s="111">
        <f>[23]С2.5!$AN$11</f>
        <v>0</v>
      </c>
    </row>
    <row r="179" spans="2:3" s="2" customFormat="1" hidden="1" x14ac:dyDescent="0.2">
      <c r="B179" s="110">
        <f t="shared" si="0"/>
        <v>2056</v>
      </c>
      <c r="C179" s="111">
        <f>[23]С2.5!$AO$11</f>
        <v>0</v>
      </c>
    </row>
    <row r="180" spans="2:3" s="2" customFormat="1" hidden="1" x14ac:dyDescent="0.2">
      <c r="B180" s="110">
        <f t="shared" si="0"/>
        <v>2057</v>
      </c>
      <c r="C180" s="111">
        <f>[23]С2.5!$AP$11</f>
        <v>0</v>
      </c>
    </row>
    <row r="181" spans="2:3" s="2" customFormat="1" hidden="1" x14ac:dyDescent="0.2">
      <c r="B181" s="110">
        <f t="shared" si="0"/>
        <v>2058</v>
      </c>
      <c r="C181" s="111">
        <f>[23]С2.5!$AQ$11</f>
        <v>0</v>
      </c>
    </row>
    <row r="182" spans="2:3" s="2" customFormat="1" hidden="1" x14ac:dyDescent="0.2">
      <c r="B182" s="110">
        <f t="shared" si="0"/>
        <v>2059</v>
      </c>
      <c r="C182" s="111">
        <f>[23]С2.5!$AR$11</f>
        <v>0</v>
      </c>
    </row>
    <row r="183" spans="2:3" s="2" customFormat="1" hidden="1" x14ac:dyDescent="0.2">
      <c r="B183" s="110">
        <f t="shared" si="0"/>
        <v>2060</v>
      </c>
      <c r="C183" s="111">
        <f>[23]С2.5!$AS$11</f>
        <v>0</v>
      </c>
    </row>
    <row r="184" spans="2:3" s="2" customFormat="1" hidden="1" x14ac:dyDescent="0.2">
      <c r="B184" s="110">
        <f t="shared" si="0"/>
        <v>2061</v>
      </c>
      <c r="C184" s="111">
        <f>[23]С2.5!$AT$11</f>
        <v>0</v>
      </c>
    </row>
    <row r="185" spans="2:3" s="2" customFormat="1" hidden="1" x14ac:dyDescent="0.2">
      <c r="B185" s="110">
        <f t="shared" si="0"/>
        <v>2062</v>
      </c>
      <c r="C185" s="111">
        <f>[23]С2.5!$AU$11</f>
        <v>0</v>
      </c>
    </row>
    <row r="186" spans="2:3" s="2" customFormat="1" hidden="1" x14ac:dyDescent="0.2">
      <c r="B186" s="110">
        <f t="shared" si="0"/>
        <v>2063</v>
      </c>
      <c r="C186" s="111">
        <f>[23]С2.5!$AV$11</f>
        <v>0</v>
      </c>
    </row>
    <row r="187" spans="2:3" s="2" customFormat="1" hidden="1" x14ac:dyDescent="0.2">
      <c r="B187" s="110">
        <f t="shared" si="0"/>
        <v>2064</v>
      </c>
      <c r="C187" s="111">
        <f>[23]С2.5!$AW$11</f>
        <v>0</v>
      </c>
    </row>
    <row r="188" spans="2:3" s="2" customFormat="1" hidden="1" x14ac:dyDescent="0.2">
      <c r="B188" s="110">
        <f t="shared" si="0"/>
        <v>2065</v>
      </c>
      <c r="C188" s="111">
        <f>[23]С2.5!$AX$11</f>
        <v>0</v>
      </c>
    </row>
    <row r="189" spans="2:3" s="2" customFormat="1" hidden="1" x14ac:dyDescent="0.2">
      <c r="B189" s="110">
        <f t="shared" si="0"/>
        <v>2066</v>
      </c>
      <c r="C189" s="111">
        <f>[23]С2.5!$AY$11</f>
        <v>0</v>
      </c>
    </row>
    <row r="190" spans="2:3" s="2" customFormat="1" hidden="1" x14ac:dyDescent="0.2">
      <c r="B190" s="110">
        <f t="shared" si="0"/>
        <v>2067</v>
      </c>
      <c r="C190" s="111">
        <f>[23]С2.5!$AZ$11</f>
        <v>0</v>
      </c>
    </row>
    <row r="191" spans="2:3" s="2" customFormat="1" hidden="1" x14ac:dyDescent="0.2">
      <c r="B191" s="110">
        <f t="shared" si="0"/>
        <v>2068</v>
      </c>
      <c r="C191" s="111">
        <f>[23]С2.5!$BA$11</f>
        <v>0</v>
      </c>
    </row>
    <row r="192" spans="2:3" s="2" customFormat="1" hidden="1" x14ac:dyDescent="0.2">
      <c r="B192" s="110">
        <f t="shared" si="0"/>
        <v>2069</v>
      </c>
      <c r="C192" s="111">
        <f>[23]С2.5!$BB$11</f>
        <v>0</v>
      </c>
    </row>
    <row r="193" spans="2:3" s="2" customFormat="1" hidden="1" x14ac:dyDescent="0.2">
      <c r="B193" s="110">
        <f t="shared" si="0"/>
        <v>2070</v>
      </c>
      <c r="C193" s="111">
        <f>[23]С2.5!$BC$11</f>
        <v>0</v>
      </c>
    </row>
    <row r="194" spans="2:3" s="2" customFormat="1" hidden="1" x14ac:dyDescent="0.2">
      <c r="B194" s="110">
        <f t="shared" si="0"/>
        <v>2071</v>
      </c>
      <c r="C194" s="111">
        <f>[23]С2.5!$BD$11</f>
        <v>0</v>
      </c>
    </row>
    <row r="195" spans="2:3" s="2" customFormat="1" hidden="1" x14ac:dyDescent="0.2">
      <c r="B195" s="110">
        <f t="shared" si="0"/>
        <v>2072</v>
      </c>
      <c r="C195" s="111">
        <f>[23]С2.5!$BE$11</f>
        <v>0</v>
      </c>
    </row>
    <row r="196" spans="2:3" s="2" customFormat="1" hidden="1" x14ac:dyDescent="0.2">
      <c r="B196" s="110">
        <f t="shared" si="0"/>
        <v>2073</v>
      </c>
      <c r="C196" s="111">
        <f>[23]С2.5!$BF$11</f>
        <v>0</v>
      </c>
    </row>
    <row r="197" spans="2:3" s="2" customFormat="1" hidden="1" x14ac:dyDescent="0.2">
      <c r="B197" s="110">
        <f t="shared" si="0"/>
        <v>2074</v>
      </c>
      <c r="C197" s="111">
        <f>[23]С2.5!$BG$11</f>
        <v>0</v>
      </c>
    </row>
    <row r="198" spans="2:3" s="2" customFormat="1" hidden="1" x14ac:dyDescent="0.2">
      <c r="B198" s="110">
        <f t="shared" si="0"/>
        <v>2075</v>
      </c>
      <c r="C198" s="111">
        <f>[23]С2.5!$BH$11</f>
        <v>0</v>
      </c>
    </row>
    <row r="199" spans="2:3" s="2" customFormat="1" hidden="1" x14ac:dyDescent="0.2">
      <c r="B199" s="110">
        <f t="shared" si="0"/>
        <v>2076</v>
      </c>
      <c r="C199" s="111">
        <f>[23]С2.5!$BI$11</f>
        <v>0</v>
      </c>
    </row>
    <row r="200" spans="2:3" s="2" customFormat="1" hidden="1" x14ac:dyDescent="0.2">
      <c r="B200" s="110">
        <f t="shared" si="0"/>
        <v>2077</v>
      </c>
      <c r="C200" s="111">
        <f>[23]С2.5!$BJ$11</f>
        <v>0</v>
      </c>
    </row>
    <row r="201" spans="2:3" s="2" customFormat="1" hidden="1" x14ac:dyDescent="0.2">
      <c r="B201" s="110">
        <f t="shared" si="0"/>
        <v>2078</v>
      </c>
      <c r="C201" s="111">
        <f>[23]С2.5!$BK$11</f>
        <v>0</v>
      </c>
    </row>
    <row r="202" spans="2:3" s="2" customFormat="1" hidden="1" x14ac:dyDescent="0.2">
      <c r="B202" s="110">
        <f t="shared" si="0"/>
        <v>2079</v>
      </c>
      <c r="C202" s="111">
        <f>[23]С2.5!$BL$11</f>
        <v>0</v>
      </c>
    </row>
    <row r="203" spans="2:3" s="2" customFormat="1" hidden="1" x14ac:dyDescent="0.2">
      <c r="B203" s="110">
        <f t="shared" si="0"/>
        <v>2080</v>
      </c>
      <c r="C203" s="111">
        <f>[23]С2.5!$BM$11</f>
        <v>0</v>
      </c>
    </row>
    <row r="204" spans="2:3" s="2" customFormat="1" hidden="1" x14ac:dyDescent="0.2">
      <c r="B204" s="110">
        <f t="shared" si="0"/>
        <v>2081</v>
      </c>
      <c r="C204" s="111">
        <f>[23]С2.5!$BN$11</f>
        <v>0</v>
      </c>
    </row>
    <row r="205" spans="2:3" s="2" customFormat="1" hidden="1" x14ac:dyDescent="0.2">
      <c r="B205" s="110">
        <f t="shared" si="0"/>
        <v>2082</v>
      </c>
      <c r="C205" s="111">
        <f>[23]С2.5!$BO$11</f>
        <v>0</v>
      </c>
    </row>
    <row r="206" spans="2:3" s="2" customFormat="1" hidden="1" x14ac:dyDescent="0.2">
      <c r="B206" s="110">
        <f t="shared" si="0"/>
        <v>2083</v>
      </c>
      <c r="C206" s="111">
        <f>[23]С2.5!$BP$11</f>
        <v>0</v>
      </c>
    </row>
    <row r="207" spans="2:3" s="2" customFormat="1" hidden="1" x14ac:dyDescent="0.2">
      <c r="B207" s="110">
        <f t="shared" si="0"/>
        <v>2084</v>
      </c>
      <c r="C207" s="111">
        <f>[23]С2.5!$BQ$11</f>
        <v>0</v>
      </c>
    </row>
    <row r="208" spans="2:3" s="2" customFormat="1" hidden="1" x14ac:dyDescent="0.2">
      <c r="B208" s="110">
        <f t="shared" si="0"/>
        <v>2085</v>
      </c>
      <c r="C208" s="111">
        <f>[23]С2.5!$BR$11</f>
        <v>0</v>
      </c>
    </row>
    <row r="209" spans="2:3" s="2" customFormat="1" hidden="1" x14ac:dyDescent="0.2">
      <c r="B209" s="110">
        <f t="shared" ref="B209:B223" si="1">B208+1</f>
        <v>2086</v>
      </c>
      <c r="C209" s="111">
        <f>[23]С2.5!$BS$11</f>
        <v>0</v>
      </c>
    </row>
    <row r="210" spans="2:3" s="2" customFormat="1" hidden="1" x14ac:dyDescent="0.2">
      <c r="B210" s="110">
        <f t="shared" si="1"/>
        <v>2087</v>
      </c>
      <c r="C210" s="111">
        <f>[23]С2.5!$BT$11</f>
        <v>0</v>
      </c>
    </row>
    <row r="211" spans="2:3" s="2" customFormat="1" hidden="1" x14ac:dyDescent="0.2">
      <c r="B211" s="110">
        <f t="shared" si="1"/>
        <v>2088</v>
      </c>
      <c r="C211" s="111">
        <f>[23]С2.5!$BU$11</f>
        <v>0</v>
      </c>
    </row>
    <row r="212" spans="2:3" s="2" customFormat="1" hidden="1" x14ac:dyDescent="0.2">
      <c r="B212" s="110">
        <f t="shared" si="1"/>
        <v>2089</v>
      </c>
      <c r="C212" s="111">
        <f>[23]С2.5!$BV$11</f>
        <v>0</v>
      </c>
    </row>
    <row r="213" spans="2:3" s="2" customFormat="1" hidden="1" x14ac:dyDescent="0.2">
      <c r="B213" s="110">
        <f t="shared" si="1"/>
        <v>2090</v>
      </c>
      <c r="C213" s="111">
        <f>[23]С2.5!$BW$11</f>
        <v>0</v>
      </c>
    </row>
    <row r="214" spans="2:3" s="2" customFormat="1" hidden="1" x14ac:dyDescent="0.2">
      <c r="B214" s="110">
        <f t="shared" si="1"/>
        <v>2091</v>
      </c>
      <c r="C214" s="111">
        <f>[23]С2.5!$BX$11</f>
        <v>0</v>
      </c>
    </row>
    <row r="215" spans="2:3" s="2" customFormat="1" hidden="1" x14ac:dyDescent="0.2">
      <c r="B215" s="110">
        <f t="shared" si="1"/>
        <v>2092</v>
      </c>
      <c r="C215" s="111">
        <f>[23]С2.5!$BY$11</f>
        <v>0</v>
      </c>
    </row>
    <row r="216" spans="2:3" s="2" customFormat="1" hidden="1" x14ac:dyDescent="0.2">
      <c r="B216" s="110">
        <f t="shared" si="1"/>
        <v>2093</v>
      </c>
      <c r="C216" s="111">
        <f>[23]С2.5!$BZ$11</f>
        <v>0</v>
      </c>
    </row>
    <row r="217" spans="2:3" s="2" customFormat="1" hidden="1" x14ac:dyDescent="0.2">
      <c r="B217" s="110">
        <f t="shared" si="1"/>
        <v>2094</v>
      </c>
      <c r="C217" s="111">
        <f>[23]С2.5!$CA$11</f>
        <v>0</v>
      </c>
    </row>
    <row r="218" spans="2:3" s="2" customFormat="1" hidden="1" x14ac:dyDescent="0.2">
      <c r="B218" s="110">
        <f t="shared" si="1"/>
        <v>2095</v>
      </c>
      <c r="C218" s="111">
        <f>[23]С2.5!$CB$11</f>
        <v>0</v>
      </c>
    </row>
    <row r="219" spans="2:3" s="2" customFormat="1" hidden="1" x14ac:dyDescent="0.2">
      <c r="B219" s="110">
        <f t="shared" si="1"/>
        <v>2096</v>
      </c>
      <c r="C219" s="111">
        <f>[23]С2.5!$CC$11</f>
        <v>0</v>
      </c>
    </row>
    <row r="220" spans="2:3" s="2" customFormat="1" hidden="1" x14ac:dyDescent="0.2">
      <c r="B220" s="110">
        <f t="shared" si="1"/>
        <v>2097</v>
      </c>
      <c r="C220" s="111">
        <f>[23]С2.5!$CD$11</f>
        <v>0</v>
      </c>
    </row>
    <row r="221" spans="2:3" s="2" customFormat="1" hidden="1" x14ac:dyDescent="0.2">
      <c r="B221" s="110">
        <f t="shared" si="1"/>
        <v>2098</v>
      </c>
      <c r="C221" s="111">
        <f>[23]С2.5!$CE$11</f>
        <v>0</v>
      </c>
    </row>
    <row r="222" spans="2:3" s="2" customFormat="1" hidden="1" x14ac:dyDescent="0.2">
      <c r="B222" s="110">
        <f t="shared" si="1"/>
        <v>2099</v>
      </c>
      <c r="C222" s="111">
        <f>[23]С2.5!$CF$11</f>
        <v>0</v>
      </c>
    </row>
    <row r="223" spans="2:3" s="2" customFormat="1" ht="13.5" hidden="1" thickBot="1" x14ac:dyDescent="0.25">
      <c r="B223" s="112">
        <f t="shared" si="1"/>
        <v>2100</v>
      </c>
      <c r="C223" s="113">
        <f>[23]С2.5!$CG$11</f>
        <v>0</v>
      </c>
    </row>
    <row r="224" spans="2:3" s="2" customFormat="1" hidden="1" x14ac:dyDescent="0.2">
      <c r="C224" s="116"/>
    </row>
    <row r="225" spans="3:3" s="2" customFormat="1" hidden="1" x14ac:dyDescent="0.2">
      <c r="C225" s="116"/>
    </row>
    <row r="226" spans="3:3" s="2" customFormat="1" x14ac:dyDescent="0.2">
      <c r="C226" s="116"/>
    </row>
  </sheetData>
  <mergeCells count="9">
    <mergeCell ref="B141:D141"/>
    <mergeCell ref="A14:C14"/>
    <mergeCell ref="B1:D1"/>
    <mergeCell ref="B27:D27"/>
    <mergeCell ref="B40:D40"/>
    <mergeCell ref="B84:D84"/>
    <mergeCell ref="B95:D95"/>
    <mergeCell ref="B124:D124"/>
    <mergeCell ref="B127:D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8]!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20482" r:id="rId4" name="Button 2">
              <controlPr defaultSize="0" print="0" autoFill="0" autoPict="0" macro="[8]!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20483" r:id="rId5" name="Button 3">
              <controlPr defaultSize="0" print="0" autoFill="0" autoPict="0" macro="[23]!Лист29.PrintBlock">
                <anchor moveWithCells="1" sizeWithCells="1">
                  <from>
                    <xdr:col>4</xdr:col>
                    <xdr:colOff>38100</xdr:colOff>
                    <xdr:row>0</xdr:row>
                    <xdr:rowOff>85725</xdr:rowOff>
                  </from>
                  <to>
                    <xdr:col>5</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Бурмистровский</vt:lpstr>
      <vt:lpstr>Быстровский</vt:lpstr>
      <vt:lpstr>Верх-Коенский</vt:lpstr>
      <vt:lpstr>Гилевский</vt:lpstr>
      <vt:lpstr>Гусельниковский</vt:lpstr>
      <vt:lpstr>Евсинский</vt:lpstr>
      <vt:lpstr>Легостаевский</vt:lpstr>
      <vt:lpstr>Листвянский</vt:lpstr>
      <vt:lpstr>Мичуринский</vt:lpstr>
      <vt:lpstr>Морозовский</vt:lpstr>
      <vt:lpstr>Преображенкий</vt:lpstr>
      <vt:lpstr>Промышленный</vt:lpstr>
      <vt:lpstr>Совхозный</vt:lpstr>
      <vt:lpstr>Степной</vt:lpstr>
      <vt:lpstr>Тальменский</vt:lpstr>
      <vt:lpstr>Улыбинский</vt:lpstr>
      <vt:lpstr>Усть-Чемской</vt:lpstr>
      <vt:lpstr>Чернореченский</vt:lpstr>
      <vt:lpstr>Шибковский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Ерыгина</dc:creator>
  <cp:lastModifiedBy>Ерыгина</cp:lastModifiedBy>
  <dcterms:created xsi:type="dcterms:W3CDTF">2023-01-18T04:22:22Z</dcterms:created>
  <dcterms:modified xsi:type="dcterms:W3CDTF">2024-01-26T02:25:43Z</dcterms:modified>
</cp:coreProperties>
</file>